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Hippolyte.Reignier\Documents\1_Projets\_Déposés\03 - Vallons-en-Sully\"/>
    </mc:Choice>
  </mc:AlternateContent>
  <bookViews>
    <workbookView xWindow="0" yWindow="0" windowWidth="11748" windowHeight="5316" tabRatio="866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2" i="1" l="1"/>
  <c r="D116" i="1"/>
  <c r="B116" i="1"/>
  <c r="B115" i="1"/>
  <c r="D44" i="1"/>
  <c r="D37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BQ4" i="2" s="1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HI4" i="2" l="1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HI5" i="2" l="1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V6" i="2" l="1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FS7" i="2" l="1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I10" i="2" l="1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I14" i="2" l="1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I18" i="2" l="1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I20" i="2" l="1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B21" i="2" s="1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X21" i="2" l="1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B22" i="2" s="1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I22" i="2" l="1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B28" i="2" s="1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X28" i="2" l="1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C31" i="2" l="1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GM33" i="2" l="1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I37" i="2" l="1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V38" i="2" l="1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C42" i="2" l="1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DG43" i="2" s="1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FS43" i="2" l="1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I44" i="2" l="1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C45" i="2" l="1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FS46" i="2" l="1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FS47" i="2" l="1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FS48" i="2" l="1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W50" i="2" l="1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C53" i="2" l="1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EB57" i="2" s="1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C57" i="2" l="1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FS59" i="2" l="1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0" i="2" l="1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HI61" i="2" l="1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B62" i="2" s="1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C62" i="2" l="1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I63" i="2" l="1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I64" i="2" l="1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C70" i="2" l="1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I71" i="2" l="1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X75" i="2" l="1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S85" i="2" l="1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FS86" i="2" l="1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I87" i="2" l="1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S95" i="2" l="1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X99" i="2" l="1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X105" i="2" l="1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I107" i="2" l="1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X108" i="2" l="1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I109" i="2" l="1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S112" i="2" l="1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 l="1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I116" i="2" l="1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I118" i="2" l="1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AU122" i="2" l="1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I126" i="2" l="1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C127" i="2" l="1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I128" i="2" l="1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A130" i="2" l="1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HI138" i="2" l="1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X139" i="2" l="1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I140" i="2" l="1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FS142" i="2" l="1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C143" i="2" l="1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I144" i="2" l="1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I145" i="2" l="1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X146" i="2" l="1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FS149" i="2" l="1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 l="1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HI153" i="2" l="1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C155" i="2" l="1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EV156" i="2" l="1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FS159" i="2" l="1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X160" i="2" l="1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AW161" i="2" l="1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FS162" i="2" l="1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FS163" i="2" l="1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C164" i="2" l="1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S167" i="2" l="1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FS168" i="2" l="1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I169" i="2" l="1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X175" i="2" l="1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I178" i="2" l="1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FS179" i="2" l="1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C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AU185" i="2" l="1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AW192" i="2" l="1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S193" i="2" l="1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AU195" i="2" l="1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X197" i="2" l="1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I199" i="2" l="1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HI201" i="2" l="1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EC203" i="2" l="1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19" i="2" l="1"/>
  <c r="BI47" i="2"/>
  <c r="BI182" i="2"/>
  <c r="BI79" i="2"/>
  <c r="BI123" i="2"/>
  <c r="BI7" i="2"/>
  <c r="BI83" i="2"/>
  <c r="BI62" i="2"/>
  <c r="BI164" i="2"/>
  <c r="BI147" i="2"/>
  <c r="BI202" i="2"/>
  <c r="BI53" i="2"/>
  <c r="BI46" i="2"/>
  <c r="BI141" i="2"/>
  <c r="BI138" i="2"/>
  <c r="BI41" i="2"/>
  <c r="BI63" i="2"/>
  <c r="BI117" i="2"/>
  <c r="BI195" i="2"/>
  <c r="BI50" i="2"/>
  <c r="BI153" i="2"/>
  <c r="BI32" i="2"/>
  <c r="BI10" i="2"/>
  <c r="BI170" i="2"/>
  <c r="BI198" i="2"/>
  <c r="BI115" i="2"/>
  <c r="BI194" i="2"/>
  <c r="BI49" i="2"/>
  <c r="BI179" i="2"/>
  <c r="BI157" i="2"/>
  <c r="BI88" i="2"/>
  <c r="BI124" i="2"/>
  <c r="BI44" i="2"/>
  <c r="BI38" i="2"/>
  <c r="BI91" i="2"/>
  <c r="BI186" i="2"/>
  <c r="BI165" i="2"/>
  <c r="BI139" i="2"/>
  <c r="BI188" i="2"/>
  <c r="BI132" i="2"/>
  <c r="BI69" i="2"/>
  <c r="BI185" i="2"/>
  <c r="BI167" i="2"/>
  <c r="BI11" i="2"/>
  <c r="BI142" i="2"/>
  <c r="BI84" i="2"/>
  <c r="BI125" i="2"/>
  <c r="BI61" i="2"/>
  <c r="BI163" i="2"/>
  <c r="BI24" i="2"/>
  <c r="BI52" i="2"/>
  <c r="BI145" i="2"/>
  <c r="BI173" i="2"/>
  <c r="BI74" i="2"/>
  <c r="BI162" i="2"/>
  <c r="BI36" i="2"/>
  <c r="BI3" i="2"/>
  <c r="C8" i="4" s="1"/>
  <c r="E8" i="4" s="1"/>
  <c r="F8" i="4" s="1"/>
  <c r="G8" i="4" s="1"/>
  <c r="L8" i="4" s="1"/>
  <c r="BI66" i="2"/>
  <c r="BI68" i="2"/>
  <c r="BI8" i="2"/>
  <c r="BI183" i="2"/>
  <c r="BI148" i="2"/>
  <c r="BI43" i="2"/>
  <c r="BI55" i="2"/>
  <c r="BI178" i="2"/>
  <c r="BI174" i="2"/>
  <c r="BI51" i="2"/>
  <c r="BI97" i="2"/>
  <c r="BI81" i="2"/>
  <c r="BI93" i="2"/>
  <c r="BI136" i="2"/>
  <c r="BI107" i="2"/>
  <c r="BI37" i="2"/>
  <c r="BI113" i="2"/>
  <c r="BI149" i="2"/>
  <c r="BI131" i="2"/>
  <c r="BI128" i="2"/>
  <c r="BI134" i="2"/>
  <c r="BI9" i="2"/>
  <c r="BI189" i="2"/>
  <c r="BI203" i="2"/>
  <c r="BI71" i="2"/>
  <c r="BI77" i="2"/>
  <c r="BI171" i="2"/>
  <c r="BI111" i="2"/>
  <c r="BI25" i="2"/>
  <c r="BI150" i="2"/>
  <c r="BI6" i="2"/>
  <c r="BI168" i="2"/>
  <c r="BI26" i="2"/>
  <c r="BI176" i="2"/>
  <c r="BI17" i="2"/>
  <c r="BI166" i="2"/>
  <c r="BI85" i="2"/>
  <c r="BI89" i="2"/>
  <c r="BI82" i="2"/>
  <c r="BI144" i="2"/>
  <c r="BI5" i="2"/>
  <c r="BI181" i="2"/>
  <c r="BI105" i="2"/>
  <c r="BI143" i="2"/>
  <c r="BI122" i="2"/>
  <c r="BI108" i="2"/>
  <c r="BI90" i="2"/>
  <c r="BI196" i="2"/>
  <c r="BI193" i="2"/>
  <c r="BI80" i="2"/>
  <c r="BI114" i="2"/>
  <c r="BI200" i="2"/>
  <c r="BI127" i="2"/>
  <c r="BI14" i="2"/>
  <c r="BI102" i="2"/>
  <c r="BI33" i="2"/>
  <c r="BI56" i="2"/>
  <c r="BI121" i="2"/>
  <c r="BI159" i="2"/>
  <c r="BI197" i="2"/>
  <c r="BI103" i="2"/>
  <c r="BI118" i="2"/>
  <c r="BI129" i="2"/>
  <c r="BI140" i="2"/>
  <c r="BI20" i="2"/>
  <c r="BI175" i="2"/>
  <c r="BI169" i="2"/>
  <c r="BI112" i="2"/>
  <c r="BI48" i="2"/>
  <c r="BI78" i="2"/>
  <c r="BI65" i="2"/>
  <c r="BI106" i="2"/>
  <c r="BI35" i="2"/>
  <c r="BI54" i="2"/>
  <c r="BI18" i="2"/>
  <c r="BI199" i="2"/>
  <c r="BI119" i="2"/>
  <c r="BI86" i="2"/>
  <c r="BI130" i="2"/>
  <c r="BI109" i="2"/>
  <c r="BI16" i="2"/>
  <c r="BI187" i="2"/>
  <c r="BI201" i="2"/>
  <c r="BI29" i="2"/>
  <c r="BI34" i="2"/>
  <c r="BI22" i="2"/>
  <c r="BI4" i="2"/>
  <c r="BI137" i="2"/>
  <c r="BI156" i="2"/>
  <c r="BI28" i="2"/>
  <c r="BI110" i="2"/>
  <c r="BI160" i="2"/>
  <c r="BI59" i="2"/>
  <c r="BI146" i="2"/>
  <c r="BI73" i="2"/>
  <c r="BI27" i="2"/>
  <c r="BI21" i="2"/>
  <c r="BI94" i="2"/>
  <c r="BI172" i="2"/>
  <c r="BI99" i="2"/>
  <c r="BI158" i="2"/>
  <c r="BI30" i="2"/>
  <c r="BI161" i="2"/>
  <c r="BI120" i="2"/>
  <c r="BI64" i="2"/>
  <c r="BI39" i="2"/>
  <c r="BI67" i="2"/>
  <c r="BI190" i="2"/>
  <c r="BI12" i="2"/>
  <c r="BI184" i="2"/>
  <c r="BI116" i="2"/>
  <c r="BI72" i="2"/>
  <c r="BI100" i="2"/>
  <c r="BI104" i="2"/>
  <c r="BI192" i="2"/>
  <c r="BI92" i="2"/>
  <c r="BI101" i="2"/>
  <c r="BI57" i="2"/>
  <c r="BI76" i="2"/>
  <c r="BI151" i="2"/>
  <c r="BI42" i="2"/>
  <c r="BI133" i="2"/>
  <c r="BI96" i="2"/>
  <c r="BI135" i="2"/>
  <c r="BI45" i="2"/>
  <c r="BI58" i="2"/>
  <c r="BI15" i="2"/>
  <c r="BI87" i="2"/>
  <c r="BI31" i="2"/>
  <c r="BI154" i="2"/>
  <c r="BI23" i="2"/>
  <c r="BI191" i="2"/>
  <c r="BI70" i="2"/>
  <c r="BI152" i="2"/>
  <c r="BI75" i="2"/>
  <c r="BI98" i="2"/>
  <c r="BI180" i="2"/>
  <c r="BI177" i="2"/>
  <c r="BI126" i="2"/>
  <c r="BI13" i="2"/>
  <c r="BI155" i="2"/>
  <c r="BI40" i="2"/>
  <c r="BI95" i="2"/>
  <c r="BI60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<sst xmlns="http://schemas.openxmlformats.org/spreadsheetml/2006/main" count="1173" uniqueCount="324">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</sst>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4.1928698140991418</c:v>
                </c:pt>
                <c:pt idx="2">
                  <c:v>7.6168365307333579</c:v>
                </c:pt>
                <c:pt idx="3">
                  <c:v>13.851557944382177</c:v>
                </c:pt>
                <c:pt idx="4">
                  <c:v>25.215582848202938</c:v>
                </c:pt>
                <c:pt idx="5">
                  <c:v>45.948466940528562</c:v>
                </c:pt>
                <c:pt idx="6">
                  <c:v>62.111611813038422</c:v>
                </c:pt>
                <c:pt idx="7">
                  <c:v>78.164682379068338</c:v>
                </c:pt>
                <c:pt idx="8">
                  <c:v>94.133673128860323</c:v>
                </c:pt>
                <c:pt idx="9">
                  <c:v>110.03492698401654</c:v>
                </c:pt>
                <c:pt idx="10">
                  <c:v>125.87964006712117</c:v>
                </c:pt>
                <c:pt idx="11">
                  <c:v>109.63812385970266</c:v>
                </c:pt>
                <c:pt idx="12">
                  <c:v>127.06595565661257</c:v>
                </c:pt>
                <c:pt idx="13">
                  <c:v>144.43580369901198</c:v>
                </c:pt>
                <c:pt idx="14">
                  <c:v>161.75563241829536</c:v>
                </c:pt>
                <c:pt idx="15">
                  <c:v>179.03155609796639</c:v>
                </c:pt>
                <c:pt idx="16">
                  <c:v>168.43533711884817</c:v>
                </c:pt>
                <c:pt idx="17">
                  <c:v>183.34426585713655</c:v>
                </c:pt>
                <c:pt idx="18">
                  <c:v>198.22485329351454</c:v>
                </c:pt>
                <c:pt idx="19">
                  <c:v>213.07952740360659</c:v>
                </c:pt>
                <c:pt idx="20">
                  <c:v>227.91034965501248</c:v>
                </c:pt>
                <c:pt idx="21">
                  <c:v>220.88807818771116</c:v>
                </c:pt>
                <c:pt idx="22">
                  <c:v>233.36868457739763</c:v>
                </c:pt>
                <c:pt idx="23">
                  <c:v>245.83405537221108</c:v>
                </c:pt>
                <c:pt idx="24">
                  <c:v>258.28507230454858</c:v>
                </c:pt>
                <c:pt idx="25">
                  <c:v>270.72252510244931</c:v>
                </c:pt>
                <c:pt idx="26">
                  <c:v>265.28276128060071</c:v>
                </c:pt>
                <c:pt idx="27">
                  <c:v>275.38322031086636</c:v>
                </c:pt>
                <c:pt idx="28">
                  <c:v>285.47535981120427</c:v>
                </c:pt>
                <c:pt idx="29">
                  <c:v>295.55951555452685</c:v>
                </c:pt>
                <c:pt idx="30">
                  <c:v>305.63599851497548</c:v>
                </c:pt>
                <c:pt idx="31">
                  <c:v>302.14883502279821</c:v>
                </c:pt>
                <c:pt idx="32">
                  <c:v>310.28417578084355</c:v>
                </c:pt>
                <c:pt idx="33">
                  <c:v>318.41478230164324</c:v>
                </c:pt>
                <c:pt idx="34">
                  <c:v>326.54079262774405</c:v>
                </c:pt>
                <c:pt idx="35">
                  <c:v>334.66233736464375</c:v>
                </c:pt>
                <c:pt idx="36">
                  <c:v>332.34234434510182</c:v>
                </c:pt>
                <c:pt idx="37">
                  <c:v>339.68777684695152</c:v>
                </c:pt>
                <c:pt idx="38">
                  <c:v>347.02971529409768</c:v>
                </c:pt>
                <c:pt idx="39">
                  <c:v>354.36824410252262</c:v>
                </c:pt>
                <c:pt idx="40">
                  <c:v>361.70344390352261</c:v>
                </c:pt>
                <c:pt idx="41">
                  <c:v>361.31746248867256</c:v>
                </c:pt>
                <c:pt idx="42">
                  <c:v>368.64957965965004</c:v>
                </c:pt>
                <c:pt idx="43">
                  <c:v>375.97851488636002</c:v>
                </c:pt>
                <c:pt idx="44">
                  <c:v>383.30433899319883</c:v>
                </c:pt>
                <c:pt idx="45">
                  <c:v>390.62711987431993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79060432"/>
        <c:axId val="-1779067504"/>
      </c:scatterChart>
      <c:valAx>
        <c:axId val="-1779060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79067504"/>
        <c:crosses val="autoZero"/>
        <c:crossBetween val="midCat"/>
      </c:valAx>
      <c:valAx>
        <c:axId val="-1779067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79060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86321504"/>
        <c:axId val="-286313888"/>
      </c:scatterChart>
      <c:valAx>
        <c:axId val="-286321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86313888"/>
        <c:crosses val="autoZero"/>
        <c:crossBetween val="midCat"/>
      </c:valAx>
      <c:valAx>
        <c:axId val="-286313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86321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155.46288225618903</c:v>
                </c:pt>
                <c:pt idx="27">
                  <c:v>169.22076873606747</c:v>
                </c:pt>
                <c:pt idx="28">
                  <c:v>182.95230030612535</c:v>
                </c:pt>
                <c:pt idx="29">
                  <c:v>196.65973476943884</c:v>
                </c:pt>
                <c:pt idx="30">
                  <c:v>210.34498910896306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248.16968942779488</c:v>
                </c:pt>
                <c:pt idx="37">
                  <c:v>264.50544806917611</c:v>
                </c:pt>
                <c:pt idx="38">
                  <c:v>280.81846105391611</c:v>
                </c:pt>
                <c:pt idx="39">
                  <c:v>297.11023564036316</c:v>
                </c:pt>
                <c:pt idx="40">
                  <c:v>313.38210026249641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329.24846413649914</c:v>
                </c:pt>
                <c:pt idx="47">
                  <c:v>345.09796018035962</c:v>
                </c:pt>
                <c:pt idx="48">
                  <c:v>360.93147205550491</c:v>
                </c:pt>
                <c:pt idx="49">
                  <c:v>376.74979957167847</c:v>
                </c:pt>
                <c:pt idx="50">
                  <c:v>392.55366990377706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403.33859253105862</c:v>
                </c:pt>
                <c:pt idx="57">
                  <c:v>417.96533499156266</c:v>
                </c:pt>
                <c:pt idx="58">
                  <c:v>432.58104952108766</c:v>
                </c:pt>
                <c:pt idx="59">
                  <c:v>447.18616113243911</c:v>
                </c:pt>
                <c:pt idx="60">
                  <c:v>461.78106481747727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463.31679190893482</c:v>
                </c:pt>
                <c:pt idx="67">
                  <c:v>476.36612856926143</c:v>
                </c:pt>
                <c:pt idx="68">
                  <c:v>489.40786321667775</c:v>
                </c:pt>
                <c:pt idx="69">
                  <c:v>502.44222694105241</c:v>
                </c:pt>
                <c:pt idx="70">
                  <c:v>515.4694378666801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470.61001955868869</c:v>
                </c:pt>
                <c:pt idx="74">
                  <c:v>482.50434799892832</c:v>
                </c:pt>
                <c:pt idx="75">
                  <c:v>494.39244873679587</c:v>
                </c:pt>
                <c:pt idx="76">
                  <c:v>505.89129373820577</c:v>
                </c:pt>
                <c:pt idx="77">
                  <c:v>517.38461348648957</c:v>
                </c:pt>
                <c:pt idx="78">
                  <c:v>528.87254801147833</c:v>
                </c:pt>
                <c:pt idx="79">
                  <c:v>540.35523076412733</c:v>
                </c:pt>
                <c:pt idx="80">
                  <c:v>551.83278906179692</c:v>
                </c:pt>
                <c:pt idx="81">
                  <c:v>482.12075813367829</c:v>
                </c:pt>
                <c:pt idx="82">
                  <c:v>492.85884412246605</c:v>
                </c:pt>
                <c:pt idx="83">
                  <c:v>503.59197136026643</c:v>
                </c:pt>
                <c:pt idx="84">
                  <c:v>514.32026043494204</c:v>
                </c:pt>
                <c:pt idx="85">
                  <c:v>525.04382649327351</c:v>
                </c:pt>
                <c:pt idx="86">
                  <c:v>535.76277959494894</c:v>
                </c:pt>
                <c:pt idx="87">
                  <c:v>546.47722503675357</c:v>
                </c:pt>
                <c:pt idx="88">
                  <c:v>557.18726365001555</c:v>
                </c:pt>
                <c:pt idx="89">
                  <c:v>567.89299207399438</c:v>
                </c:pt>
                <c:pt idx="90">
                  <c:v>578.59450300758806</c:v>
                </c:pt>
                <c:pt idx="91">
                  <c:v>507.61564043595672</c:v>
                </c:pt>
                <c:pt idx="92">
                  <c:v>517.00159034875594</c:v>
                </c:pt>
                <c:pt idx="93">
                  <c:v>526.3839456981226</c:v>
                </c:pt>
                <c:pt idx="94">
                  <c:v>535.76277959494894</c:v>
                </c:pt>
                <c:pt idx="95">
                  <c:v>545.13816238142283</c:v>
                </c:pt>
                <c:pt idx="96">
                  <c:v>554.51016178271254</c:v>
                </c:pt>
                <c:pt idx="97">
                  <c:v>563.87884304786564</c:v>
                </c:pt>
                <c:pt idx="98">
                  <c:v>573.24426908085582</c:v>
                </c:pt>
                <c:pt idx="99">
                  <c:v>582.60650056262409</c:v>
                </c:pt>
                <c:pt idx="100">
                  <c:v>591.9655960648646</c:v>
                </c:pt>
                <c:pt idx="101">
                  <c:v>520.06560820994252</c:v>
                </c:pt>
                <c:pt idx="102">
                  <c:v>528.48970219589648</c:v>
                </c:pt>
                <c:pt idx="103">
                  <c:v>536.91096968482657</c:v>
                </c:pt>
                <c:pt idx="104">
                  <c:v>545.32946126916943</c:v>
                </c:pt>
                <c:pt idx="105">
                  <c:v>553.74522585166278</c:v>
                </c:pt>
                <c:pt idx="106">
                  <c:v>562.15831072715287</c:v>
                </c:pt>
                <c:pt idx="107">
                  <c:v>570.56876165925303</c:v>
                </c:pt>
                <c:pt idx="108">
                  <c:v>578.97662295224757</c:v>
                </c:pt>
                <c:pt idx="109">
                  <c:v>587.38193751859842</c:v>
                </c:pt>
                <c:pt idx="110">
                  <c:v>595.7847469423923</c:v>
                </c:pt>
                <c:pt idx="111">
                  <c:v>528.29827709857079</c:v>
                </c:pt>
                <c:pt idx="112">
                  <c:v>535.38003807305233</c:v>
                </c:pt>
                <c:pt idx="113">
                  <c:v>542.45982974283959</c:v>
                </c:pt>
                <c:pt idx="114">
                  <c:v>549.53768144295657</c:v>
                </c:pt>
                <c:pt idx="115">
                  <c:v>556.61362169091774</c:v>
                </c:pt>
                <c:pt idx="116">
                  <c:v>563.68767821983818</c:v>
                </c:pt>
                <c:pt idx="117">
                  <c:v>570.75987800979885</c:v>
                </c:pt>
                <c:pt idx="118">
                  <c:v>577.8302473175728</c:v>
                </c:pt>
                <c:pt idx="119">
                  <c:v>584.89881170482306</c:v>
                </c:pt>
                <c:pt idx="120">
                  <c:v>591.96559606486414</c:v>
                </c:pt>
                <c:pt idx="121">
                  <c:v>531.16950054399888</c:v>
                </c:pt>
                <c:pt idx="122">
                  <c:v>537.29368823845141</c:v>
                </c:pt>
                <c:pt idx="123">
                  <c:v>543.41640891561519</c:v>
                </c:pt>
                <c:pt idx="124">
                  <c:v>549.53768144295634</c:v>
                </c:pt>
                <c:pt idx="125">
                  <c:v>555.65752423315837</c:v>
                </c:pt>
                <c:pt idx="126">
                  <c:v>561.77595526008167</c:v>
                </c:pt>
                <c:pt idx="127">
                  <c:v>567.89299207399313</c:v>
                </c:pt>
                <c:pt idx="128">
                  <c:v>574.00865181610322</c:v>
                </c:pt>
                <c:pt idx="129">
                  <c:v>580.12295123245383</c:v>
                </c:pt>
                <c:pt idx="130">
                  <c:v>586.23590668718714</c:v>
                </c:pt>
                <c:pt idx="131">
                  <c:v>532.12650235188266</c:v>
                </c:pt>
                <c:pt idx="132">
                  <c:v>537.29368823845118</c:v>
                </c:pt>
                <c:pt idx="133">
                  <c:v>542.45982974283925</c:v>
                </c:pt>
                <c:pt idx="134">
                  <c:v>547.62493821970475</c:v>
                </c:pt>
                <c:pt idx="135">
                  <c:v>552.78902479193243</c:v>
                </c:pt>
                <c:pt idx="136">
                  <c:v>557.95210035753337</c:v>
                </c:pt>
                <c:pt idx="137">
                  <c:v>563.11417559627546</c:v>
                </c:pt>
                <c:pt idx="138">
                  <c:v>568.27526097606062</c:v>
                </c:pt>
                <c:pt idx="139">
                  <c:v>573.43536675905443</c:v>
                </c:pt>
                <c:pt idx="140">
                  <c:v>578.59450300758647</c:v>
                </c:pt>
                <c:pt idx="141">
                  <c:v>531.55230561741405</c:v>
                </c:pt>
                <c:pt idx="142">
                  <c:v>536.14551536775082</c:v>
                </c:pt>
                <c:pt idx="143">
                  <c:v>540.73789791143247</c:v>
                </c:pt>
                <c:pt idx="144">
                  <c:v>545.32946126916829</c:v>
                </c:pt>
                <c:pt idx="145">
                  <c:v>549.92021331550427</c:v>
                </c:pt>
                <c:pt idx="146">
                  <c:v>554.51016178271107</c:v>
                </c:pt>
                <c:pt idx="147">
                  <c:v>559.09931426453841</c:v>
                </c:pt>
                <c:pt idx="148">
                  <c:v>563.68767821983727</c:v>
                </c:pt>
                <c:pt idx="149">
                  <c:v>568.27526097606028</c:v>
                </c:pt>
                <c:pt idx="150">
                  <c:v>572.86206973264132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79059888"/>
        <c:axId val="-1779062608"/>
      </c:scatterChart>
      <c:valAx>
        <c:axId val="-17790598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79062608"/>
        <c:crosses val="autoZero"/>
        <c:crossBetween val="midCat"/>
      </c:valAx>
      <c:valAx>
        <c:axId val="-1779062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790598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2.9499424774398109</c:v>
                </c:pt>
                <c:pt idx="2">
                  <c:v>3.5322712998141292</c:v>
                </c:pt>
                <c:pt idx="3">
                  <c:v>4.2299796423063247</c:v>
                </c:pt>
                <c:pt idx="4">
                  <c:v>5.0660077681280073</c:v>
                </c:pt>
                <c:pt idx="5">
                  <c:v>6.0678718432979295</c:v>
                </c:pt>
                <c:pt idx="6">
                  <c:v>7.2685794435074236</c:v>
                </c:pt>
                <c:pt idx="7">
                  <c:v>8.707728736258824</c:v>
                </c:pt>
                <c:pt idx="8">
                  <c:v>10.432828282263435</c:v>
                </c:pt>
                <c:pt idx="9">
                  <c:v>12.500881848154869</c:v>
                </c:pt>
                <c:pt idx="10">
                  <c:v>14.98029157537014</c:v>
                </c:pt>
                <c:pt idx="11">
                  <c:v>17.953143612152349</c:v>
                </c:pt>
                <c:pt idx="12">
                  <c:v>21.517953253369303</c:v>
                </c:pt>
                <c:pt idx="13">
                  <c:v>25.792962186854144</c:v>
                </c:pt>
                <c:pt idx="14">
                  <c:v>30.920099145277529</c:v>
                </c:pt>
                <c:pt idx="15">
                  <c:v>37.069737746726702</c:v>
                </c:pt>
                <c:pt idx="16">
                  <c:v>44.446412342171662</c:v>
                </c:pt>
                <c:pt idx="17">
                  <c:v>53.29568519652458</c:v>
                </c:pt>
                <c:pt idx="18">
                  <c:v>63.912397422094891</c:v>
                </c:pt>
                <c:pt idx="19">
                  <c:v>76.650583094416518</c:v>
                </c:pt>
                <c:pt idx="20">
                  <c:v>91.935382517505545</c:v>
                </c:pt>
                <c:pt idx="21">
                  <c:v>103.84617756844348</c:v>
                </c:pt>
                <c:pt idx="22">
                  <c:v>115.72319627792427</c:v>
                </c:pt>
                <c:pt idx="23">
                  <c:v>127.57039913328697</c:v>
                </c:pt>
                <c:pt idx="24">
                  <c:v>139.39094880292336</c:v>
                </c:pt>
                <c:pt idx="25">
                  <c:v>151.18742647916039</c:v>
                </c:pt>
                <c:pt idx="26">
                  <c:v>165.90240656060988</c:v>
                </c:pt>
                <c:pt idx="27">
                  <c:v>180.58657218998462</c:v>
                </c:pt>
                <c:pt idx="28">
                  <c:v>195.24278318241954</c:v>
                </c:pt>
                <c:pt idx="29">
                  <c:v>209.87343438827483</c:v>
                </c:pt>
                <c:pt idx="30">
                  <c:v>224.48055915021379</c:v>
                </c:pt>
                <c:pt idx="31">
                  <c:v>180.58657218998462</c:v>
                </c:pt>
                <c:pt idx="32">
                  <c:v>197.3343901571734</c:v>
                </c:pt>
                <c:pt idx="33">
                  <c:v>214.04921803989632</c:v>
                </c:pt>
                <c:pt idx="34">
                  <c:v>230.73399509870114</c:v>
                </c:pt>
                <c:pt idx="35">
                  <c:v>247.39120044621509</c:v>
                </c:pt>
                <c:pt idx="36">
                  <c:v>264.85390518195555</c:v>
                </c:pt>
                <c:pt idx="37">
                  <c:v>282.29065500591173</c:v>
                </c:pt>
                <c:pt idx="38">
                  <c:v>299.70327852559689</c:v>
                </c:pt>
                <c:pt idx="39">
                  <c:v>317.09337448903148</c:v>
                </c:pt>
                <c:pt idx="40">
                  <c:v>334.46235196533502</c:v>
                </c:pt>
                <c:pt idx="41">
                  <c:v>264.85390518195561</c:v>
                </c:pt>
                <c:pt idx="42">
                  <c:v>282.29065500591184</c:v>
                </c:pt>
                <c:pt idx="43">
                  <c:v>299.70327852559694</c:v>
                </c:pt>
                <c:pt idx="44">
                  <c:v>317.09337448903153</c:v>
                </c:pt>
                <c:pt idx="45">
                  <c:v>334.46235196533513</c:v>
                </c:pt>
                <c:pt idx="46">
                  <c:v>351.39860979301596</c:v>
                </c:pt>
                <c:pt idx="47">
                  <c:v>368.3169759234454</c:v>
                </c:pt>
                <c:pt idx="48">
                  <c:v>385.21838765576626</c:v>
                </c:pt>
                <c:pt idx="49">
                  <c:v>402.10369334769052</c:v>
                </c:pt>
                <c:pt idx="50">
                  <c:v>418.97366431319239</c:v>
                </c:pt>
                <c:pt idx="51">
                  <c:v>348.92127422322784</c:v>
                </c:pt>
                <c:pt idx="52">
                  <c:v>365.42969930916388</c:v>
                </c:pt>
                <c:pt idx="53">
                  <c:v>381.9218413257197</c:v>
                </c:pt>
                <c:pt idx="54">
                  <c:v>398.39850220884642</c:v>
                </c:pt>
                <c:pt idx="55">
                  <c:v>414.86041216554025</c:v>
                </c:pt>
                <c:pt idx="56">
                  <c:v>430.48617222970438</c:v>
                </c:pt>
                <c:pt idx="57">
                  <c:v>446.0997486227979</c:v>
                </c:pt>
                <c:pt idx="58">
                  <c:v>461.70162769615786</c:v>
                </c:pt>
                <c:pt idx="59">
                  <c:v>477.29226026061059</c:v>
                </c:pt>
                <c:pt idx="60">
                  <c:v>492.87206528378402</c:v>
                </c:pt>
                <c:pt idx="61">
                  <c:v>421.44119734263637</c:v>
                </c:pt>
                <c:pt idx="62">
                  <c:v>436.23993334518991</c:v>
                </c:pt>
                <c:pt idx="63">
                  <c:v>451.02789946978169</c:v>
                </c:pt>
                <c:pt idx="64">
                  <c:v>465.80549848090754</c:v>
                </c:pt>
                <c:pt idx="65">
                  <c:v>480.57310550984766</c:v>
                </c:pt>
                <c:pt idx="66">
                  <c:v>494.51143108208981</c:v>
                </c:pt>
                <c:pt idx="67">
                  <c:v>508.44143309569387</c:v>
                </c:pt>
                <c:pt idx="68">
                  <c:v>522.36337165879229</c:v>
                </c:pt>
                <c:pt idx="69">
                  <c:v>536.27749188826908</c:v>
                </c:pt>
                <c:pt idx="70">
                  <c:v>550.1840251484324</c:v>
                </c:pt>
                <c:pt idx="71">
                  <c:v>476.88212094653812</c:v>
                </c:pt>
                <c:pt idx="72">
                  <c:v>489.59298637351299</c:v>
                </c:pt>
                <c:pt idx="73">
                  <c:v>502.29685299496032</c:v>
                </c:pt>
                <c:pt idx="74">
                  <c:v>514.99392273715932</c:v>
                </c:pt>
                <c:pt idx="75">
                  <c:v>527.68438675921141</c:v>
                </c:pt>
                <c:pt idx="76">
                  <c:v>539.95936220671649</c:v>
                </c:pt>
                <c:pt idx="77">
                  <c:v>552.22847702156594</c:v>
                </c:pt>
                <c:pt idx="78">
                  <c:v>564.49187973331675</c:v>
                </c:pt>
                <c:pt idx="79">
                  <c:v>576.74971189331643</c:v>
                </c:pt>
                <c:pt idx="80">
                  <c:v>589.00210854701243</c:v>
                </c:pt>
                <c:pt idx="81">
                  <c:v>514.58444394878302</c:v>
                </c:pt>
                <c:pt idx="82">
                  <c:v>526.04727227111368</c:v>
                </c:pt>
                <c:pt idx="83">
                  <c:v>537.50484084926495</c:v>
                </c:pt>
                <c:pt idx="84">
                  <c:v>548.95727759070985</c:v>
                </c:pt>
                <c:pt idx="85">
                  <c:v>560.40470463156907</c:v>
                </c:pt>
                <c:pt idx="86">
                  <c:v>571.84723871208746</c:v>
                </c:pt>
                <c:pt idx="87">
                  <c:v>583.28499152050188</c:v>
                </c:pt>
                <c:pt idx="88">
                  <c:v>594.71807000854017</c:v>
                </c:pt>
                <c:pt idx="89">
                  <c:v>606.14657668140785</c:v>
                </c:pt>
                <c:pt idx="90">
                  <c:v>617.57060986476938</c:v>
                </c:pt>
                <c:pt idx="91">
                  <c:v>541.80009933248743</c:v>
                </c:pt>
                <c:pt idx="92">
                  <c:v>551.81959936072451</c:v>
                </c:pt>
                <c:pt idx="93">
                  <c:v>561.835286637698</c:v>
                </c:pt>
                <c:pt idx="94">
                  <c:v>571.84723871208746</c:v>
                </c:pt>
                <c:pt idx="95">
                  <c:v>581.85553019580914</c:v>
                </c:pt>
                <c:pt idx="96">
                  <c:v>591.86023292490802</c:v>
                </c:pt>
                <c:pt idx="97">
                  <c:v>601.86141610900938</c:v>
                </c:pt>
                <c:pt idx="98">
                  <c:v>611.85914647032064</c:v>
                </c:pt>
                <c:pt idx="99">
                  <c:v>621.85348837307845</c:v>
                </c:pt>
                <c:pt idx="100">
                  <c:v>631.84450394424437</c:v>
                </c:pt>
                <c:pt idx="101">
                  <c:v>555.09044325536718</c:v>
                </c:pt>
                <c:pt idx="102">
                  <c:v>564.08319015797451</c:v>
                </c:pt>
                <c:pt idx="103">
                  <c:v>573.07293899689409</c:v>
                </c:pt>
                <c:pt idx="104">
                  <c:v>582.05974343549417</c:v>
                </c:pt>
                <c:pt idx="105">
                  <c:v>591.04365534487806</c:v>
                </c:pt>
                <c:pt idx="106">
                  <c:v>600.0247248906611</c:v>
                </c:pt>
                <c:pt idx="107">
                  <c:v>609.00300061428027</c:v>
                </c:pt>
                <c:pt idx="108">
                  <c:v>617.97852950926267</c:v>
                </c:pt>
                <c:pt idx="109">
                  <c:v>626.95135709283159</c:v>
                </c:pt>
                <c:pt idx="110">
                  <c:v>635.92152747320199</c:v>
                </c:pt>
                <c:pt idx="111">
                  <c:v>563.87884304786473</c:v>
                </c:pt>
                <c:pt idx="112">
                  <c:v>571.43865976099426</c:v>
                </c:pt>
                <c:pt idx="113">
                  <c:v>578.99638763382268</c:v>
                </c:pt>
                <c:pt idx="114">
                  <c:v>586.55205778199286</c:v>
                </c:pt>
                <c:pt idx="115">
                  <c:v>594.10570045401494</c:v>
                </c:pt>
                <c:pt idx="116">
                  <c:v>601.65734506638762</c:v>
                </c:pt>
                <c:pt idx="117">
                  <c:v>609.20702023686624</c:v>
                </c:pt>
                <c:pt idx="118">
                  <c:v>616.75475381599438</c:v>
                </c:pt>
                <c:pt idx="119">
                  <c:v>624.300572917012</c:v>
                </c:pt>
                <c:pt idx="120">
                  <c:v>631.84450394424357</c:v>
                </c:pt>
                <c:pt idx="121">
                  <c:v>566.94388739716328</c:v>
                </c:pt>
                <c:pt idx="122">
                  <c:v>573.48149358555565</c:v>
                </c:pt>
                <c:pt idx="123">
                  <c:v>580.01754370959543</c:v>
                </c:pt>
                <c:pt idx="124">
                  <c:v>586.55205778199274</c:v>
                </c:pt>
                <c:pt idx="125">
                  <c:v>593.08505533306914</c:v>
                </c:pt>
                <c:pt idx="126">
                  <c:v>599.61655542768813</c:v>
                </c:pt>
                <c:pt idx="127">
                  <c:v>606.1465766814066</c:v>
                </c:pt>
                <c:pt idx="128">
                  <c:v>612.67513727589676</c:v>
                </c:pt>
                <c:pt idx="129">
                  <c:v>619.20225497367471</c:v>
                </c:pt>
                <c:pt idx="130">
                  <c:v>625.72794713217661</c:v>
                </c:pt>
                <c:pt idx="131">
                  <c:v>567.96549176174028</c:v>
                </c:pt>
                <c:pt idx="132">
                  <c:v>573.48149358555554</c:v>
                </c:pt>
                <c:pt idx="133">
                  <c:v>578.99638763382234</c:v>
                </c:pt>
                <c:pt idx="134">
                  <c:v>584.51018595041944</c:v>
                </c:pt>
                <c:pt idx="135">
                  <c:v>590.0229003333842</c:v>
                </c:pt>
                <c:pt idx="136">
                  <c:v>595.53454234222977</c:v>
                </c:pt>
                <c:pt idx="137">
                  <c:v>601.04512330498039</c:v>
                </c:pt>
                <c:pt idx="138">
                  <c:v>606.55465432493247</c:v>
                </c:pt>
                <c:pt idx="139">
                  <c:v>612.06314628715938</c:v>
                </c:pt>
                <c:pt idx="140">
                  <c:v>617.57060986476779</c:v>
                </c:pt>
                <c:pt idx="141">
                  <c:v>567.35253375731406</c:v>
                </c:pt>
                <c:pt idx="142">
                  <c:v>572.25581156511964</c:v>
                </c:pt>
                <c:pt idx="143">
                  <c:v>577.15821195532533</c:v>
                </c:pt>
                <c:pt idx="144">
                  <c:v>582.05974343549315</c:v>
                </c:pt>
                <c:pt idx="145">
                  <c:v>586.96041435814834</c:v>
                </c:pt>
                <c:pt idx="146">
                  <c:v>591.86023292490643</c:v>
                </c:pt>
                <c:pt idx="147">
                  <c:v>596.75920719045291</c:v>
                </c:pt>
                <c:pt idx="148">
                  <c:v>601.65734506638671</c:v>
                </c:pt>
                <c:pt idx="149">
                  <c:v>606.55465432493213</c:v>
                </c:pt>
                <c:pt idx="150">
                  <c:v>611.45114260252456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79066416"/>
        <c:axId val="-1779064240"/>
      </c:scatterChart>
      <c:valAx>
        <c:axId val="-17790664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79064240"/>
        <c:crosses val="autoZero"/>
        <c:crossBetween val="midCat"/>
      </c:valAx>
      <c:valAx>
        <c:axId val="-1779064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790664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87.672415653160499</c:v>
                </c:pt>
                <c:pt idx="17">
                  <c:v>104.14760645595801</c:v>
                </c:pt>
                <c:pt idx="18">
                  <c:v>120.55829551377816</c:v>
                </c:pt>
                <c:pt idx="19">
                  <c:v>136.9145198877824</c:v>
                </c:pt>
                <c:pt idx="20">
                  <c:v>153.22371186614834</c:v>
                </c:pt>
                <c:pt idx="21">
                  <c:v>171.18397278750868</c:v>
                </c:pt>
                <c:pt idx="22">
                  <c:v>189.09987078266826</c:v>
                </c:pt>
                <c:pt idx="23">
                  <c:v>206.97620217195148</c:v>
                </c:pt>
                <c:pt idx="24">
                  <c:v>224.81686592693052</c:v>
                </c:pt>
                <c:pt idx="25">
                  <c:v>242.62509103866606</c:v>
                </c:pt>
                <c:pt idx="26">
                  <c:v>169.32232688472158</c:v>
                </c:pt>
                <c:pt idx="27">
                  <c:v>188.76221470729047</c:v>
                </c:pt>
                <c:pt idx="28">
                  <c:v>208.15542061438953</c:v>
                </c:pt>
                <c:pt idx="29">
                  <c:v>227.50690659831912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263.58734797276014</c:v>
                </c:pt>
                <c:pt idx="35">
                  <c:v>282.83933776674911</c:v>
                </c:pt>
                <c:pt idx="36">
                  <c:v>302.06197856553018</c:v>
                </c:pt>
                <c:pt idx="37">
                  <c:v>321.25740024962437</c:v>
                </c:pt>
                <c:pt idx="38">
                  <c:v>279.73236813579507</c:v>
                </c:pt>
                <c:pt idx="39">
                  <c:v>298.36290228402572</c:v>
                </c:pt>
                <c:pt idx="40">
                  <c:v>316.96751977104663</c:v>
                </c:pt>
                <c:pt idx="41">
                  <c:v>335.54795535646372</c:v>
                </c:pt>
                <c:pt idx="42">
                  <c:v>354.10573601815048</c:v>
                </c:pt>
                <c:pt idx="43">
                  <c:v>372.64221565134471</c:v>
                </c:pt>
                <c:pt idx="44">
                  <c:v>391.15860250001066</c:v>
                </c:pt>
                <c:pt idx="45">
                  <c:v>336.88699770815003</c:v>
                </c:pt>
                <c:pt idx="46">
                  <c:v>354.16518115704031</c:v>
                </c:pt>
                <c:pt idx="47">
                  <c:v>371.42490308727605</c:v>
                </c:pt>
                <c:pt idx="48">
                  <c:v>388.66714186934956</c:v>
                </c:pt>
                <c:pt idx="49">
                  <c:v>405.89278200614257</c:v>
                </c:pt>
                <c:pt idx="50">
                  <c:v>423.1026268227929</c:v>
                </c:pt>
                <c:pt idx="51">
                  <c:v>440.29740898417259</c:v>
                </c:pt>
                <c:pt idx="52">
                  <c:v>457.47779928386598</c:v>
                </c:pt>
                <c:pt idx="53">
                  <c:v>393.44213889474253</c:v>
                </c:pt>
                <c:pt idx="54">
                  <c:v>409.00414204035161</c:v>
                </c:pt>
                <c:pt idx="55">
                  <c:v>424.55336102424576</c:v>
                </c:pt>
                <c:pt idx="56">
                  <c:v>440.09032987714431</c:v>
                </c:pt>
                <c:pt idx="57">
                  <c:v>455.61554185670815</c:v>
                </c:pt>
                <c:pt idx="58">
                  <c:v>471.12945387268002</c:v>
                </c:pt>
                <c:pt idx="59">
                  <c:v>486.63249029889352</c:v>
                </c:pt>
                <c:pt idx="60">
                  <c:v>502.12504627431412</c:v>
                </c:pt>
                <c:pt idx="61">
                  <c:v>438.70974904240546</c:v>
                </c:pt>
                <c:pt idx="62">
                  <c:v>453.06329508642131</c:v>
                </c:pt>
                <c:pt idx="63">
                  <c:v>467.40712233198587</c:v>
                </c:pt>
                <c:pt idx="64">
                  <c:v>481.74157097323291</c:v>
                </c:pt>
                <c:pt idx="65">
                  <c:v>496.06695931286299</c:v>
                </c:pt>
                <c:pt idx="66">
                  <c:v>510.38358577553487</c:v>
                </c:pt>
                <c:pt idx="67">
                  <c:v>524.69173068364421</c:v>
                </c:pt>
                <c:pt idx="68">
                  <c:v>538.99165782937473</c:v>
                </c:pt>
                <c:pt idx="69">
                  <c:v>553.28361587129064</c:v>
                </c:pt>
                <c:pt idx="70">
                  <c:v>2.5073107750038623E-12</c:v>
                </c:pt>
                <c:pt idx="71">
                  <c:v>2.5073107750038623E-12</c:v>
                </c:pt>
                <c:pt idx="72">
                  <c:v>2.5073107750038623E-12</c:v>
                </c:pt>
                <c:pt idx="73">
                  <c:v>2.5073107750038623E-12</c:v>
                </c:pt>
                <c:pt idx="74">
                  <c:v>2.5073107750038623E-12</c:v>
                </c:pt>
                <c:pt idx="75">
                  <c:v>2.5073107750038623E-12</c:v>
                </c:pt>
                <c:pt idx="76">
                  <c:v>2.5073107750038623E-12</c:v>
                </c:pt>
                <c:pt idx="77">
                  <c:v>2.5073107750038623E-12</c:v>
                </c:pt>
                <c:pt idx="78">
                  <c:v>2.5073107750038623E-12</c:v>
                </c:pt>
                <c:pt idx="79">
                  <c:v>2.5073107750038623E-12</c:v>
                </c:pt>
                <c:pt idx="80">
                  <c:v>2.5073107750038623E-12</c:v>
                </c:pt>
                <c:pt idx="81">
                  <c:v>2.5073107750038623E-12</c:v>
                </c:pt>
                <c:pt idx="82">
                  <c:v>2.5073107750038623E-12</c:v>
                </c:pt>
                <c:pt idx="83">
                  <c:v>2.5073107750038623E-12</c:v>
                </c:pt>
                <c:pt idx="84">
                  <c:v>2.5073107750038623E-12</c:v>
                </c:pt>
                <c:pt idx="85">
                  <c:v>2.5073107750038623E-12</c:v>
                </c:pt>
                <c:pt idx="86">
                  <c:v>2.5073107750038623E-12</c:v>
                </c:pt>
                <c:pt idx="87">
                  <c:v>2.5073107750038623E-12</c:v>
                </c:pt>
                <c:pt idx="88">
                  <c:v>2.5073107750038623E-12</c:v>
                </c:pt>
                <c:pt idx="89">
                  <c:v>2.5073107750038623E-12</c:v>
                </c:pt>
                <c:pt idx="90">
                  <c:v>2.5073107750038623E-12</c:v>
                </c:pt>
                <c:pt idx="91">
                  <c:v>2.5073107750038623E-12</c:v>
                </c:pt>
                <c:pt idx="92">
                  <c:v>2.5073107750038623E-12</c:v>
                </c:pt>
                <c:pt idx="93">
                  <c:v>2.5073107750038623E-12</c:v>
                </c:pt>
                <c:pt idx="94">
                  <c:v>2.5073107750038623E-12</c:v>
                </c:pt>
                <c:pt idx="95">
                  <c:v>2.5073107750038623E-12</c:v>
                </c:pt>
                <c:pt idx="96">
                  <c:v>2.5073107750038623E-12</c:v>
                </c:pt>
                <c:pt idx="97">
                  <c:v>2.5073107750038623E-12</c:v>
                </c:pt>
                <c:pt idx="98">
                  <c:v>2.5073107750038623E-12</c:v>
                </c:pt>
                <c:pt idx="99">
                  <c:v>2.5073107750038623E-12</c:v>
                </c:pt>
                <c:pt idx="100">
                  <c:v>2.5073107750038623E-12</c:v>
                </c:pt>
                <c:pt idx="101">
                  <c:v>2.5073107750038623E-12</c:v>
                </c:pt>
                <c:pt idx="102">
                  <c:v>2.5073107750038623E-12</c:v>
                </c:pt>
                <c:pt idx="103">
                  <c:v>2.5073107750038623E-12</c:v>
                </c:pt>
                <c:pt idx="104">
                  <c:v>2.5073107750038623E-12</c:v>
                </c:pt>
                <c:pt idx="105">
                  <c:v>2.5073107750038623E-12</c:v>
                </c:pt>
                <c:pt idx="106">
                  <c:v>2.5073107750038623E-12</c:v>
                </c:pt>
                <c:pt idx="107">
                  <c:v>2.5073107750038623E-12</c:v>
                </c:pt>
                <c:pt idx="108">
                  <c:v>2.5073107750038623E-12</c:v>
                </c:pt>
                <c:pt idx="109">
                  <c:v>2.5073107750038623E-12</c:v>
                </c:pt>
                <c:pt idx="110">
                  <c:v>2.5073107750038623E-12</c:v>
                </c:pt>
                <c:pt idx="111">
                  <c:v>2.5073107750038623E-12</c:v>
                </c:pt>
                <c:pt idx="112">
                  <c:v>2.5073107750038623E-12</c:v>
                </c:pt>
                <c:pt idx="113">
                  <c:v>2.5073107750038623E-12</c:v>
                </c:pt>
                <c:pt idx="114">
                  <c:v>2.5073107750038623E-12</c:v>
                </c:pt>
                <c:pt idx="115">
                  <c:v>2.5073107750038623E-12</c:v>
                </c:pt>
                <c:pt idx="116">
                  <c:v>2.5073107750038623E-12</c:v>
                </c:pt>
                <c:pt idx="117">
                  <c:v>2.5073107750038623E-12</c:v>
                </c:pt>
                <c:pt idx="118">
                  <c:v>2.5073107750038623E-12</c:v>
                </c:pt>
                <c:pt idx="119">
                  <c:v>2.5073107750038623E-12</c:v>
                </c:pt>
                <c:pt idx="120">
                  <c:v>2.5073107750038623E-12</c:v>
                </c:pt>
                <c:pt idx="121">
                  <c:v>2.5073107750038623E-12</c:v>
                </c:pt>
                <c:pt idx="122">
                  <c:v>2.5073107750038623E-12</c:v>
                </c:pt>
                <c:pt idx="123">
                  <c:v>2.5073107750038623E-12</c:v>
                </c:pt>
                <c:pt idx="124">
                  <c:v>2.5073107750038623E-12</c:v>
                </c:pt>
                <c:pt idx="125">
                  <c:v>2.5073107750038623E-12</c:v>
                </c:pt>
                <c:pt idx="126">
                  <c:v>2.5073107750038623E-12</c:v>
                </c:pt>
                <c:pt idx="127">
                  <c:v>2.5073107750038623E-12</c:v>
                </c:pt>
                <c:pt idx="128">
                  <c:v>2.5073107750038623E-12</c:v>
                </c:pt>
                <c:pt idx="129">
                  <c:v>2.5073107750038623E-12</c:v>
                </c:pt>
                <c:pt idx="130">
                  <c:v>2.5073107750038623E-12</c:v>
                </c:pt>
                <c:pt idx="131">
                  <c:v>2.5073107750038623E-12</c:v>
                </c:pt>
                <c:pt idx="132">
                  <c:v>2.5073107750038623E-12</c:v>
                </c:pt>
                <c:pt idx="133">
                  <c:v>2.5073107750038623E-12</c:v>
                </c:pt>
                <c:pt idx="134">
                  <c:v>2.5073107750038623E-12</c:v>
                </c:pt>
                <c:pt idx="135">
                  <c:v>2.5073107750038623E-12</c:v>
                </c:pt>
                <c:pt idx="136">
                  <c:v>2.5073107750038623E-12</c:v>
                </c:pt>
                <c:pt idx="137">
                  <c:v>2.5073107750038623E-12</c:v>
                </c:pt>
                <c:pt idx="138">
                  <c:v>2.5073107750038623E-12</c:v>
                </c:pt>
                <c:pt idx="139">
                  <c:v>2.5073107750038623E-12</c:v>
                </c:pt>
                <c:pt idx="140">
                  <c:v>2.5073107750038623E-12</c:v>
                </c:pt>
                <c:pt idx="141">
                  <c:v>2.5073107750038623E-12</c:v>
                </c:pt>
                <c:pt idx="142">
                  <c:v>2.5073107750038623E-12</c:v>
                </c:pt>
                <c:pt idx="143">
                  <c:v>2.5073107750038623E-12</c:v>
                </c:pt>
                <c:pt idx="144">
                  <c:v>2.5073107750038623E-12</c:v>
                </c:pt>
                <c:pt idx="145">
                  <c:v>2.5073107750038623E-12</c:v>
                </c:pt>
                <c:pt idx="146">
                  <c:v>2.5073107750038623E-12</c:v>
                </c:pt>
                <c:pt idx="147">
                  <c:v>2.5073107750038623E-12</c:v>
                </c:pt>
                <c:pt idx="148">
                  <c:v>2.5073107750038623E-12</c:v>
                </c:pt>
                <c:pt idx="149">
                  <c:v>2.5073107750038623E-12</c:v>
                </c:pt>
                <c:pt idx="150">
                  <c:v>2.5073107750038623E-12</c:v>
                </c:pt>
                <c:pt idx="151">
                  <c:v>2.5073107750038623E-12</c:v>
                </c:pt>
                <c:pt idx="152">
                  <c:v>2.5073107750038623E-12</c:v>
                </c:pt>
                <c:pt idx="153">
                  <c:v>2.5073107750038623E-12</c:v>
                </c:pt>
                <c:pt idx="154">
                  <c:v>2.5073107750038623E-12</c:v>
                </c:pt>
                <c:pt idx="155">
                  <c:v>2.5073107750038623E-12</c:v>
                </c:pt>
                <c:pt idx="156">
                  <c:v>2.5073107750038623E-12</c:v>
                </c:pt>
                <c:pt idx="157">
                  <c:v>2.5073107750038623E-12</c:v>
                </c:pt>
                <c:pt idx="158">
                  <c:v>2.5073107750038623E-12</c:v>
                </c:pt>
                <c:pt idx="159">
                  <c:v>2.5073107750038623E-12</c:v>
                </c:pt>
                <c:pt idx="160">
                  <c:v>2.5073107750038623E-12</c:v>
                </c:pt>
                <c:pt idx="161">
                  <c:v>2.5073107750038623E-12</c:v>
                </c:pt>
                <c:pt idx="162">
                  <c:v>2.5073107750038623E-12</c:v>
                </c:pt>
                <c:pt idx="163">
                  <c:v>2.5073107750038623E-12</c:v>
                </c:pt>
                <c:pt idx="164">
                  <c:v>2.5073107750038623E-12</c:v>
                </c:pt>
                <c:pt idx="165">
                  <c:v>2.5073107750038623E-12</c:v>
                </c:pt>
                <c:pt idx="166">
                  <c:v>2.5073107750038623E-12</c:v>
                </c:pt>
                <c:pt idx="167">
                  <c:v>2.5073107750038623E-12</c:v>
                </c:pt>
                <c:pt idx="168">
                  <c:v>2.5073107750038623E-12</c:v>
                </c:pt>
                <c:pt idx="169">
                  <c:v>2.5073107750038623E-12</c:v>
                </c:pt>
                <c:pt idx="170">
                  <c:v>2.5073107750038623E-12</c:v>
                </c:pt>
                <c:pt idx="171">
                  <c:v>2.5073107750038623E-12</c:v>
                </c:pt>
                <c:pt idx="172">
                  <c:v>2.5073107750038623E-12</c:v>
                </c:pt>
                <c:pt idx="173">
                  <c:v>2.5073107750038623E-12</c:v>
                </c:pt>
                <c:pt idx="174">
                  <c:v>2.5073107750038623E-12</c:v>
                </c:pt>
                <c:pt idx="175">
                  <c:v>2.5073107750038623E-12</c:v>
                </c:pt>
                <c:pt idx="176">
                  <c:v>2.5073107750038623E-12</c:v>
                </c:pt>
                <c:pt idx="177">
                  <c:v>2.5073107750038623E-12</c:v>
                </c:pt>
                <c:pt idx="178">
                  <c:v>2.5073107750038623E-12</c:v>
                </c:pt>
                <c:pt idx="179">
                  <c:v>2.5073107750038623E-12</c:v>
                </c:pt>
                <c:pt idx="180">
                  <c:v>2.5073107750038623E-12</c:v>
                </c:pt>
                <c:pt idx="181">
                  <c:v>2.5073107750038623E-12</c:v>
                </c:pt>
                <c:pt idx="182">
                  <c:v>2.5073107750038623E-12</c:v>
                </c:pt>
                <c:pt idx="183">
                  <c:v>2.5073107750038623E-12</c:v>
                </c:pt>
                <c:pt idx="184">
                  <c:v>2.5073107750038623E-12</c:v>
                </c:pt>
                <c:pt idx="185">
                  <c:v>2.5073107750038623E-12</c:v>
                </c:pt>
                <c:pt idx="186">
                  <c:v>2.5073107750038623E-12</c:v>
                </c:pt>
                <c:pt idx="187">
                  <c:v>2.5073107750038623E-12</c:v>
                </c:pt>
                <c:pt idx="188">
                  <c:v>2.5073107750038623E-12</c:v>
                </c:pt>
                <c:pt idx="189">
                  <c:v>2.5073107750038623E-12</c:v>
                </c:pt>
                <c:pt idx="190">
                  <c:v>2.5073107750038623E-12</c:v>
                </c:pt>
                <c:pt idx="191">
                  <c:v>2.5073107750038623E-12</c:v>
                </c:pt>
                <c:pt idx="192">
                  <c:v>2.5073107750038623E-12</c:v>
                </c:pt>
                <c:pt idx="193">
                  <c:v>2.5073107750038623E-12</c:v>
                </c:pt>
                <c:pt idx="194">
                  <c:v>2.5073107750038623E-12</c:v>
                </c:pt>
                <c:pt idx="195">
                  <c:v>2.5073107750038623E-12</c:v>
                </c:pt>
                <c:pt idx="196">
                  <c:v>2.5073107750038623E-12</c:v>
                </c:pt>
                <c:pt idx="197">
                  <c:v>2.5073107750038623E-12</c:v>
                </c:pt>
                <c:pt idx="198">
                  <c:v>2.5073107750038623E-12</c:v>
                </c:pt>
                <c:pt idx="199">
                  <c:v>2.5073107750038623E-12</c:v>
                </c:pt>
                <c:pt idx="200">
                  <c:v>2.5073107750038623E-12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79054992"/>
        <c:axId val="-1779066960"/>
      </c:scatterChart>
      <c:valAx>
        <c:axId val="-17790549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79066960"/>
        <c:crosses val="autoZero"/>
        <c:crossBetween val="midCat"/>
      </c:valAx>
      <c:valAx>
        <c:axId val="-1779066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790549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79058800"/>
        <c:axId val="-1779064784"/>
      </c:scatterChart>
      <c:valAx>
        <c:axId val="-1779058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79064784"/>
        <c:crosses val="autoZero"/>
        <c:crossBetween val="midCat"/>
      </c:valAx>
      <c:valAx>
        <c:axId val="-1779064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79058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79054448"/>
        <c:axId val="-1779065872"/>
      </c:scatterChart>
      <c:valAx>
        <c:axId val="-17790544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79065872"/>
        <c:crosses val="autoZero"/>
        <c:crossBetween val="midCat"/>
      </c:valAx>
      <c:valAx>
        <c:axId val="-1779065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790544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79063696"/>
        <c:axId val="-1779068592"/>
      </c:scatterChart>
      <c:valAx>
        <c:axId val="-1779063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79068592"/>
        <c:crosses val="autoZero"/>
        <c:crossBetween val="midCat"/>
      </c:valAx>
      <c:valAx>
        <c:axId val="-1779068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79063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79065328"/>
        <c:axId val="-1779063152"/>
      </c:scatterChart>
      <c:valAx>
        <c:axId val="-17790653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79063152"/>
        <c:crosses val="autoZero"/>
        <c:crossBetween val="midCat"/>
      </c:valAx>
      <c:valAx>
        <c:axId val="-1779063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790653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79058256"/>
        <c:axId val="-1779057712"/>
      </c:scatterChart>
      <c:valAx>
        <c:axId val="-1779058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79057712"/>
        <c:crosses val="autoZero"/>
        <c:crossBetween val="midCat"/>
      </c:valAx>
      <c:valAx>
        <c:axId val="-17790577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79058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tabSelected="1" topLeftCell="A7" zoomScale="80" zoomScaleNormal="80" workbookViewId="0">
      <selection activeCell="C51" sqref="C51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1" t="s">
        <v>291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</row>
    <row r="13" spans="2:13" ht="15" customHeight="1" x14ac:dyDescent="0.3">
      <c r="B13" s="291"/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</row>
    <row r="14" spans="2:13" ht="15" customHeight="1" x14ac:dyDescent="0.3">
      <c r="B14" s="291"/>
      <c r="C14" s="291"/>
      <c r="D14" s="291"/>
      <c r="E14" s="291"/>
      <c r="F14" s="291"/>
      <c r="G14" s="291"/>
      <c r="H14" s="291"/>
      <c r="I14" s="291"/>
      <c r="J14" s="291"/>
      <c r="K14" s="291"/>
      <c r="L14" s="291"/>
      <c r="M14" s="291"/>
    </row>
    <row r="15" spans="2:13" ht="18.75" customHeight="1" x14ac:dyDescent="0.3">
      <c r="B15" s="291"/>
      <c r="C15" s="291"/>
      <c r="D15" s="291"/>
      <c r="E15" s="291"/>
      <c r="F15" s="291"/>
      <c r="G15" s="291"/>
      <c r="H15" s="291"/>
      <c r="I15" s="291"/>
      <c r="J15" s="291"/>
      <c r="K15" s="291"/>
      <c r="L15" s="291"/>
      <c r="M15" s="291"/>
    </row>
    <row r="16" spans="2:13" ht="18.75" customHeight="1" x14ac:dyDescent="0.3">
      <c r="B16" s="291"/>
      <c r="C16" s="291"/>
      <c r="D16" s="291"/>
      <c r="E16" s="291"/>
      <c r="F16" s="291"/>
      <c r="G16" s="291"/>
      <c r="H16" s="291"/>
      <c r="I16" s="291"/>
      <c r="J16" s="291"/>
      <c r="K16" s="291"/>
      <c r="L16" s="291"/>
      <c r="M16" s="291"/>
    </row>
    <row r="18" spans="2:13" ht="12" customHeight="1" x14ac:dyDescent="0.3">
      <c r="B18" s="291" t="s">
        <v>292</v>
      </c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</row>
    <row r="19" spans="2:13" ht="12" customHeight="1" x14ac:dyDescent="0.3">
      <c r="B19" s="291"/>
      <c r="C19" s="291"/>
      <c r="D19" s="291"/>
      <c r="E19" s="291"/>
      <c r="F19" s="291"/>
      <c r="G19" s="291"/>
      <c r="H19" s="291"/>
      <c r="I19" s="291"/>
      <c r="J19" s="291"/>
      <c r="K19" s="291"/>
      <c r="L19" s="291"/>
      <c r="M19" s="291"/>
    </row>
    <row r="20" spans="2:13" ht="12" customHeight="1" x14ac:dyDescent="0.3">
      <c r="B20" s="291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</row>
    <row r="21" spans="2:13" ht="12" customHeight="1" x14ac:dyDescent="0.3">
      <c r="B21" s="291"/>
      <c r="C21" s="291"/>
      <c r="D21" s="291"/>
      <c r="E21" s="291"/>
      <c r="F21" s="291"/>
      <c r="G21" s="291"/>
      <c r="H21" s="291"/>
      <c r="I21" s="291"/>
      <c r="J21" s="291"/>
      <c r="K21" s="291"/>
      <c r="L21" s="291"/>
      <c r="M21" s="291"/>
    </row>
    <row r="22" spans="2:13" ht="12" customHeight="1" x14ac:dyDescent="0.3">
      <c r="B22" s="291"/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</row>
    <row r="23" spans="2:13" ht="12" customHeight="1" x14ac:dyDescent="0.3"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</row>
    <row r="24" spans="2:13" ht="12" customHeight="1" x14ac:dyDescent="0.3"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</row>
    <row r="25" spans="2:13" ht="12" customHeight="1" x14ac:dyDescent="0.3">
      <c r="B25" s="291"/>
      <c r="C25" s="291"/>
      <c r="D25" s="291"/>
      <c r="E25" s="291"/>
      <c r="F25" s="291"/>
      <c r="G25" s="291"/>
      <c r="H25" s="291"/>
      <c r="I25" s="291"/>
      <c r="J25" s="291"/>
      <c r="K25" s="291"/>
      <c r="L25" s="291"/>
      <c r="M25" s="291"/>
    </row>
    <row r="26" spans="2:13" ht="12" customHeight="1" x14ac:dyDescent="0.3">
      <c r="B26" s="291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</row>
    <row r="27" spans="2:13" ht="12" customHeight="1" x14ac:dyDescent="0.3"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2:13" ht="12" customHeight="1" x14ac:dyDescent="0.3">
      <c r="B28" s="291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</row>
    <row r="29" spans="2:13" ht="12" customHeight="1" x14ac:dyDescent="0.3">
      <c r="B29" s="291"/>
      <c r="C29" s="291"/>
      <c r="D29" s="291"/>
      <c r="E29" s="291"/>
      <c r="F29" s="291"/>
      <c r="G29" s="291"/>
      <c r="H29" s="291"/>
      <c r="I29" s="291"/>
      <c r="J29" s="291"/>
      <c r="K29" s="291"/>
      <c r="L29" s="291"/>
      <c r="M29" s="291"/>
    </row>
    <row r="30" spans="2:13" ht="12" customHeight="1" x14ac:dyDescent="0.3"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</row>
    <row r="31" spans="2:13" ht="12" customHeight="1" x14ac:dyDescent="0.3">
      <c r="B31" s="291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4" zoomScale="80" zoomScaleNormal="80" workbookViewId="0">
      <selection activeCell="D29" sqref="D29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6" t="s">
        <v>190</v>
      </c>
      <c r="D1" s="296"/>
      <c r="E1" s="29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7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7" t="s">
        <v>192</v>
      </c>
      <c r="C3" s="298"/>
      <c r="D3" s="298"/>
      <c r="E3" s="298"/>
      <c r="F3" s="299"/>
      <c r="G3" s="94"/>
      <c r="I3" s="227" t="s">
        <v>304</v>
      </c>
      <c r="J3" s="9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6"/>
      <c r="B4" s="96"/>
      <c r="C4" s="96"/>
      <c r="D4" s="96"/>
      <c r="E4" s="96"/>
      <c r="F4" s="96"/>
      <c r="G4" s="237"/>
      <c r="I4" s="227" t="s">
        <v>305</v>
      </c>
      <c r="J4" s="9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3" t="s">
        <v>231</v>
      </c>
      <c r="B5" s="303"/>
      <c r="C5" s="26">
        <v>1.78</v>
      </c>
      <c r="D5" s="304" t="s">
        <v>229</v>
      </c>
      <c r="E5" s="305"/>
      <c r="F5" s="96"/>
      <c r="G5" s="237"/>
      <c r="H5" s="238"/>
      <c r="I5" s="238"/>
      <c r="J5" s="246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7"/>
      <c r="B6" s="97"/>
      <c r="C6" s="98"/>
      <c r="D6" s="91"/>
      <c r="E6" s="91"/>
      <c r="F6" s="29"/>
      <c r="G6" s="239"/>
      <c r="H6" s="240"/>
      <c r="I6" s="240"/>
      <c r="J6" s="247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</row>
    <row r="7" spans="1:38" ht="25.8" x14ac:dyDescent="0.3">
      <c r="A7" s="301" t="s">
        <v>226</v>
      </c>
      <c r="B7" s="301"/>
      <c r="C7" s="96"/>
      <c r="D7" s="96"/>
      <c r="E7" s="5"/>
      <c r="F7" s="96"/>
      <c r="G7" s="237"/>
      <c r="H7" s="238"/>
      <c r="I7" s="238"/>
      <c r="J7" s="246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2"/>
      <c r="J8" s="246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44</v>
      </c>
      <c r="C9" s="35">
        <v>0.33700000000000002</v>
      </c>
      <c r="D9" s="36">
        <f t="shared" ref="D9:D18" si="0">C9*$C$5</f>
        <v>0.59986000000000006</v>
      </c>
      <c r="E9" s="37">
        <v>45</v>
      </c>
      <c r="F9" s="38" t="str">
        <f t="array" ref="F9">IF(E9="","",IF(INDEX(A:A,MAX(IF(ISNUMBER($A$36:$A$55),ROW($A$36:$A$55),"")))&lt;&gt;E9,"Corrigez : révolution incorrecte","OK"))</f>
        <v>OK</v>
      </c>
      <c r="G9" s="257" t="s">
        <v>306</v>
      </c>
      <c r="I9" s="253"/>
      <c r="J9" s="246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14</v>
      </c>
      <c r="C10" s="35">
        <v>0.53</v>
      </c>
      <c r="D10" s="36">
        <f t="shared" si="0"/>
        <v>0.94340000000000002</v>
      </c>
      <c r="E10" s="37">
        <v>150</v>
      </c>
      <c r="F10" s="38" t="str">
        <f t="array" ref="F10">IF(E10="","",IF(INDEX(A:A,MAX(IF(ISNUMBER($A$62:$A$81),ROW($A$62:$A$81),"")))&lt;&gt;E10,"Corrigez : révolution incorrecte","OK"))</f>
        <v>OK</v>
      </c>
      <c r="I10" s="253"/>
      <c r="J10" s="246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1</v>
      </c>
      <c r="C11" s="35">
        <v>6.6000000000000003E-2</v>
      </c>
      <c r="D11" s="36">
        <f t="shared" si="0"/>
        <v>0.11748</v>
      </c>
      <c r="E11" s="37">
        <v>150</v>
      </c>
      <c r="F11" s="38" t="str">
        <f t="array" ref="F11">IF(E11="","",IF(INDEX(A:A,MAX(IF(ISNUMBER($A$88:$A$107),ROW($A$88:$A$107),"")))&lt;&gt;E11,"Corrigez : révolution incorrecte","OK"))</f>
        <v>OK</v>
      </c>
      <c r="H11" s="230"/>
      <c r="I11" s="253"/>
      <c r="J11" s="246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29</v>
      </c>
      <c r="C12" s="35">
        <v>6.6000000000000003E-2</v>
      </c>
      <c r="D12" s="36">
        <f t="shared" si="0"/>
        <v>0.11748</v>
      </c>
      <c r="E12" s="37">
        <v>69</v>
      </c>
      <c r="F12" s="38" t="str">
        <f t="array" ref="F12">IF(E12="","",IF(INDEX(A:A,MAX(IF(ISNUMBER($A$114:$A$133),ROW($A$114:$A$133),"")))&lt;&gt;E12,"Corrigez : révolution incorrecte","OK"))</f>
        <v>OK</v>
      </c>
      <c r="H12" s="230"/>
      <c r="I12" s="253"/>
      <c r="J12" s="246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0"/>
      <c r="I13" s="253"/>
      <c r="J13" s="246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0"/>
      <c r="I14" s="253"/>
      <c r="J14" s="246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0"/>
      <c r="I15" s="253"/>
      <c r="J15" s="246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0"/>
      <c r="I16" s="253"/>
      <c r="J16" s="246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0"/>
      <c r="I17" s="253"/>
      <c r="J17" s="246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0"/>
      <c r="I18" s="253"/>
      <c r="J18" s="246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99"/>
      <c r="B19" s="39" t="s">
        <v>175</v>
      </c>
      <c r="C19" s="40">
        <f>SUM(C9:C18)</f>
        <v>0.99900000000000011</v>
      </c>
      <c r="D19" s="41">
        <f>SUM(D9:D18)</f>
        <v>1.7782200000000001</v>
      </c>
      <c r="E19" s="5"/>
      <c r="F19" s="100"/>
      <c r="G19" s="241"/>
      <c r="H19" s="242"/>
      <c r="I19" s="241"/>
      <c r="J19" s="24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99"/>
      <c r="B20" s="42" t="s">
        <v>230</v>
      </c>
      <c r="C20" s="43" t="str">
        <f>IF(C19&gt;100%,"Erreur : corrigez","OK")</f>
        <v>OK</v>
      </c>
      <c r="D20" s="248"/>
      <c r="F20" s="240"/>
      <c r="G20" s="240"/>
      <c r="H20" s="242"/>
      <c r="I20" s="241"/>
      <c r="J20" s="24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3"/>
      <c r="I21" s="254"/>
      <c r="J21" s="246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0" t="s">
        <v>232</v>
      </c>
      <c r="B22" s="300"/>
      <c r="C22" s="98"/>
      <c r="H22" s="229"/>
      <c r="I22" s="247"/>
      <c r="J22" s="247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</row>
    <row r="23" spans="1:45" x14ac:dyDescent="0.3">
      <c r="A23" s="5"/>
      <c r="B23" s="5"/>
      <c r="C23" s="5"/>
      <c r="H23" s="220"/>
      <c r="I23" s="246"/>
      <c r="J23" s="246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1"/>
      <c r="F24" s="101"/>
      <c r="G24" s="244"/>
      <c r="H24" s="230"/>
      <c r="I24" s="244"/>
      <c r="J24" s="24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2"/>
      <c r="E25" s="5"/>
      <c r="F25" s="102"/>
      <c r="G25" s="245"/>
      <c r="H25" s="230"/>
      <c r="I25" s="245"/>
      <c r="J25" s="24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01"/>
      <c r="F26" s="101"/>
      <c r="G26" s="244"/>
      <c r="I26" s="244"/>
      <c r="J26" s="244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1"/>
      <c r="F27" s="101"/>
      <c r="G27" s="244"/>
      <c r="I27" s="244"/>
      <c r="J27" s="244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6"/>
      <c r="I28" s="246"/>
      <c r="J28" s="246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6"/>
      <c r="I29" s="246"/>
      <c r="J29" s="246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2" t="s">
        <v>227</v>
      </c>
      <c r="B30" s="302"/>
      <c r="D30" s="249"/>
      <c r="H30" s="247"/>
      <c r="I30" s="247"/>
      <c r="J30" s="247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</row>
    <row r="31" spans="1:45" x14ac:dyDescent="0.3">
      <c r="A31" s="5"/>
      <c r="B31" s="5"/>
      <c r="H31" s="246"/>
      <c r="I31" s="246"/>
      <c r="J31" s="246"/>
      <c r="K31" s="249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Robinier faux-acacia</v>
      </c>
      <c r="D32" s="258" t="s">
        <v>307</v>
      </c>
      <c r="K32" s="249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49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0" t="s">
        <v>185</v>
      </c>
      <c r="C34" s="292" t="s">
        <v>186</v>
      </c>
      <c r="D34" s="292"/>
      <c r="E34" s="293" t="s">
        <v>187</v>
      </c>
      <c r="F34" s="294"/>
      <c r="G34" s="294"/>
      <c r="H34" s="295"/>
      <c r="I34" s="103"/>
      <c r="J34" s="250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1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5</v>
      </c>
      <c r="B36" s="63">
        <v>22</v>
      </c>
      <c r="C36" s="63"/>
      <c r="D36" s="63"/>
      <c r="E36" s="54"/>
      <c r="F36" s="54"/>
      <c r="G36" s="54"/>
      <c r="H36" s="54"/>
      <c r="I36" s="52">
        <f>IFERROR(B36/A36,"")</f>
        <v>4.4000000000000004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10</v>
      </c>
      <c r="B37" s="63">
        <v>62</v>
      </c>
      <c r="C37" s="63">
        <v>1</v>
      </c>
      <c r="D37" s="63">
        <f>2+15</f>
        <v>17</v>
      </c>
      <c r="E37" s="54"/>
      <c r="F37" s="54"/>
      <c r="G37" s="54"/>
      <c r="H37" s="54">
        <v>1</v>
      </c>
      <c r="I37" s="56">
        <f t="shared" ref="I37:I55" si="1">IF(A37&lt;&gt;0,(B37-(B36-D36))/(A37-A36),"")</f>
        <v>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15</v>
      </c>
      <c r="B38" s="63">
        <v>89</v>
      </c>
      <c r="C38" s="63">
        <v>2</v>
      </c>
      <c r="D38" s="63">
        <v>13</v>
      </c>
      <c r="E38" s="54"/>
      <c r="F38" s="54"/>
      <c r="G38" s="54"/>
      <c r="H38" s="54">
        <v>1</v>
      </c>
      <c r="I38" s="56">
        <f t="shared" si="1"/>
        <v>8.8000000000000007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20</v>
      </c>
      <c r="B39" s="63">
        <v>114</v>
      </c>
      <c r="C39" s="63">
        <v>3</v>
      </c>
      <c r="D39" s="63">
        <v>10</v>
      </c>
      <c r="E39" s="54"/>
      <c r="F39" s="54"/>
      <c r="G39" s="54"/>
      <c r="H39" s="54">
        <v>1</v>
      </c>
      <c r="I39" s="52">
        <f t="shared" si="1"/>
        <v>7.6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25</v>
      </c>
      <c r="B40" s="63">
        <v>136</v>
      </c>
      <c r="C40" s="63">
        <v>4</v>
      </c>
      <c r="D40" s="63">
        <v>8</v>
      </c>
      <c r="E40" s="54"/>
      <c r="F40" s="54"/>
      <c r="G40" s="54"/>
      <c r="H40" s="54">
        <v>1</v>
      </c>
      <c r="I40" s="52">
        <f t="shared" si="1"/>
        <v>6.4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30</v>
      </c>
      <c r="B41" s="63">
        <v>154</v>
      </c>
      <c r="C41" s="63">
        <v>5</v>
      </c>
      <c r="D41" s="63">
        <v>6</v>
      </c>
      <c r="E41" s="54"/>
      <c r="F41" s="54"/>
      <c r="G41" s="54"/>
      <c r="H41" s="54">
        <v>1</v>
      </c>
      <c r="I41" s="56">
        <f t="shared" si="1"/>
        <v>5.2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35</v>
      </c>
      <c r="B42" s="63">
        <v>169</v>
      </c>
      <c r="C42" s="63">
        <v>6</v>
      </c>
      <c r="D42" s="63">
        <v>5</v>
      </c>
      <c r="E42" s="54"/>
      <c r="F42" s="54"/>
      <c r="G42" s="54"/>
      <c r="H42" s="54"/>
      <c r="I42" s="56">
        <f t="shared" si="1"/>
        <v>4.2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53">
        <v>40</v>
      </c>
      <c r="B43" s="63">
        <v>183</v>
      </c>
      <c r="C43" s="63">
        <v>7</v>
      </c>
      <c r="D43" s="63">
        <v>4</v>
      </c>
      <c r="E43" s="54"/>
      <c r="F43" s="54"/>
      <c r="G43" s="54"/>
      <c r="H43" s="54"/>
      <c r="I43" s="52">
        <f t="shared" si="1"/>
        <v>3.8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53">
        <v>45</v>
      </c>
      <c r="B44" s="63">
        <v>198</v>
      </c>
      <c r="C44" s="63">
        <v>8</v>
      </c>
      <c r="D44" s="63">
        <f>B44</f>
        <v>198</v>
      </c>
      <c r="E44" s="54"/>
      <c r="F44" s="54"/>
      <c r="G44" s="54"/>
      <c r="H44" s="54"/>
      <c r="I44" s="52">
        <f t="shared" si="1"/>
        <v>3.8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58"/>
      <c r="B45" s="58"/>
      <c r="C45" s="58"/>
      <c r="D45" s="58"/>
      <c r="E45" s="66"/>
      <c r="F45" s="66"/>
      <c r="G45" s="66"/>
      <c r="H45" s="66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2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2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2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2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2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2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2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2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2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2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Chêne sessile</v>
      </c>
      <c r="D58" s="258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4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0" t="s">
        <v>185</v>
      </c>
      <c r="C60" s="292" t="s">
        <v>186</v>
      </c>
      <c r="D60" s="292"/>
      <c r="E60" s="293" t="s">
        <v>187</v>
      </c>
      <c r="F60" s="294"/>
      <c r="G60" s="294"/>
      <c r="H60" s="295"/>
      <c r="I60" s="103"/>
      <c r="J60" s="250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1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20</v>
      </c>
      <c r="B62" s="63">
        <v>42</v>
      </c>
      <c r="C62" s="63"/>
      <c r="D62" s="63"/>
      <c r="E62" s="54"/>
      <c r="F62" s="54"/>
      <c r="G62" s="54"/>
      <c r="H62" s="54"/>
      <c r="I62" s="56">
        <f>IFERROR(B62/A62,"")</f>
        <v>2.1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25</v>
      </c>
      <c r="B63" s="63">
        <v>70</v>
      </c>
      <c r="C63" s="63"/>
      <c r="D63" s="63"/>
      <c r="E63" s="54"/>
      <c r="F63" s="54"/>
      <c r="G63" s="54"/>
      <c r="H63" s="54"/>
      <c r="I63" s="52">
        <f>IF(A63&lt;&gt;0,(B63-(B62-D62))/(A63-A62),"")</f>
        <v>5.6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30</v>
      </c>
      <c r="B64" s="63">
        <v>105</v>
      </c>
      <c r="C64" s="63">
        <v>1</v>
      </c>
      <c r="D64" s="63">
        <v>29</v>
      </c>
      <c r="E64" s="54"/>
      <c r="F64" s="54"/>
      <c r="G64" s="54"/>
      <c r="H64" s="54">
        <v>1</v>
      </c>
      <c r="I64" s="52">
        <f>IF(A64&lt;&gt;0,(B64-(B63-D63))/(A64-A63),"")</f>
        <v>7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35</v>
      </c>
      <c r="B65" s="63">
        <v>116</v>
      </c>
      <c r="C65" s="63"/>
      <c r="D65" s="63"/>
      <c r="E65" s="54"/>
      <c r="F65" s="54"/>
      <c r="G65" s="54"/>
      <c r="H65" s="54"/>
      <c r="I65" s="52">
        <f>IF(A65&lt;&gt;0,(B65-(B64-D64))/(A65-A64),"")</f>
        <v>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40</v>
      </c>
      <c r="B66" s="63">
        <v>158</v>
      </c>
      <c r="C66" s="63">
        <v>2</v>
      </c>
      <c r="D66" s="63">
        <v>42</v>
      </c>
      <c r="E66" s="54"/>
      <c r="F66" s="54"/>
      <c r="G66" s="54"/>
      <c r="H66" s="54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45</v>
      </c>
      <c r="B67" s="63">
        <v>158</v>
      </c>
      <c r="C67" s="63"/>
      <c r="D67" s="63"/>
      <c r="E67" s="54"/>
      <c r="F67" s="54"/>
      <c r="G67" s="54"/>
      <c r="H67" s="54"/>
      <c r="I67" s="52">
        <f t="shared" si="2"/>
        <v>8.4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50</v>
      </c>
      <c r="B68" s="63">
        <v>199</v>
      </c>
      <c r="C68" s="63">
        <v>3</v>
      </c>
      <c r="D68" s="63">
        <v>42</v>
      </c>
      <c r="E68" s="54"/>
      <c r="F68" s="54"/>
      <c r="G68" s="54"/>
      <c r="H68" s="54"/>
      <c r="I68" s="52">
        <f t="shared" si="2"/>
        <v>8.1999999999999993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55</v>
      </c>
      <c r="B69" s="53">
        <v>197</v>
      </c>
      <c r="C69" s="53"/>
      <c r="D69" s="53"/>
      <c r="E69" s="54"/>
      <c r="F69" s="54"/>
      <c r="G69" s="54"/>
      <c r="H69" s="54"/>
      <c r="I69" s="52">
        <f t="shared" si="2"/>
        <v>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60</v>
      </c>
      <c r="B70" s="53">
        <v>235</v>
      </c>
      <c r="C70" s="53">
        <v>4</v>
      </c>
      <c r="D70" s="53">
        <v>42</v>
      </c>
      <c r="E70" s="54"/>
      <c r="F70" s="54"/>
      <c r="G70" s="54"/>
      <c r="H70" s="54"/>
      <c r="I70" s="52">
        <f t="shared" si="2"/>
        <v>7.6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65</v>
      </c>
      <c r="B71" s="53">
        <v>229</v>
      </c>
      <c r="C71" s="53"/>
      <c r="D71" s="53"/>
      <c r="E71" s="54"/>
      <c r="F71" s="54"/>
      <c r="G71" s="54"/>
      <c r="H71" s="54"/>
      <c r="I71" s="52">
        <f t="shared" si="2"/>
        <v>7.2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70</v>
      </c>
      <c r="B72" s="53">
        <v>263</v>
      </c>
      <c r="C72" s="53">
        <v>5</v>
      </c>
      <c r="D72" s="53">
        <v>42</v>
      </c>
      <c r="E72" s="54"/>
      <c r="F72" s="54"/>
      <c r="G72" s="54"/>
      <c r="H72" s="54"/>
      <c r="I72" s="52">
        <f t="shared" si="2"/>
        <v>6.8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75</v>
      </c>
      <c r="B73" s="53">
        <v>252</v>
      </c>
      <c r="C73" s="53"/>
      <c r="D73" s="53"/>
      <c r="E73" s="54"/>
      <c r="F73" s="54"/>
      <c r="G73" s="54"/>
      <c r="H73" s="54"/>
      <c r="I73" s="52">
        <f t="shared" si="2"/>
        <v>6.2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80</v>
      </c>
      <c r="B74" s="53">
        <v>282</v>
      </c>
      <c r="C74" s="53">
        <v>6</v>
      </c>
      <c r="D74" s="53">
        <v>42</v>
      </c>
      <c r="E74" s="54"/>
      <c r="F74" s="54"/>
      <c r="G74" s="54"/>
      <c r="H74" s="54"/>
      <c r="I74" s="52">
        <f t="shared" si="2"/>
        <v>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>
        <v>90</v>
      </c>
      <c r="B75" s="53">
        <v>296</v>
      </c>
      <c r="C75" s="53">
        <v>7</v>
      </c>
      <c r="D75" s="53">
        <v>42</v>
      </c>
      <c r="E75" s="54"/>
      <c r="F75" s="54"/>
      <c r="G75" s="54"/>
      <c r="H75" s="54"/>
      <c r="I75" s="52">
        <f t="shared" si="2"/>
        <v>5.6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>
        <v>100</v>
      </c>
      <c r="B76" s="53">
        <v>303</v>
      </c>
      <c r="C76" s="53">
        <v>8</v>
      </c>
      <c r="D76" s="53">
        <v>42</v>
      </c>
      <c r="E76" s="54"/>
      <c r="F76" s="54"/>
      <c r="G76" s="54"/>
      <c r="H76" s="54"/>
      <c r="I76" s="52">
        <f t="shared" si="2"/>
        <v>4.9000000000000004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>
        <v>110</v>
      </c>
      <c r="B77" s="53">
        <v>305</v>
      </c>
      <c r="C77" s="53">
        <v>9</v>
      </c>
      <c r="D77" s="53">
        <v>39</v>
      </c>
      <c r="E77" s="54"/>
      <c r="F77" s="54"/>
      <c r="G77" s="54"/>
      <c r="H77" s="54"/>
      <c r="I77" s="52">
        <f t="shared" si="2"/>
        <v>4.4000000000000004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>
        <v>120</v>
      </c>
      <c r="B78" s="53">
        <v>303</v>
      </c>
      <c r="C78" s="53">
        <v>10</v>
      </c>
      <c r="D78" s="53">
        <v>35</v>
      </c>
      <c r="E78" s="54"/>
      <c r="F78" s="54"/>
      <c r="G78" s="54"/>
      <c r="H78" s="54"/>
      <c r="I78" s="52">
        <f t="shared" si="2"/>
        <v>3.7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>
        <v>130</v>
      </c>
      <c r="B79" s="53">
        <v>300</v>
      </c>
      <c r="C79" s="53">
        <v>11</v>
      </c>
      <c r="D79" s="53">
        <v>31</v>
      </c>
      <c r="E79" s="54"/>
      <c r="F79" s="54"/>
      <c r="G79" s="54"/>
      <c r="H79" s="54"/>
      <c r="I79" s="52">
        <f t="shared" si="2"/>
        <v>3.2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>
        <v>140</v>
      </c>
      <c r="B80" s="53">
        <v>296</v>
      </c>
      <c r="C80" s="53">
        <v>12</v>
      </c>
      <c r="D80" s="53">
        <v>27</v>
      </c>
      <c r="E80" s="54"/>
      <c r="F80" s="54"/>
      <c r="G80" s="54"/>
      <c r="H80" s="54"/>
      <c r="I80" s="52">
        <f t="shared" si="2"/>
        <v>2.7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>
        <v>150</v>
      </c>
      <c r="B81" s="53">
        <v>293</v>
      </c>
      <c r="C81" s="53">
        <v>13</v>
      </c>
      <c r="D81" s="53">
        <v>293</v>
      </c>
      <c r="E81" s="54"/>
      <c r="F81" s="54"/>
      <c r="G81" s="54"/>
      <c r="H81" s="54"/>
      <c r="I81" s="52">
        <f t="shared" si="2"/>
        <v>2.4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Alisier torminal</v>
      </c>
      <c r="D84" s="258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4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0" t="s">
        <v>185</v>
      </c>
      <c r="C86" s="292" t="s">
        <v>186</v>
      </c>
      <c r="D86" s="292"/>
      <c r="E86" s="293" t="s">
        <v>187</v>
      </c>
      <c r="F86" s="294"/>
      <c r="G86" s="294"/>
      <c r="H86" s="295"/>
      <c r="I86" s="103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20</v>
      </c>
      <c r="B88" s="63">
        <v>42</v>
      </c>
      <c r="C88" s="63"/>
      <c r="D88" s="63"/>
      <c r="E88" s="54"/>
      <c r="F88" s="54"/>
      <c r="G88" s="54"/>
      <c r="H88" s="54"/>
      <c r="I88" s="56">
        <f>IFERROR(B88/A88,"")</f>
        <v>2.1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25</v>
      </c>
      <c r="B89" s="63">
        <v>70</v>
      </c>
      <c r="C89" s="63"/>
      <c r="D89" s="63"/>
      <c r="E89" s="54"/>
      <c r="F89" s="54"/>
      <c r="G89" s="54"/>
      <c r="H89" s="54"/>
      <c r="I89" s="56">
        <f t="shared" ref="I89:I107" si="3">IF(A89&lt;&gt;0,(B89-(B88-D88))/(A89-A88),"")</f>
        <v>5.6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30</v>
      </c>
      <c r="B90" s="63">
        <v>105</v>
      </c>
      <c r="C90" s="63">
        <v>1</v>
      </c>
      <c r="D90" s="63">
        <v>29</v>
      </c>
      <c r="E90" s="54"/>
      <c r="F90" s="54"/>
      <c r="G90" s="54"/>
      <c r="H90" s="54">
        <v>1</v>
      </c>
      <c r="I90" s="56">
        <f t="shared" si="3"/>
        <v>7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35</v>
      </c>
      <c r="B91" s="63">
        <v>116</v>
      </c>
      <c r="C91" s="63"/>
      <c r="D91" s="63"/>
      <c r="E91" s="54"/>
      <c r="F91" s="54"/>
      <c r="G91" s="54"/>
      <c r="H91" s="54"/>
      <c r="I91" s="56">
        <f t="shared" si="3"/>
        <v>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40</v>
      </c>
      <c r="B92" s="63">
        <v>158</v>
      </c>
      <c r="C92" s="63">
        <v>2</v>
      </c>
      <c r="D92" s="63">
        <v>42</v>
      </c>
      <c r="E92" s="54"/>
      <c r="F92" s="54"/>
      <c r="G92" s="54"/>
      <c r="H92" s="54"/>
      <c r="I92" s="56">
        <f t="shared" si="3"/>
        <v>8.4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45</v>
      </c>
      <c r="B93" s="63">
        <v>158</v>
      </c>
      <c r="C93" s="63"/>
      <c r="D93" s="63"/>
      <c r="E93" s="54"/>
      <c r="F93" s="54"/>
      <c r="G93" s="54"/>
      <c r="H93" s="54"/>
      <c r="I93" s="56">
        <f t="shared" si="3"/>
        <v>8.4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50</v>
      </c>
      <c r="B94" s="63">
        <v>199</v>
      </c>
      <c r="C94" s="63">
        <v>3</v>
      </c>
      <c r="D94" s="63">
        <v>42</v>
      </c>
      <c r="E94" s="54"/>
      <c r="F94" s="54"/>
      <c r="G94" s="54"/>
      <c r="H94" s="54"/>
      <c r="I94" s="56">
        <f t="shared" si="3"/>
        <v>8.1999999999999993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53">
        <v>55</v>
      </c>
      <c r="B95" s="53">
        <v>197</v>
      </c>
      <c r="C95" s="53"/>
      <c r="D95" s="53"/>
      <c r="E95" s="54"/>
      <c r="F95" s="54"/>
      <c r="G95" s="54"/>
      <c r="H95" s="54"/>
      <c r="I95" s="56">
        <f t="shared" si="3"/>
        <v>8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53">
        <v>60</v>
      </c>
      <c r="B96" s="53">
        <v>235</v>
      </c>
      <c r="C96" s="53">
        <v>4</v>
      </c>
      <c r="D96" s="53">
        <v>42</v>
      </c>
      <c r="E96" s="54"/>
      <c r="F96" s="54"/>
      <c r="G96" s="54"/>
      <c r="H96" s="54"/>
      <c r="I96" s="56">
        <f t="shared" si="3"/>
        <v>7.6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53">
        <v>65</v>
      </c>
      <c r="B97" s="53">
        <v>229</v>
      </c>
      <c r="C97" s="53"/>
      <c r="D97" s="53"/>
      <c r="E97" s="54"/>
      <c r="F97" s="54"/>
      <c r="G97" s="54"/>
      <c r="H97" s="54"/>
      <c r="I97" s="56">
        <f t="shared" si="3"/>
        <v>7.2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53">
        <v>70</v>
      </c>
      <c r="B98" s="53">
        <v>263</v>
      </c>
      <c r="C98" s="53">
        <v>5</v>
      </c>
      <c r="D98" s="53">
        <v>42</v>
      </c>
      <c r="E98" s="54"/>
      <c r="F98" s="54"/>
      <c r="G98" s="54"/>
      <c r="H98" s="54"/>
      <c r="I98" s="56">
        <f t="shared" si="3"/>
        <v>6.8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53">
        <v>75</v>
      </c>
      <c r="B99" s="53">
        <v>252</v>
      </c>
      <c r="C99" s="53"/>
      <c r="D99" s="53"/>
      <c r="E99" s="54"/>
      <c r="F99" s="54"/>
      <c r="G99" s="54"/>
      <c r="H99" s="54"/>
      <c r="I99" s="56">
        <f t="shared" si="3"/>
        <v>6.2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53">
        <v>80</v>
      </c>
      <c r="B100" s="53">
        <v>282</v>
      </c>
      <c r="C100" s="53">
        <v>6</v>
      </c>
      <c r="D100" s="53">
        <v>42</v>
      </c>
      <c r="E100" s="54"/>
      <c r="F100" s="54"/>
      <c r="G100" s="54"/>
      <c r="H100" s="54"/>
      <c r="I100" s="56">
        <f t="shared" si="3"/>
        <v>6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53">
        <v>90</v>
      </c>
      <c r="B101" s="53">
        <v>296</v>
      </c>
      <c r="C101" s="53">
        <v>7</v>
      </c>
      <c r="D101" s="53">
        <v>42</v>
      </c>
      <c r="E101" s="54"/>
      <c r="F101" s="54"/>
      <c r="G101" s="54"/>
      <c r="H101" s="54"/>
      <c r="I101" s="56">
        <f t="shared" si="3"/>
        <v>5.6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53">
        <v>100</v>
      </c>
      <c r="B102" s="53">
        <v>303</v>
      </c>
      <c r="C102" s="53">
        <v>8</v>
      </c>
      <c r="D102" s="53">
        <v>42</v>
      </c>
      <c r="E102" s="54"/>
      <c r="F102" s="54"/>
      <c r="G102" s="54"/>
      <c r="H102" s="54"/>
      <c r="I102" s="56">
        <f t="shared" si="3"/>
        <v>4.9000000000000004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53">
        <v>110</v>
      </c>
      <c r="B103" s="53">
        <v>305</v>
      </c>
      <c r="C103" s="53">
        <v>9</v>
      </c>
      <c r="D103" s="53">
        <v>39</v>
      </c>
      <c r="E103" s="54"/>
      <c r="F103" s="54"/>
      <c r="G103" s="54"/>
      <c r="H103" s="54"/>
      <c r="I103" s="56">
        <f t="shared" si="3"/>
        <v>4.4000000000000004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53">
        <v>120</v>
      </c>
      <c r="B104" s="53">
        <v>303</v>
      </c>
      <c r="C104" s="53">
        <v>10</v>
      </c>
      <c r="D104" s="53">
        <v>35</v>
      </c>
      <c r="E104" s="54"/>
      <c r="F104" s="54"/>
      <c r="G104" s="54"/>
      <c r="H104" s="54"/>
      <c r="I104" s="56">
        <f t="shared" si="3"/>
        <v>3.7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>
        <v>130</v>
      </c>
      <c r="B105" s="53">
        <v>300</v>
      </c>
      <c r="C105" s="53">
        <v>11</v>
      </c>
      <c r="D105" s="53">
        <v>31</v>
      </c>
      <c r="E105" s="54"/>
      <c r="F105" s="54"/>
      <c r="G105" s="54"/>
      <c r="H105" s="54"/>
      <c r="I105" s="56">
        <f t="shared" si="3"/>
        <v>3.2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>
        <v>140</v>
      </c>
      <c r="B106" s="53">
        <v>296</v>
      </c>
      <c r="C106" s="53">
        <v>12</v>
      </c>
      <c r="D106" s="53">
        <v>27</v>
      </c>
      <c r="E106" s="54"/>
      <c r="F106" s="54"/>
      <c r="G106" s="54"/>
      <c r="H106" s="54"/>
      <c r="I106" s="56">
        <f t="shared" si="3"/>
        <v>2.7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>
        <v>150</v>
      </c>
      <c r="B107" s="53">
        <v>293</v>
      </c>
      <c r="C107" s="53">
        <v>13</v>
      </c>
      <c r="D107" s="53">
        <v>293</v>
      </c>
      <c r="E107" s="54"/>
      <c r="F107" s="54"/>
      <c r="G107" s="54"/>
      <c r="H107" s="54"/>
      <c r="I107" s="56">
        <f t="shared" si="3"/>
        <v>2.4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Merisier</v>
      </c>
      <c r="D110" s="258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4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0" t="s">
        <v>185</v>
      </c>
      <c r="C112" s="292" t="s">
        <v>186</v>
      </c>
      <c r="D112" s="292"/>
      <c r="E112" s="293" t="s">
        <v>187</v>
      </c>
      <c r="F112" s="294"/>
      <c r="G112" s="294"/>
      <c r="H112" s="295"/>
      <c r="I112" s="103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15</v>
      </c>
      <c r="B114" s="63">
        <v>40</v>
      </c>
      <c r="C114" s="53"/>
      <c r="D114" s="63"/>
      <c r="E114" s="54"/>
      <c r="F114" s="54"/>
      <c r="G114" s="54"/>
      <c r="H114" s="54"/>
      <c r="I114" s="56">
        <f>IFERROR(B114/A114,"")</f>
        <v>2.6666666666666665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20</v>
      </c>
      <c r="B115" s="63">
        <f>85+3</f>
        <v>88</v>
      </c>
      <c r="C115" s="53"/>
      <c r="D115" s="63"/>
      <c r="E115" s="54"/>
      <c r="F115" s="54"/>
      <c r="G115" s="54"/>
      <c r="H115" s="54"/>
      <c r="I115" s="56">
        <f t="shared" ref="I115:I133" si="4">IF(A115&lt;&gt;0,(B115-(B114-D114))/(A115-A114),"")</f>
        <v>9.6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25</v>
      </c>
      <c r="B116" s="63">
        <f>113+3+25</f>
        <v>141</v>
      </c>
      <c r="C116" s="53">
        <v>1</v>
      </c>
      <c r="D116" s="63">
        <f>3+25+27</f>
        <v>55</v>
      </c>
      <c r="E116" s="54"/>
      <c r="F116" s="54"/>
      <c r="G116" s="54"/>
      <c r="H116" s="54">
        <v>1</v>
      </c>
      <c r="I116" s="56">
        <f t="shared" si="4"/>
        <v>10.6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31</v>
      </c>
      <c r="B117" s="63">
        <v>155</v>
      </c>
      <c r="C117" s="53">
        <v>2</v>
      </c>
      <c r="D117" s="63">
        <v>36</v>
      </c>
      <c r="E117" s="54"/>
      <c r="F117" s="54"/>
      <c r="G117" s="54"/>
      <c r="H117" s="54"/>
      <c r="I117" s="56">
        <f t="shared" si="4"/>
        <v>11.5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37</v>
      </c>
      <c r="B118" s="63">
        <v>188</v>
      </c>
      <c r="C118" s="53">
        <v>3</v>
      </c>
      <c r="D118" s="63">
        <v>36</v>
      </c>
      <c r="E118" s="54"/>
      <c r="F118" s="54"/>
      <c r="G118" s="54"/>
      <c r="H118" s="54"/>
      <c r="I118" s="56">
        <f t="shared" si="4"/>
        <v>11.5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44</v>
      </c>
      <c r="B119" s="63">
        <v>230</v>
      </c>
      <c r="C119" s="53">
        <v>4</v>
      </c>
      <c r="D119" s="63">
        <v>43</v>
      </c>
      <c r="E119" s="54"/>
      <c r="F119" s="54"/>
      <c r="G119" s="54"/>
      <c r="H119" s="54"/>
      <c r="I119" s="56">
        <f t="shared" si="4"/>
        <v>11.142857142857142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>
        <v>52</v>
      </c>
      <c r="B120" s="63">
        <v>270</v>
      </c>
      <c r="C120" s="63">
        <v>5</v>
      </c>
      <c r="D120" s="63">
        <v>48</v>
      </c>
      <c r="E120" s="92"/>
      <c r="F120" s="92"/>
      <c r="G120" s="92"/>
      <c r="H120" s="92"/>
      <c r="I120" s="56">
        <f t="shared" si="4"/>
        <v>10.375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>
        <v>60</v>
      </c>
      <c r="B121" s="63">
        <v>297</v>
      </c>
      <c r="C121" s="63">
        <v>6</v>
      </c>
      <c r="D121" s="63">
        <v>47</v>
      </c>
      <c r="E121" s="92"/>
      <c r="F121" s="92"/>
      <c r="G121" s="92"/>
      <c r="H121" s="92"/>
      <c r="I121" s="56">
        <f t="shared" si="4"/>
        <v>9.375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>
        <v>69</v>
      </c>
      <c r="B122" s="63">
        <v>328</v>
      </c>
      <c r="C122" s="63">
        <v>7</v>
      </c>
      <c r="D122" s="63">
        <f>B122</f>
        <v>328</v>
      </c>
      <c r="E122" s="92"/>
      <c r="F122" s="92"/>
      <c r="G122" s="92"/>
      <c r="H122" s="92"/>
      <c r="I122" s="56">
        <f t="shared" si="4"/>
        <v>8.6666666666666661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58"/>
      <c r="B123" s="58"/>
      <c r="C123" s="58"/>
      <c r="D123" s="58"/>
      <c r="E123" s="66"/>
      <c r="F123" s="66"/>
      <c r="G123" s="66"/>
      <c r="H123" s="66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58"/>
      <c r="B124" s="58"/>
      <c r="C124" s="58"/>
      <c r="D124" s="58"/>
      <c r="E124" s="66"/>
      <c r="F124" s="66"/>
      <c r="G124" s="66"/>
      <c r="H124" s="66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58"/>
      <c r="B125" s="58"/>
      <c r="C125" s="58"/>
      <c r="D125" s="58"/>
      <c r="E125" s="66"/>
      <c r="F125" s="66"/>
      <c r="G125" s="66"/>
      <c r="H125" s="66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58"/>
      <c r="B126" s="58"/>
      <c r="C126" s="58"/>
      <c r="D126" s="58"/>
      <c r="E126" s="67"/>
      <c r="F126" s="67"/>
      <c r="G126" s="67"/>
      <c r="H126" s="67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93"/>
      <c r="B127" s="63"/>
      <c r="C127" s="93"/>
      <c r="D127" s="63"/>
      <c r="E127" s="57"/>
      <c r="F127" s="57"/>
      <c r="G127" s="57"/>
      <c r="H127" s="57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8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4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0" t="s">
        <v>185</v>
      </c>
      <c r="C138" s="292" t="s">
        <v>186</v>
      </c>
      <c r="D138" s="292"/>
      <c r="E138" s="293" t="s">
        <v>187</v>
      </c>
      <c r="F138" s="294"/>
      <c r="G138" s="294"/>
      <c r="H138" s="295"/>
      <c r="I138" s="103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8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4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0" t="s">
        <v>185</v>
      </c>
      <c r="C164" s="292" t="s">
        <v>186</v>
      </c>
      <c r="D164" s="292"/>
      <c r="E164" s="293" t="s">
        <v>187</v>
      </c>
      <c r="F164" s="294"/>
      <c r="G164" s="294"/>
      <c r="H164" s="295"/>
      <c r="I164" s="103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8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4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0" t="s">
        <v>185</v>
      </c>
      <c r="C190" s="292" t="s">
        <v>186</v>
      </c>
      <c r="D190" s="292"/>
      <c r="E190" s="293" t="s">
        <v>187</v>
      </c>
      <c r="F190" s="294"/>
      <c r="G190" s="294"/>
      <c r="H190" s="295"/>
      <c r="I190" s="103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8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4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0" t="s">
        <v>185</v>
      </c>
      <c r="C216" s="292" t="s">
        <v>186</v>
      </c>
      <c r="D216" s="292"/>
      <c r="E216" s="293" t="s">
        <v>187</v>
      </c>
      <c r="F216" s="294"/>
      <c r="G216" s="294"/>
      <c r="H216" s="295"/>
      <c r="I216" s="103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3"/>
      <c r="B231" s="63"/>
      <c r="C231" s="93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8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4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0" t="s">
        <v>185</v>
      </c>
      <c r="C242" s="292" t="s">
        <v>186</v>
      </c>
      <c r="D242" s="292"/>
      <c r="E242" s="293" t="s">
        <v>187</v>
      </c>
      <c r="F242" s="294"/>
      <c r="G242" s="294"/>
      <c r="H242" s="295"/>
      <c r="I242" s="103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3"/>
      <c r="B257" s="63"/>
      <c r="C257" s="93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8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4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0" t="s">
        <v>185</v>
      </c>
      <c r="C268" s="292" t="s">
        <v>186</v>
      </c>
      <c r="D268" s="292"/>
      <c r="E268" s="293" t="s">
        <v>187</v>
      </c>
      <c r="F268" s="294"/>
      <c r="G268" s="294"/>
      <c r="H268" s="295"/>
      <c r="I268" s="103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3"/>
      <c r="B283" s="63"/>
      <c r="C283" s="93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="85" zoomScaleNormal="85" workbookViewId="0">
      <selection activeCell="C26" sqref="C26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5"/>
      <c r="K1" s="10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7" t="s">
        <v>191</v>
      </c>
      <c r="C2" s="308"/>
      <c r="D2" s="308"/>
      <c r="E2" s="308"/>
      <c r="F2" s="308"/>
      <c r="G2" s="30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6"/>
      <c r="C4" s="306"/>
      <c r="D4" s="306"/>
      <c r="E4" s="306"/>
      <c r="F4" s="306"/>
      <c r="G4" s="30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6" t="s">
        <v>296</v>
      </c>
      <c r="C5" s="106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6"/>
      <c r="C6" s="236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7"/>
      <c r="B7" s="29" t="s">
        <v>295</v>
      </c>
      <c r="C7" s="108" t="s">
        <v>214</v>
      </c>
      <c r="D7" s="234"/>
      <c r="E7" s="109"/>
      <c r="F7" s="29" t="s">
        <v>295</v>
      </c>
      <c r="G7" s="108" t="s">
        <v>215</v>
      </c>
      <c r="H7" s="235"/>
      <c r="I7" s="235"/>
      <c r="J7" s="235"/>
      <c r="K7" s="235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</row>
    <row r="8" spans="1:38" ht="17.25" customHeight="1" x14ac:dyDescent="0.3">
      <c r="A8" s="113">
        <v>1</v>
      </c>
      <c r="B8" s="64">
        <v>0</v>
      </c>
      <c r="C8" s="52" t="s">
        <v>177</v>
      </c>
      <c r="D8" s="25"/>
      <c r="E8" s="113">
        <v>4</v>
      </c>
      <c r="F8" s="64">
        <v>0</v>
      </c>
      <c r="G8" s="110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3">
        <v>2</v>
      </c>
      <c r="B9" s="64">
        <v>1</v>
      </c>
      <c r="C9" s="116" t="s">
        <v>216</v>
      </c>
      <c r="D9" s="25"/>
      <c r="E9" s="113">
        <v>5</v>
      </c>
      <c r="F9" s="64">
        <v>0</v>
      </c>
      <c r="G9" s="111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3">
        <v>3</v>
      </c>
      <c r="B10" s="64">
        <v>0</v>
      </c>
      <c r="C10" s="117" t="s">
        <v>217</v>
      </c>
      <c r="D10" s="25"/>
      <c r="E10" s="5"/>
      <c r="F10" s="114">
        <f>SUM(F7:F9)</f>
        <v>0</v>
      </c>
      <c r="G10" s="112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4">
        <v>0</v>
      </c>
      <c r="C11" s="112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5"/>
      <c r="B13" s="115"/>
      <c r="C13" s="106" t="s">
        <v>273</v>
      </c>
      <c r="D13" s="235"/>
      <c r="E13" s="107"/>
      <c r="F13" s="115"/>
      <c r="G13" s="106" t="s">
        <v>301</v>
      </c>
      <c r="H13" s="235"/>
      <c r="I13" s="235"/>
      <c r="J13" s="235"/>
      <c r="K13" s="235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</row>
    <row r="14" spans="1:38" s="4" customFormat="1" ht="21" customHeight="1" x14ac:dyDescent="0.3">
      <c r="A14" s="235"/>
      <c r="B14" s="115"/>
      <c r="C14" s="106" t="s">
        <v>309</v>
      </c>
      <c r="D14" s="235"/>
      <c r="E14" s="107"/>
      <c r="F14" s="115"/>
      <c r="G14" s="106" t="s">
        <v>294</v>
      </c>
      <c r="H14" s="235"/>
      <c r="I14" s="235"/>
      <c r="J14" s="235"/>
      <c r="K14" s="235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8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8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8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4">
        <f>SUM(B16:B18)</f>
        <v>0</v>
      </c>
      <c r="C19" s="112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8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8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0" bestFit="1" customWidth="1"/>
    <col min="2" max="4" width="11.44140625" style="70"/>
    <col min="5" max="5" width="9.5546875" style="70" customWidth="1"/>
    <col min="6" max="7" width="11.44140625" style="70"/>
    <col min="8" max="8" width="10.6640625" style="70" customWidth="1"/>
    <col min="9" max="9" width="9.44140625" style="70" customWidth="1"/>
    <col min="10" max="11" width="10.5546875" style="70" bestFit="1" customWidth="1"/>
    <col min="12" max="12" width="14" style="70" bestFit="1" customWidth="1"/>
    <col min="13" max="13" width="14" style="70" customWidth="1"/>
    <col min="14" max="23" width="11.44140625" style="70"/>
    <col min="24" max="24" width="11.6640625" style="70" bestFit="1" customWidth="1"/>
    <col min="25" max="25" width="14.5546875" style="70" bestFit="1" customWidth="1"/>
    <col min="26" max="26" width="12.44140625" style="70" bestFit="1" customWidth="1"/>
    <col min="27" max="27" width="9.6640625" style="70" bestFit="1" customWidth="1"/>
    <col min="28" max="28" width="11" style="70" bestFit="1" customWidth="1"/>
    <col min="29" max="29" width="9.44140625" style="70" bestFit="1" customWidth="1"/>
    <col min="30" max="31" width="9.44140625" style="70" customWidth="1"/>
    <col min="32" max="32" width="11.44140625" style="70"/>
    <col min="33" max="34" width="14" style="70" bestFit="1" customWidth="1"/>
    <col min="35" max="35" width="10.5546875" style="70" bestFit="1" customWidth="1"/>
    <col min="36" max="36" width="9.44140625" style="70" bestFit="1" customWidth="1"/>
    <col min="37" max="38" width="10.5546875" style="70" bestFit="1" customWidth="1"/>
    <col min="39" max="41" width="10.5546875" style="70" customWidth="1"/>
    <col min="42" max="42" width="9" style="70" bestFit="1" customWidth="1"/>
    <col min="43" max="43" width="10.5546875" style="70" bestFit="1" customWidth="1"/>
    <col min="44" max="44" width="9.33203125" style="70" bestFit="1" customWidth="1"/>
    <col min="45" max="45" width="11.6640625" style="70" bestFit="1" customWidth="1"/>
    <col min="46" max="46" width="8.44140625" style="70" bestFit="1" customWidth="1"/>
    <col min="47" max="47" width="9.44140625" style="70" bestFit="1" customWidth="1"/>
    <col min="48" max="48" width="9.6640625" style="70" bestFit="1" customWidth="1"/>
    <col min="49" max="49" width="11" style="70" bestFit="1" customWidth="1"/>
    <col min="50" max="50" width="9.44140625" style="70" bestFit="1" customWidth="1"/>
    <col min="51" max="52" width="9.44140625" style="70" customWidth="1"/>
    <col min="53" max="53" width="10.5546875" style="70" bestFit="1" customWidth="1"/>
    <col min="54" max="54" width="14.33203125" style="70" customWidth="1"/>
    <col min="55" max="55" width="14" style="70" customWidth="1"/>
    <col min="56" max="56" width="10.5546875" style="70" bestFit="1" customWidth="1"/>
    <col min="57" max="57" width="9.44140625" style="70" bestFit="1" customWidth="1"/>
    <col min="58" max="59" width="10.5546875" style="70" bestFit="1" customWidth="1"/>
    <col min="60" max="62" width="10.5546875" style="70" customWidth="1"/>
    <col min="63" max="63" width="9" style="70" bestFit="1" customWidth="1"/>
    <col min="64" max="64" width="10.5546875" style="70" bestFit="1" customWidth="1"/>
    <col min="65" max="65" width="9.33203125" style="70" bestFit="1" customWidth="1"/>
    <col min="66" max="66" width="11.6640625" style="70" bestFit="1" customWidth="1"/>
    <col min="67" max="67" width="8.44140625" style="70" bestFit="1" customWidth="1"/>
    <col min="68" max="68" width="9.44140625" style="70" bestFit="1" customWidth="1"/>
    <col min="69" max="69" width="9.6640625" style="70" bestFit="1" customWidth="1"/>
    <col min="70" max="70" width="11" style="70" bestFit="1" customWidth="1"/>
    <col min="71" max="71" width="9.44140625" style="70" bestFit="1" customWidth="1"/>
    <col min="72" max="73" width="9.44140625" style="70" customWidth="1"/>
    <col min="74" max="74" width="10.5546875" style="70" bestFit="1" customWidth="1"/>
    <col min="75" max="75" width="14" style="70" bestFit="1" customWidth="1"/>
    <col min="76" max="76" width="13.88671875" style="70" customWidth="1"/>
    <col min="77" max="77" width="10.5546875" style="70" bestFit="1" customWidth="1"/>
    <col min="78" max="78" width="9.44140625" style="70" bestFit="1" customWidth="1"/>
    <col min="79" max="80" width="10.5546875" style="70" bestFit="1" customWidth="1"/>
    <col min="81" max="83" width="10.5546875" style="70" customWidth="1"/>
    <col min="84" max="84" width="11.44140625" style="70"/>
    <col min="85" max="85" width="10.5546875" style="70" bestFit="1" customWidth="1"/>
    <col min="86" max="86" width="9.33203125" style="70" bestFit="1" customWidth="1"/>
    <col min="87" max="87" width="11.6640625" style="70" bestFit="1" customWidth="1"/>
    <col min="88" max="88" width="8.44140625" style="70" bestFit="1" customWidth="1"/>
    <col min="89" max="89" width="9.44140625" style="70" bestFit="1" customWidth="1"/>
    <col min="90" max="90" width="9.6640625" style="70" bestFit="1" customWidth="1"/>
    <col min="91" max="91" width="11" style="70" bestFit="1" customWidth="1"/>
    <col min="92" max="92" width="9.44140625" style="70" bestFit="1" customWidth="1"/>
    <col min="93" max="94" width="9.44140625" style="70" customWidth="1"/>
    <col min="95" max="95" width="11.44140625" style="70"/>
    <col min="96" max="97" width="14" style="70" customWidth="1"/>
    <col min="98" max="98" width="10.5546875" style="70" bestFit="1" customWidth="1"/>
    <col min="99" max="99" width="9.44140625" style="70" bestFit="1" customWidth="1"/>
    <col min="100" max="101" width="10.5546875" style="70" bestFit="1" customWidth="1"/>
    <col min="102" max="104" width="10.5546875" style="70" customWidth="1"/>
    <col min="105" max="105" width="9" style="70" bestFit="1" customWidth="1"/>
    <col min="106" max="106" width="10.5546875" style="70" bestFit="1" customWidth="1"/>
    <col min="107" max="107" width="9.33203125" style="70" bestFit="1" customWidth="1"/>
    <col min="108" max="108" width="11.6640625" style="70" bestFit="1" customWidth="1"/>
    <col min="109" max="109" width="8.44140625" style="70" bestFit="1" customWidth="1"/>
    <col min="110" max="110" width="9.44140625" style="70" bestFit="1" customWidth="1"/>
    <col min="111" max="111" width="9.6640625" style="70" bestFit="1" customWidth="1"/>
    <col min="112" max="112" width="11" style="70" bestFit="1" customWidth="1"/>
    <col min="113" max="113" width="9.44140625" style="70" bestFit="1" customWidth="1"/>
    <col min="114" max="115" width="9.44140625" style="70" customWidth="1"/>
    <col min="116" max="116" width="10.5546875" style="70" bestFit="1" customWidth="1"/>
    <col min="117" max="117" width="14.33203125" style="70" customWidth="1"/>
    <col min="118" max="118" width="14" style="70" bestFit="1" customWidth="1"/>
    <col min="119" max="119" width="10.5546875" style="70" bestFit="1" customWidth="1"/>
    <col min="120" max="120" width="9.44140625" style="70" bestFit="1" customWidth="1"/>
    <col min="121" max="122" width="10.5546875" style="70" bestFit="1" customWidth="1"/>
    <col min="123" max="125" width="10.5546875" style="70" customWidth="1"/>
    <col min="126" max="126" width="9" style="70" bestFit="1" customWidth="1"/>
    <col min="127" max="127" width="10.5546875" style="70" bestFit="1" customWidth="1"/>
    <col min="128" max="128" width="9.33203125" style="70" bestFit="1" customWidth="1"/>
    <col min="129" max="129" width="11.6640625" style="70" bestFit="1" customWidth="1"/>
    <col min="130" max="130" width="8.44140625" style="70" bestFit="1" customWidth="1"/>
    <col min="131" max="131" width="9.44140625" style="70" bestFit="1" customWidth="1"/>
    <col min="132" max="132" width="9.6640625" style="70" bestFit="1" customWidth="1"/>
    <col min="133" max="133" width="11" style="70" bestFit="1" customWidth="1"/>
    <col min="134" max="134" width="9.44140625" style="70" bestFit="1" customWidth="1"/>
    <col min="135" max="136" width="9.44140625" style="70" customWidth="1"/>
    <col min="137" max="137" width="10.5546875" style="70" bestFit="1" customWidth="1"/>
    <col min="138" max="139" width="14" style="70" customWidth="1"/>
    <col min="140" max="140" width="10.5546875" style="70" bestFit="1" customWidth="1"/>
    <col min="141" max="141" width="9.44140625" style="70" bestFit="1" customWidth="1"/>
    <col min="142" max="143" width="10.5546875" style="70" bestFit="1" customWidth="1"/>
    <col min="144" max="146" width="10.5546875" style="70" customWidth="1"/>
    <col min="147" max="147" width="9" style="70" bestFit="1" customWidth="1"/>
    <col min="148" max="148" width="10.5546875" style="70" bestFit="1" customWidth="1"/>
    <col min="149" max="149" width="9.33203125" style="70" bestFit="1" customWidth="1"/>
    <col min="150" max="150" width="11.6640625" style="70" bestFit="1" customWidth="1"/>
    <col min="151" max="151" width="8.44140625" style="70" bestFit="1" customWidth="1"/>
    <col min="152" max="152" width="9.44140625" style="70" bestFit="1" customWidth="1"/>
    <col min="153" max="153" width="9.6640625" style="70" bestFit="1" customWidth="1"/>
    <col min="154" max="154" width="11" style="70" bestFit="1" customWidth="1"/>
    <col min="155" max="155" width="9.44140625" style="70" bestFit="1" customWidth="1"/>
    <col min="156" max="157" width="9.44140625" style="70" customWidth="1"/>
    <col min="158" max="158" width="11.44140625" style="70"/>
    <col min="159" max="160" width="14" style="70" bestFit="1" customWidth="1"/>
    <col min="161" max="161" width="10.5546875" style="70" bestFit="1" customWidth="1"/>
    <col min="162" max="162" width="9.44140625" style="70" bestFit="1" customWidth="1"/>
    <col min="163" max="164" width="10.5546875" style="70" bestFit="1" customWidth="1"/>
    <col min="165" max="167" width="10.5546875" style="70" customWidth="1"/>
    <col min="168" max="168" width="9" style="70" bestFit="1" customWidth="1"/>
    <col min="169" max="169" width="10.5546875" style="70" bestFit="1" customWidth="1"/>
    <col min="170" max="170" width="9.33203125" style="70" bestFit="1" customWidth="1"/>
    <col min="171" max="171" width="11.6640625" style="70" bestFit="1" customWidth="1"/>
    <col min="172" max="172" width="8.109375" style="70" bestFit="1" customWidth="1"/>
    <col min="173" max="173" width="9.44140625" style="70" bestFit="1" customWidth="1"/>
    <col min="174" max="174" width="9.6640625" style="70" bestFit="1" customWidth="1"/>
    <col min="175" max="175" width="11" style="70" bestFit="1" customWidth="1"/>
    <col min="176" max="176" width="9.44140625" style="70" bestFit="1" customWidth="1"/>
    <col min="177" max="178" width="9.44140625" style="70" customWidth="1"/>
    <col min="179" max="179" width="10.5546875" style="70" bestFit="1" customWidth="1"/>
    <col min="180" max="181" width="14" style="70" bestFit="1" customWidth="1"/>
    <col min="182" max="182" width="10.5546875" style="70" bestFit="1" customWidth="1"/>
    <col min="183" max="183" width="9.44140625" style="70" bestFit="1" customWidth="1"/>
    <col min="184" max="185" width="10.5546875" style="70" bestFit="1" customWidth="1"/>
    <col min="186" max="188" width="10.5546875" style="70" customWidth="1"/>
    <col min="189" max="189" width="9" style="70" bestFit="1" customWidth="1"/>
    <col min="190" max="190" width="10.5546875" style="70" bestFit="1" customWidth="1"/>
    <col min="191" max="191" width="9.33203125" style="70" bestFit="1" customWidth="1"/>
    <col min="192" max="192" width="11.44140625" style="70"/>
    <col min="193" max="193" width="8.44140625" style="70" bestFit="1" customWidth="1"/>
    <col min="194" max="194" width="9.44140625" style="70" bestFit="1" customWidth="1"/>
    <col min="195" max="195" width="9.6640625" style="70" bestFit="1" customWidth="1"/>
    <col min="196" max="196" width="11" style="70" bestFit="1" customWidth="1"/>
    <col min="197" max="197" width="9.44140625" style="70" bestFit="1" customWidth="1"/>
    <col min="198" max="199" width="9.44140625" style="70" customWidth="1"/>
    <col min="200" max="200" width="10.5546875" style="70" bestFit="1" customWidth="1"/>
    <col min="201" max="201" width="14" style="70" customWidth="1"/>
    <col min="202" max="202" width="14.33203125" style="70" customWidth="1"/>
    <col min="203" max="203" width="10.5546875" style="70" bestFit="1" customWidth="1"/>
    <col min="204" max="204" width="9.44140625" style="70" bestFit="1" customWidth="1"/>
    <col min="205" max="206" width="10.5546875" style="70" bestFit="1" customWidth="1"/>
    <col min="207" max="209" width="10.5546875" style="70" customWidth="1"/>
    <col min="210" max="210" width="9" style="70" bestFit="1" customWidth="1"/>
    <col min="211" max="211" width="10.5546875" style="70" bestFit="1" customWidth="1"/>
    <col min="212" max="212" width="9.33203125" style="70" bestFit="1" customWidth="1"/>
    <col min="213" max="213" width="11.6640625" style="70" bestFit="1" customWidth="1"/>
    <col min="214" max="214" width="8.44140625" style="70" bestFit="1" customWidth="1"/>
    <col min="215" max="215" width="9.44140625" style="70" bestFit="1" customWidth="1"/>
    <col min="216" max="216" width="9.6640625" style="70" bestFit="1" customWidth="1"/>
    <col min="217" max="217" width="11" style="70" bestFit="1" customWidth="1"/>
    <col min="218" max="218" width="9.44140625" style="70" bestFit="1" customWidth="1"/>
    <col min="219" max="16384" width="11.44140625" style="70"/>
  </cols>
  <sheetData>
    <row r="1" spans="1:218" s="5" customFormat="1" ht="26.4" thickBot="1" x14ac:dyDescent="0.55000000000000004">
      <c r="B1" s="313" t="s">
        <v>176</v>
      </c>
      <c r="C1" s="314"/>
      <c r="D1" s="314"/>
      <c r="E1" s="314"/>
      <c r="F1" s="314"/>
      <c r="G1" s="314"/>
      <c r="H1" s="315"/>
      <c r="I1" s="310" t="str">
        <f>IF('Données projet'!$B$9="","",'Données projet'!$B$9)</f>
        <v>Robinier faux-acacia</v>
      </c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2"/>
      <c r="AD1" s="311" t="str">
        <f>IF('Données projet'!$B$10="","",'Données projet'!$B$10)</f>
        <v>Chêne sessile</v>
      </c>
      <c r="AE1" s="311"/>
      <c r="AF1" s="311"/>
      <c r="AG1" s="311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1"/>
      <c r="AU1" s="311"/>
      <c r="AV1" s="311"/>
      <c r="AW1" s="311"/>
      <c r="AX1" s="312"/>
      <c r="AY1" s="310" t="str">
        <f>IF('Données projet'!$B$11="","",'Données projet'!$B$11)</f>
        <v>Alisier torminal</v>
      </c>
      <c r="AZ1" s="311"/>
      <c r="BA1" s="311"/>
      <c r="BB1" s="311"/>
      <c r="BC1" s="311"/>
      <c r="BD1" s="311"/>
      <c r="BE1" s="311"/>
      <c r="BF1" s="311"/>
      <c r="BG1" s="311"/>
      <c r="BH1" s="311"/>
      <c r="BI1" s="311"/>
      <c r="BJ1" s="311"/>
      <c r="BK1" s="311"/>
      <c r="BL1" s="311"/>
      <c r="BM1" s="311"/>
      <c r="BN1" s="311"/>
      <c r="BO1" s="311"/>
      <c r="BP1" s="311"/>
      <c r="BQ1" s="311"/>
      <c r="BR1" s="311"/>
      <c r="BS1" s="312"/>
      <c r="BT1" s="310" t="str">
        <f>IF('Données projet'!$B$12="","",'Données projet'!$B$12)</f>
        <v>Merisier</v>
      </c>
      <c r="BU1" s="311"/>
      <c r="BV1" s="311"/>
      <c r="BW1" s="311"/>
      <c r="BX1" s="311"/>
      <c r="BY1" s="311"/>
      <c r="BZ1" s="311"/>
      <c r="CA1" s="311"/>
      <c r="CB1" s="311"/>
      <c r="CC1" s="311"/>
      <c r="CD1" s="311"/>
      <c r="CE1" s="311"/>
      <c r="CF1" s="311"/>
      <c r="CG1" s="311"/>
      <c r="CH1" s="311"/>
      <c r="CI1" s="311"/>
      <c r="CJ1" s="311"/>
      <c r="CK1" s="311"/>
      <c r="CL1" s="311"/>
      <c r="CM1" s="311"/>
      <c r="CN1" s="312"/>
      <c r="CO1" s="310" t="str">
        <f>IF('Données projet'!$B$13="","",'Données projet'!$B$13)</f>
        <v/>
      </c>
      <c r="CP1" s="311"/>
      <c r="CQ1" s="311"/>
      <c r="CR1" s="311"/>
      <c r="CS1" s="311"/>
      <c r="CT1" s="311"/>
      <c r="CU1" s="311"/>
      <c r="CV1" s="311"/>
      <c r="CW1" s="311"/>
      <c r="CX1" s="311"/>
      <c r="CY1" s="311"/>
      <c r="CZ1" s="311"/>
      <c r="DA1" s="311"/>
      <c r="DB1" s="311"/>
      <c r="DC1" s="311"/>
      <c r="DD1" s="311"/>
      <c r="DE1" s="311"/>
      <c r="DF1" s="311"/>
      <c r="DG1" s="311"/>
      <c r="DH1" s="311"/>
      <c r="DI1" s="312"/>
      <c r="DJ1" s="310" t="str">
        <f>IF('Données projet'!$B$14="","",'Données projet'!$B$14)</f>
        <v/>
      </c>
      <c r="DK1" s="311"/>
      <c r="DL1" s="311"/>
      <c r="DM1" s="311"/>
      <c r="DN1" s="311"/>
      <c r="DO1" s="311"/>
      <c r="DP1" s="311"/>
      <c r="DQ1" s="311"/>
      <c r="DR1" s="311"/>
      <c r="DS1" s="311"/>
      <c r="DT1" s="311"/>
      <c r="DU1" s="311"/>
      <c r="DV1" s="311"/>
      <c r="DW1" s="311"/>
      <c r="DX1" s="311"/>
      <c r="DY1" s="311"/>
      <c r="DZ1" s="311"/>
      <c r="EA1" s="311"/>
      <c r="EB1" s="311"/>
      <c r="EC1" s="311"/>
      <c r="ED1" s="312"/>
      <c r="EE1" s="310" t="str">
        <f>IF('Données projet'!$B$15="","",'Données projet'!$B$15)</f>
        <v/>
      </c>
      <c r="EF1" s="311"/>
      <c r="EG1" s="311"/>
      <c r="EH1" s="311"/>
      <c r="EI1" s="311"/>
      <c r="EJ1" s="311"/>
      <c r="EK1" s="311"/>
      <c r="EL1" s="311"/>
      <c r="EM1" s="311"/>
      <c r="EN1" s="311"/>
      <c r="EO1" s="311"/>
      <c r="EP1" s="311"/>
      <c r="EQ1" s="311"/>
      <c r="ER1" s="311"/>
      <c r="ES1" s="311"/>
      <c r="ET1" s="311"/>
      <c r="EU1" s="311"/>
      <c r="EV1" s="311"/>
      <c r="EW1" s="311"/>
      <c r="EX1" s="311"/>
      <c r="EY1" s="312"/>
      <c r="EZ1" s="310" t="str">
        <f>IF('Données projet'!$B$16="","",'Données projet'!$B$16)</f>
        <v/>
      </c>
      <c r="FA1" s="311"/>
      <c r="FB1" s="311"/>
      <c r="FC1" s="311"/>
      <c r="FD1" s="311"/>
      <c r="FE1" s="311"/>
      <c r="FF1" s="311"/>
      <c r="FG1" s="311"/>
      <c r="FH1" s="311"/>
      <c r="FI1" s="311"/>
      <c r="FJ1" s="311"/>
      <c r="FK1" s="311"/>
      <c r="FL1" s="311"/>
      <c r="FM1" s="311"/>
      <c r="FN1" s="311"/>
      <c r="FO1" s="311"/>
      <c r="FP1" s="311"/>
      <c r="FQ1" s="311"/>
      <c r="FR1" s="311"/>
      <c r="FS1" s="311"/>
      <c r="FT1" s="312"/>
      <c r="FU1" s="310" t="str">
        <f>IF('Données projet'!$B$17="","",'Données projet'!$B$17)</f>
        <v/>
      </c>
      <c r="FV1" s="311"/>
      <c r="FW1" s="311"/>
      <c r="FX1" s="311"/>
      <c r="FY1" s="311"/>
      <c r="FZ1" s="311"/>
      <c r="GA1" s="311"/>
      <c r="GB1" s="311"/>
      <c r="GC1" s="311"/>
      <c r="GD1" s="311"/>
      <c r="GE1" s="311"/>
      <c r="GF1" s="311"/>
      <c r="GG1" s="311"/>
      <c r="GH1" s="311"/>
      <c r="GI1" s="311"/>
      <c r="GJ1" s="311"/>
      <c r="GK1" s="311"/>
      <c r="GL1" s="311"/>
      <c r="GM1" s="311"/>
      <c r="GN1" s="311"/>
      <c r="GO1" s="312"/>
      <c r="GP1" s="310" t="str">
        <f>IF('Données projet'!$B$18="","",'Données projet'!$B$18)</f>
        <v/>
      </c>
      <c r="GQ1" s="311"/>
      <c r="GR1" s="311"/>
      <c r="GS1" s="311"/>
      <c r="GT1" s="311"/>
      <c r="GU1" s="311"/>
      <c r="GV1" s="311"/>
      <c r="GW1" s="311"/>
      <c r="GX1" s="311"/>
      <c r="GY1" s="311"/>
      <c r="GZ1" s="311"/>
      <c r="HA1" s="311"/>
      <c r="HB1" s="311"/>
      <c r="HC1" s="311"/>
      <c r="HD1" s="311"/>
      <c r="HE1" s="311"/>
      <c r="HF1" s="311"/>
      <c r="HG1" s="311"/>
      <c r="HH1" s="311"/>
      <c r="HI1" s="311"/>
      <c r="HJ1" s="312"/>
    </row>
    <row r="2" spans="1:218" s="5" customFormat="1" ht="58.2" thickBot="1" x14ac:dyDescent="0.35">
      <c r="A2" s="74" t="s">
        <v>178</v>
      </c>
      <c r="B2" s="75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8" t="s">
        <v>299</v>
      </c>
      <c r="I2" s="71" t="s">
        <v>298</v>
      </c>
      <c r="J2" s="72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2" t="s">
        <v>298</v>
      </c>
      <c r="AE2" s="72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1" t="s">
        <v>298</v>
      </c>
      <c r="AZ2" s="72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1" t="s">
        <v>298</v>
      </c>
      <c r="BU2" s="72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1" t="s">
        <v>298</v>
      </c>
      <c r="CP2" s="72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1" t="s">
        <v>298</v>
      </c>
      <c r="DK2" s="72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1" t="s">
        <v>298</v>
      </c>
      <c r="EF2" s="72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1" t="s">
        <v>298</v>
      </c>
      <c r="FA2" s="72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1" t="s">
        <v>298</v>
      </c>
      <c r="FV2" s="72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1" t="s">
        <v>298</v>
      </c>
      <c r="GQ2" s="72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6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9">
        <f>(B3+E3+F3)*44/12+(C3+D3)*0.475*44/12</f>
        <v>256.66666666666669</v>
      </c>
      <c r="I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216.22465631364315</v>
      </c>
      <c r="T3" s="62">
        <f>IF('Données projet'!E9&gt;30,$R$33-$H$33,LOOKUP('Données projet'!$E$9,$A$3:$A$203,R3:R203)-LOOKUP('Données projet'!$E$9,$A$3:$A$203,$H$3:$H$203))</f>
        <v>304.27938609150095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336.63786714776501</v>
      </c>
      <c r="AO3" s="62">
        <f>IF('Données projet'!E10&gt;30,$AM$33-$H$33,LOOKUP('Données projet'!$E$10,$A$3:$A$203,AM3:AM203)-LOOKUP('Données projet'!$E$10,$A$3:$A$203,$H$3:$H$203))</f>
        <v>208.9883766854885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363.29716504383265</v>
      </c>
      <c r="BJ3" s="62">
        <f>IF('Données projet'!E11&gt;30,$BH$33-$H$33,LOOKUP('Données projet'!$E$11,$A$3:$A$203,BH3:BH203)-LOOKUP('Données projet'!$E$11,$A$3:$A$203,$H$3:$H$203))</f>
        <v>223.12394672673923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249.25370091019835</v>
      </c>
      <c r="CE3" s="62">
        <f>IF('Données projet'!E12&gt;30,$CC$33-$H$33,LOOKUP('Données projet'!$E$12,$A$3:$A$203,CC3:CC203)-LOOKUP('Données projet'!$E$12,$A$3:$A$203,$H$3:$H$203))</f>
        <v>245.46410820099908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6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2">
        <f>IFERROR(EXP(-1.0587+0.8836*LN(C4)+0.284),0)</f>
        <v>0.26998241883213048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9">
        <f t="shared" ref="H4:H67" si="1">(B4+E4+F4)*44/12+(C4+D4)*0.475*44/12</f>
        <v>258.08783604613262</v>
      </c>
      <c r="I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4.4000000000000004</v>
      </c>
      <c r="N4" s="14">
        <f>IF('Données projet'!$A$36&gt;35,N3+M4-V3,IF(A4&lt;'Données projet'!$A$36,$K$205^A4,IF(A4='Données projet'!$A$36,'Données projet'!$B$36,N3+M4-V3)))</f>
        <v>1.8556007362580844</v>
      </c>
      <c r="O4" s="14">
        <f>N4*VLOOKUP('Données projet'!$B$9,Paramètres!$A$1:$I$89,3,0)*VLOOKUP('Données projet'!$B$9,Paramètres!$A$1:$I$89,5,0)</f>
        <v>1.6789475461663146</v>
      </c>
      <c r="P4" s="14">
        <f>EXP(-1.0587+0.8836*LN(O4)+0.284)</f>
        <v>0.72844182078056119</v>
      </c>
      <c r="Q4" s="22">
        <f t="shared" ref="Q4:Q34" si="2">(O4+P4)*0.475*44/12</f>
        <v>4.1928698140991418</v>
      </c>
      <c r="R4" s="62">
        <f t="shared" si="0"/>
        <v>262.081758702988</v>
      </c>
      <c r="S4" s="62">
        <f ca="1">AVERAGE(OFFSET($R$3,0,0,'Données projet'!$E$9+1,1))-AVERAGE(OFFSET($H$3,0,0,'Données projet'!$E$9+1,1))</f>
        <v>216.22465631364315</v>
      </c>
      <c r="T4" s="62">
        <f>$T$3</f>
        <v>304.27938609150095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2.1</v>
      </c>
      <c r="AI4" s="14">
        <f>IF('Données projet'!$A$62&gt;35,AI3+AH4-AQ3,IF(A4&lt;'Données projet'!$A$62,$AF$205^A4,IF(A4='Données projet'!$A$62,'Données projet'!$B$62,AI3+AH4-AQ3)))</f>
        <v>1.2054868146447177</v>
      </c>
      <c r="AJ4" s="14">
        <f>AI4*VLOOKUP('Données projet'!$B$10,Paramètres!$A$1:$I$89,3,0)*VLOOKUP('Données projet'!$B$10,Paramètres!$A$1:$I$89,5,0)</f>
        <v>1.0907244698905405</v>
      </c>
      <c r="AK4" s="14">
        <f>EXP(-1.0587+0.8836*LN(AJ4)+0.284)</f>
        <v>0.49759623852608204</v>
      </c>
      <c r="AL4" s="22">
        <f t="shared" ref="AL4:AL67" si="4">(AJ4+AK4)*0.475*44/12</f>
        <v>2.7663252338256172</v>
      </c>
      <c r="AM4" s="62">
        <f t="shared" ref="AM4:AM67" si="5">AL4+(AD4+AE4)*44/12</f>
        <v>260.65521412271448</v>
      </c>
      <c r="AN4" s="62">
        <f ca="1">AVERAGE(OFFSET($AM$3,0,0,'Données projet'!$E$10+1,1))-AVERAGE(OFFSET($H$3,0,0,'Données projet'!$E$10+1,1))</f>
        <v>336.63786714776501</v>
      </c>
      <c r="AO4" s="62">
        <f>$AO$3</f>
        <v>208.9883766854885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2.1</v>
      </c>
      <c r="BD4" s="13">
        <f>IF('Données projet'!$A$88&gt;35,BD3+BC4-BL3,IF(A4&lt;'Données projet'!$A$88,$BA$205^A4,IF(A4='Données projet'!$A$88,'Données projet'!$B$88,BD3+BC4-BL3)))</f>
        <v>1.2054868146447177</v>
      </c>
      <c r="BE4" s="14">
        <f>BD4*VLOOKUP('Données projet'!$B$11,Paramètres!$A$1:$I$89,3,0)*VLOOKUP('Données projet'!$B$11,Paramètres!$A$1:$I$89,5,0)</f>
        <v>1.165946847124371</v>
      </c>
      <c r="BF4" s="14">
        <f>EXP(-1.0587+0.8836*LN(BE4)+0.284)</f>
        <v>0.52780002987456354</v>
      </c>
      <c r="BG4" s="22">
        <f t="shared" ref="BG4:BG67" si="7">(BE4+BF4)*0.475*44/12</f>
        <v>2.9499424774398109</v>
      </c>
      <c r="BH4" s="62">
        <f t="shared" ref="BH4:BH67" si="8">BG4+(AY4+AZ4)*44/12</f>
        <v>260.83883136632869</v>
      </c>
      <c r="BI4" s="62">
        <f ca="1">AVERAGE(OFFSET($BH$3,0,0,'Données projet'!$E$11+1,1))-AVERAGE(OFFSET($H$3,0,0,'Données projet'!$E$11+1,1))</f>
        <v>363.29716504383265</v>
      </c>
      <c r="BJ4" s="62">
        <f>$BJ$3</f>
        <v>223.12394672673923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2.6666666666666665</v>
      </c>
      <c r="BY4" s="13">
        <f>IF('Données projet'!$A$114&gt;35,BY3+BX4-CG3,IF(A4&lt;'Données projet'!$A$114,$BV$205^A4,IF(A4='Données projet'!$A$114,'Données projet'!$B$114,BY3+BX4-CG3)))</f>
        <v>1.2788040393997409</v>
      </c>
      <c r="BZ4" s="14">
        <f>BY4*VLOOKUP('Données projet'!$B$12,Paramètres!$A$1:$I$89,3,0)*VLOOKUP('Données projet'!$B$12,Paramètres!$A$1:$I$89,5,0)</f>
        <v>0.99746715073179792</v>
      </c>
      <c r="CA4" s="14">
        <f>EXP(-1.0587+0.8836*LN(BZ4)+0.284)</f>
        <v>0.45981048445793882</v>
      </c>
      <c r="CB4" s="22">
        <f t="shared" ref="CB4:CB67" si="10">(BZ4+CA4)*0.475*44/12</f>
        <v>2.5380918812887914</v>
      </c>
      <c r="CC4" s="62">
        <f t="shared" ref="CC4:CC67" si="11">CB4+(BT4+BU4)*44/12</f>
        <v>260.42698077017764</v>
      </c>
      <c r="CD4" s="62">
        <f ca="1">AVERAGE(OFFSET($CC$3,0,0,'Données projet'!$E$12+1,1))-AVERAGE(OFFSET($H$3,0,0,'Données projet'!$E$12+1,1))</f>
        <v>249.25370091019835</v>
      </c>
      <c r="CE4" s="62">
        <f>$CE$3</f>
        <v>245.46410820099908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6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2">
        <f t="shared" ref="D5:D68" si="32">IFERROR(EXP(-1.0587+0.8836*LN(C5)+0.284),0)</f>
        <v>0.49811037558348636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9">
        <f t="shared" si="1"/>
        <v>259.43610890414124</v>
      </c>
      <c r="I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4.4000000000000004</v>
      </c>
      <c r="N5" s="14">
        <f>IF('Données projet'!$A$36&gt;35,N4+M5-V4,IF(A5&lt;'Données projet'!$A$36,$K$205^A5,IF(A5='Données projet'!$A$36,'Données projet'!$B$36,N4+M5-V4)))</f>
        <v>3.4432540924015451</v>
      </c>
      <c r="O5" s="14">
        <f>N5*VLOOKUP('Données projet'!$B$9,Paramètres!$A$1:$I$89,3,0)*VLOOKUP('Données projet'!$B$9,Paramètres!$A$1:$I$89,5,0)</f>
        <v>3.115456302804918</v>
      </c>
      <c r="P5" s="14">
        <f t="shared" ref="P5:P68" si="33">EXP(-1.0587+0.8836*LN(O5)+0.284)</f>
        <v>1.2578469684295466</v>
      </c>
      <c r="Q5" s="22">
        <f t="shared" si="2"/>
        <v>7.6168365307333579</v>
      </c>
      <c r="R5" s="62">
        <f t="shared" si="0"/>
        <v>266.72794764184448</v>
      </c>
      <c r="S5" s="62">
        <f ca="1">AVERAGE(OFFSET($R$3,0,0,'Données projet'!$E$9+1,1))-AVERAGE(OFFSET($H$3,0,0,'Données projet'!$E$9+1,1))</f>
        <v>216.22465631364315</v>
      </c>
      <c r="T5" s="62">
        <f t="shared" ref="T5:T68" si="34">$T$3</f>
        <v>304.27938609150095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2.1</v>
      </c>
      <c r="AI5" s="14">
        <f>IF('Données projet'!$A$62&gt;35,AI4+AH5-AQ4,IF(A5&lt;'Données projet'!$A$62,$AF$205^A5,IF(A5='Données projet'!$A$62,'Données projet'!$B$62,AI4+AH5-AQ4)))</f>
        <v>1.4531984602822681</v>
      </c>
      <c r="AJ5" s="14">
        <f>AI5*VLOOKUP('Données projet'!$B$10,Paramètres!$A$1:$I$89,3,0)*VLOOKUP('Données projet'!$B$10,Paramètres!$A$1:$I$89,5,0)</f>
        <v>1.3148539668633961</v>
      </c>
      <c r="AK5" s="14">
        <f t="shared" ref="AK5:AK68" si="35">EXP(-1.0587+0.8836*LN(AJ5)+0.284)</f>
        <v>0.58693801963664449</v>
      </c>
      <c r="AL5" s="22">
        <f t="shared" si="4"/>
        <v>3.3122877098209038</v>
      </c>
      <c r="AM5" s="62">
        <f t="shared" si="5"/>
        <v>262.42339882093205</v>
      </c>
      <c r="AN5" s="62">
        <f ca="1">AVERAGE(OFFSET($AM$3,0,0,'Données projet'!$E$10+1,1))-AVERAGE(OFFSET($H$3,0,0,'Données projet'!$E$10+1,1))</f>
        <v>336.63786714776501</v>
      </c>
      <c r="AO5" s="62">
        <f t="shared" ref="AO5:AO68" si="36">$AO$3</f>
        <v>208.9883766854885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2.1</v>
      </c>
      <c r="BD5" s="13">
        <f>IF('Données projet'!$A$88&gt;35,BD4+BC5-BL4,IF(A5&lt;'Données projet'!$A$88,$BA$205^A5,IF(A5='Données projet'!$A$88,'Données projet'!$B$88,BD4+BC5-BL4)))</f>
        <v>1.4531984602822681</v>
      </c>
      <c r="BE5" s="14">
        <f>BD5*VLOOKUP('Données projet'!$B$11,Paramètres!$A$1:$I$89,3,0)*VLOOKUP('Données projet'!$B$11,Paramètres!$A$1:$I$89,5,0)</f>
        <v>1.4055335507850097</v>
      </c>
      <c r="BF5" s="14">
        <f t="shared" ref="BF5:BF68" si="37">EXP(-1.0587+0.8836*LN(BE5)+0.284)</f>
        <v>0.62256480317525631</v>
      </c>
      <c r="BG5" s="22">
        <f t="shared" si="7"/>
        <v>3.5322712998141292</v>
      </c>
      <c r="BH5" s="62">
        <f t="shared" si="8"/>
        <v>262.64338241092526</v>
      </c>
      <c r="BI5" s="62">
        <f ca="1">AVERAGE(OFFSET($BH$3,0,0,'Données projet'!$E$11+1,1))-AVERAGE(OFFSET($H$3,0,0,'Données projet'!$E$11+1,1))</f>
        <v>363.29716504383265</v>
      </c>
      <c r="BJ5" s="62">
        <f t="shared" ref="BJ5:BJ68" si="38">$BJ$3</f>
        <v>223.12394672673923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2.6666666666666665</v>
      </c>
      <c r="BY5" s="13">
        <f>IF('Données projet'!$A$114&gt;35,BY4+BX5-CG4,IF(A5&lt;'Données projet'!$A$114,$BV$205^A5,IF(A5='Données projet'!$A$114,'Données projet'!$B$114,BY4+BX5-CG4)))</f>
        <v>1.6353397711850939</v>
      </c>
      <c r="BZ5" s="14">
        <f>BY5*VLOOKUP('Données projet'!$B$12,Paramètres!$A$1:$I$89,3,0)*VLOOKUP('Données projet'!$B$12,Paramètres!$A$1:$I$89,5,0)</f>
        <v>1.2755650215243732</v>
      </c>
      <c r="CA5" s="14">
        <f t="shared" ref="CA5:CA68" si="39">EXP(-1.0587+0.8836*LN(BZ5)+0.284)</f>
        <v>0.57141400910743001</v>
      </c>
      <c r="CB5" s="22">
        <f t="shared" si="10"/>
        <v>3.2168218116837237</v>
      </c>
      <c r="CC5" s="62">
        <f t="shared" si="11"/>
        <v>262.32793292279484</v>
      </c>
      <c r="CD5" s="62">
        <f ca="1">AVERAGE(OFFSET($CC$3,0,0,'Données projet'!$E$12+1,1))-AVERAGE(OFFSET($H$3,0,0,'Données projet'!$E$12+1,1))</f>
        <v>249.25370091019835</v>
      </c>
      <c r="CE5" s="62">
        <f t="shared" ref="CE5:CE68" si="40">$CE$3</f>
        <v>245.46410820099908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6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2">
        <f t="shared" si="32"/>
        <v>0.71272144204532062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9">
        <f t="shared" si="1"/>
        <v>260.7608398448956</v>
      </c>
      <c r="I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4.4000000000000004</v>
      </c>
      <c r="N6" s="14">
        <f>IF('Données projet'!$A$36&gt;35,N5+M6-V5,IF(A6&lt;'Données projet'!$A$36,$K$205^A6,IF(A6='Données projet'!$A$36,'Données projet'!$B$36,N5+M6-V5)))</f>
        <v>6.3893048289839696</v>
      </c>
      <c r="O6" s="14">
        <f>N6*VLOOKUP('Données projet'!$B$9,Paramètres!$A$1:$I$89,3,0)*VLOOKUP('Données projet'!$B$9,Paramètres!$A$1:$I$89,5,0)</f>
        <v>5.7810430092646952</v>
      </c>
      <c r="P6" s="14">
        <f t="shared" si="33"/>
        <v>2.1720046143040199</v>
      </c>
      <c r="Q6" s="22">
        <f t="shared" si="2"/>
        <v>13.851557944382177</v>
      </c>
      <c r="R6" s="62">
        <f t="shared" si="0"/>
        <v>274.18489127771551</v>
      </c>
      <c r="S6" s="62">
        <f ca="1">AVERAGE(OFFSET($R$3,0,0,'Données projet'!$E$9+1,1))-AVERAGE(OFFSET($H$3,0,0,'Données projet'!$E$9+1,1))</f>
        <v>216.22465631364315</v>
      </c>
      <c r="T6" s="62">
        <f t="shared" si="34"/>
        <v>304.27938609150095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2.1</v>
      </c>
      <c r="AI6" s="14">
        <f>IF('Données projet'!$A$62&gt;35,AI5+AH6-AQ5,IF(A6&lt;'Données projet'!$A$62,$AF$205^A6,IF(A6='Données projet'!$A$62,'Données projet'!$B$62,AI5+AH6-AQ5)))</f>
        <v>1.7518115829322798</v>
      </c>
      <c r="AJ6" s="14">
        <f>AI6*VLOOKUP('Données projet'!$B$10,Paramètres!$A$1:$I$89,3,0)*VLOOKUP('Données projet'!$B$10,Paramètres!$A$1:$I$89,5,0)</f>
        <v>1.5850391202371266</v>
      </c>
      <c r="AK6" s="14">
        <f t="shared" si="35"/>
        <v>0.69232082604846479</v>
      </c>
      <c r="AL6" s="22">
        <f t="shared" si="4"/>
        <v>3.966401906447405</v>
      </c>
      <c r="AM6" s="62">
        <f t="shared" si="5"/>
        <v>264.29973523978072</v>
      </c>
      <c r="AN6" s="62">
        <f ca="1">AVERAGE(OFFSET($AM$3,0,0,'Données projet'!$E$10+1,1))-AVERAGE(OFFSET($H$3,0,0,'Données projet'!$E$10+1,1))</f>
        <v>336.63786714776501</v>
      </c>
      <c r="AO6" s="62">
        <f t="shared" si="36"/>
        <v>208.9883766854885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2.1</v>
      </c>
      <c r="BD6" s="13">
        <f>IF('Données projet'!$A$88&gt;35,BD5+BC6-BL5,IF(A6&lt;'Données projet'!$A$88,$BA$205^A6,IF(A6='Données projet'!$A$88,'Données projet'!$B$88,BD5+BC6-BL5)))</f>
        <v>1.7518115829322798</v>
      </c>
      <c r="BE6" s="14">
        <f>BD6*VLOOKUP('Données projet'!$B$11,Paramètres!$A$1:$I$89,3,0)*VLOOKUP('Données projet'!$B$11,Paramètres!$A$1:$I$89,5,0)</f>
        <v>1.694352163012101</v>
      </c>
      <c r="BF6" s="14">
        <f t="shared" si="37"/>
        <v>0.73434428233124405</v>
      </c>
      <c r="BG6" s="22">
        <f t="shared" si="7"/>
        <v>4.2299796423063247</v>
      </c>
      <c r="BH6" s="62">
        <f t="shared" si="8"/>
        <v>264.56331297563963</v>
      </c>
      <c r="BI6" s="62">
        <f ca="1">AVERAGE(OFFSET($BH$3,0,0,'Données projet'!$E$11+1,1))-AVERAGE(OFFSET($H$3,0,0,'Données projet'!$E$11+1,1))</f>
        <v>363.29716504383265</v>
      </c>
      <c r="BJ6" s="62">
        <f t="shared" si="38"/>
        <v>223.12394672673923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2.6666666666666665</v>
      </c>
      <c r="BY6" s="13">
        <f>IF('Données projet'!$A$114&gt;35,BY5+BX6-CG5,IF(A6&lt;'Données projet'!$A$114,$BV$205^A6,IF(A6='Données projet'!$A$114,'Données projet'!$B$114,BY5+BX6-CG5)))</f>
        <v>2.0912791051825459</v>
      </c>
      <c r="BZ6" s="14">
        <f>BY6*VLOOKUP('Données projet'!$B$12,Paramètres!$A$1:$I$89,3,0)*VLOOKUP('Données projet'!$B$12,Paramètres!$A$1:$I$89,5,0)</f>
        <v>1.6311977020423858</v>
      </c>
      <c r="CA6" s="14">
        <f t="shared" si="39"/>
        <v>0.71010553443370616</v>
      </c>
      <c r="CB6" s="22">
        <f t="shared" si="10"/>
        <v>4.0777698035291934</v>
      </c>
      <c r="CC6" s="62">
        <f t="shared" si="11"/>
        <v>264.41110313686249</v>
      </c>
      <c r="CD6" s="62">
        <f ca="1">AVERAGE(OFFSET($CC$3,0,0,'Données projet'!$E$12+1,1))-AVERAGE(OFFSET($H$3,0,0,'Données projet'!$E$12+1,1))</f>
        <v>249.25370091019835</v>
      </c>
      <c r="CE6" s="62">
        <f t="shared" si="40"/>
        <v>245.46410820099908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6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2">
        <f t="shared" si="32"/>
        <v>0.91900038282935004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9">
        <f t="shared" si="1"/>
        <v>262.07105900009446</v>
      </c>
      <c r="I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4.4000000000000004</v>
      </c>
      <c r="N7" s="14">
        <f>IF('Données projet'!$A$36&gt;35,N6+M7-V6,IF(A7&lt;'Données projet'!$A$36,$K$205^A7,IF(A7='Données projet'!$A$36,'Données projet'!$B$36,N6+M7-V6)))</f>
        <v>11.855998744839988</v>
      </c>
      <c r="O7" s="14">
        <f>N7*VLOOKUP('Données projet'!$B$9,Paramètres!$A$1:$I$89,3,0)*VLOOKUP('Données projet'!$B$9,Paramètres!$A$1:$I$89,5,0)</f>
        <v>10.727307664331221</v>
      </c>
      <c r="P7" s="14">
        <f t="shared" si="33"/>
        <v>3.7505389470771635</v>
      </c>
      <c r="Q7" s="22">
        <f t="shared" si="2"/>
        <v>25.215582848202938</v>
      </c>
      <c r="R7" s="62">
        <f t="shared" si="0"/>
        <v>286.77113840375847</v>
      </c>
      <c r="S7" s="62">
        <f ca="1">AVERAGE(OFFSET($R$3,0,0,'Données projet'!$E$9+1,1))-AVERAGE(OFFSET($H$3,0,0,'Données projet'!$E$9+1,1))</f>
        <v>216.22465631364315</v>
      </c>
      <c r="T7" s="62">
        <f t="shared" si="34"/>
        <v>304.27938609150095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2.1</v>
      </c>
      <c r="AI7" s="14">
        <f>IF('Données projet'!$A$62&gt;35,AI6+AH7-AQ6,IF(A7&lt;'Données projet'!$A$62,$AF$205^A7,IF(A7='Données projet'!$A$62,'Données projet'!$B$62,AI6+AH7-AQ6)))</f>
        <v>2.1117857649667546</v>
      </c>
      <c r="AJ7" s="14">
        <f>AI7*VLOOKUP('Données projet'!$B$10,Paramètres!$A$1:$I$89,3,0)*VLOOKUP('Données projet'!$B$10,Paramètres!$A$1:$I$89,5,0)</f>
        <v>1.9107437601419195</v>
      </c>
      <c r="AK7" s="14">
        <f t="shared" si="35"/>
        <v>0.81662477151702284</v>
      </c>
      <c r="AL7" s="22">
        <f t="shared" si="4"/>
        <v>4.7501668593059909</v>
      </c>
      <c r="AM7" s="62">
        <f t="shared" si="5"/>
        <v>266.30572241486152</v>
      </c>
      <c r="AN7" s="62">
        <f ca="1">AVERAGE(OFFSET($AM$3,0,0,'Données projet'!$E$10+1,1))-AVERAGE(OFFSET($H$3,0,0,'Données projet'!$E$10+1,1))</f>
        <v>336.63786714776501</v>
      </c>
      <c r="AO7" s="62">
        <f t="shared" si="36"/>
        <v>208.9883766854885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2.1</v>
      </c>
      <c r="BD7" s="13">
        <f>IF('Données projet'!$A$88&gt;35,BD6+BC7-BL6,IF(A7&lt;'Données projet'!$A$88,$BA$205^A7,IF(A7='Données projet'!$A$88,'Données projet'!$B$88,BD6+BC7-BL6)))</f>
        <v>2.1117857649667546</v>
      </c>
      <c r="BE7" s="14">
        <f>BD7*VLOOKUP('Données projet'!$B$11,Paramètres!$A$1:$I$89,3,0)*VLOOKUP('Données projet'!$B$11,Paramètres!$A$1:$I$89,5,0)</f>
        <v>2.042519191875845</v>
      </c>
      <c r="BF7" s="14">
        <f t="shared" si="37"/>
        <v>0.86619340226463792</v>
      </c>
      <c r="BG7" s="22">
        <f t="shared" si="7"/>
        <v>5.0660077681280073</v>
      </c>
      <c r="BH7" s="62">
        <f t="shared" si="8"/>
        <v>266.62156332368357</v>
      </c>
      <c r="BI7" s="62">
        <f ca="1">AVERAGE(OFFSET($BH$3,0,0,'Données projet'!$E$11+1,1))-AVERAGE(OFFSET($H$3,0,0,'Données projet'!$E$11+1,1))</f>
        <v>363.29716504383265</v>
      </c>
      <c r="BJ7" s="62">
        <f t="shared" si="38"/>
        <v>223.12394672673923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2.6666666666666665</v>
      </c>
      <c r="BY7" s="13">
        <f>IF('Données projet'!$A$114&gt;35,BY6+BX7-CG6,IF(A7&lt;'Données projet'!$A$114,$BV$205^A7,IF(A7='Données projet'!$A$114,'Données projet'!$B$114,BY6+BX7-CG6)))</f>
        <v>2.6743361672197152</v>
      </c>
      <c r="BZ7" s="14">
        <f>BY7*VLOOKUP('Données projet'!$B$12,Paramètres!$A$1:$I$89,3,0)*VLOOKUP('Données projet'!$B$12,Paramètres!$A$1:$I$89,5,0)</f>
        <v>2.0859822104313781</v>
      </c>
      <c r="CA7" s="14">
        <f t="shared" si="39"/>
        <v>0.88245976121767966</v>
      </c>
      <c r="CB7" s="22">
        <f t="shared" si="10"/>
        <v>5.1700364339554419</v>
      </c>
      <c r="CC7" s="62">
        <f t="shared" si="11"/>
        <v>266.72559198951097</v>
      </c>
      <c r="CD7" s="62">
        <f ca="1">AVERAGE(OFFSET($CC$3,0,0,'Données projet'!$E$12+1,1))-AVERAGE(OFFSET($H$3,0,0,'Données projet'!$E$12+1,1))</f>
        <v>249.25370091019835</v>
      </c>
      <c r="CE7" s="62">
        <f t="shared" si="40"/>
        <v>245.46410820099908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6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2">
        <f t="shared" si="32"/>
        <v>1.1192971032254277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9">
        <f t="shared" si="1"/>
        <v>263.37085912145096</v>
      </c>
      <c r="I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>
        <f>VLOOKUP(A8,'Données projet'!$A$35:$I$55,2,0)</f>
        <v>22</v>
      </c>
      <c r="L8" s="13">
        <f>VLOOKUP(A8,'Données projet'!$A$35:$I$55,9,0)</f>
        <v>4.4000000000000004</v>
      </c>
      <c r="M8" s="13">
        <f t="array" ref="M8">INDEX(L:L,MIN(IF(ISNUMBER(L8:L204),ROW(L8:L204),"")))</f>
        <v>4.4000000000000004</v>
      </c>
      <c r="N8" s="14">
        <f>IF('Données projet'!$A$36&gt;35,N7+M8-V7,IF(A8&lt;'Données projet'!$A$36,$K$205^A8,IF(A8='Données projet'!$A$36,'Données projet'!$B$36,N7+M8-V7)))</f>
        <v>22</v>
      </c>
      <c r="O8" s="14">
        <f>N8*VLOOKUP('Données projet'!$B$9,Paramètres!$A$1:$I$89,3,0)*VLOOKUP('Données projet'!$B$9,Paramètres!$A$1:$I$89,5,0)</f>
        <v>19.9056</v>
      </c>
      <c r="P8" s="14">
        <f t="shared" si="33"/>
        <v>6.4762948940833853</v>
      </c>
      <c r="Q8" s="22">
        <f t="shared" si="2"/>
        <v>45.948466940528562</v>
      </c>
      <c r="R8" s="62">
        <f t="shared" si="0"/>
        <v>308.72624471830636</v>
      </c>
      <c r="S8" s="62">
        <f ca="1">AVERAGE(OFFSET($R$3,0,0,'Données projet'!$E$9+1,1))-AVERAGE(OFFSET($H$3,0,0,'Données projet'!$E$9+1,1))</f>
        <v>216.22465631364315</v>
      </c>
      <c r="T8" s="62">
        <f t="shared" si="34"/>
        <v>304.27938609150095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2.1</v>
      </c>
      <c r="AI8" s="14">
        <f>IF('Données projet'!$A$62&gt;35,AI7+AH8-AQ7,IF(A8&lt;'Données projet'!$A$62,$AF$205^A8,IF(A8='Données projet'!$A$62,'Données projet'!$B$62,AI7+AH8-AQ7)))</f>
        <v>2.5457298950218314</v>
      </c>
      <c r="AJ8" s="14">
        <f>AI8*VLOOKUP('Données projet'!$B$10,Paramètres!$A$1:$I$89,3,0)*VLOOKUP('Données projet'!$B$10,Paramètres!$A$1:$I$89,5,0)</f>
        <v>2.3033764090157529</v>
      </c>
      <c r="AK8" s="14">
        <f t="shared" si="35"/>
        <v>0.96324708482559218</v>
      </c>
      <c r="AL8" s="22">
        <f t="shared" si="4"/>
        <v>5.6893692517736758</v>
      </c>
      <c r="AM8" s="62">
        <f t="shared" si="5"/>
        <v>268.46714702955143</v>
      </c>
      <c r="AN8" s="62">
        <f ca="1">AVERAGE(OFFSET($AM$3,0,0,'Données projet'!$E$10+1,1))-AVERAGE(OFFSET($H$3,0,0,'Données projet'!$E$10+1,1))</f>
        <v>336.63786714776501</v>
      </c>
      <c r="AO8" s="62">
        <f t="shared" si="36"/>
        <v>208.9883766854885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2.1</v>
      </c>
      <c r="BD8" s="13">
        <f>IF('Données projet'!$A$88&gt;35,BD7+BC8-BL7,IF(A8&lt;'Données projet'!$A$88,$BA$205^A8,IF(A8='Données projet'!$A$88,'Données projet'!$B$88,BD7+BC8-BL7)))</f>
        <v>2.5457298950218314</v>
      </c>
      <c r="BE8" s="14">
        <f>BD8*VLOOKUP('Données projet'!$B$11,Paramètres!$A$1:$I$89,3,0)*VLOOKUP('Données projet'!$B$11,Paramètres!$A$1:$I$89,5,0)</f>
        <v>2.4622299544651152</v>
      </c>
      <c r="BF8" s="14">
        <f t="shared" si="37"/>
        <v>1.021715601495419</v>
      </c>
      <c r="BG8" s="22">
        <f t="shared" si="7"/>
        <v>6.0678718432979295</v>
      </c>
      <c r="BH8" s="62">
        <f t="shared" si="8"/>
        <v>268.84564962107572</v>
      </c>
      <c r="BI8" s="62">
        <f ca="1">AVERAGE(OFFSET($BH$3,0,0,'Données projet'!$E$11+1,1))-AVERAGE(OFFSET($H$3,0,0,'Données projet'!$E$11+1,1))</f>
        <v>363.29716504383265</v>
      </c>
      <c r="BJ8" s="62">
        <f t="shared" si="38"/>
        <v>223.12394672673923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2.6666666666666665</v>
      </c>
      <c r="BY8" s="13">
        <f>IF('Données projet'!$A$114&gt;35,BY7+BX8-CG7,IF(A8&lt;'Données projet'!$A$114,$BV$205^A8,IF(A8='Données projet'!$A$114,'Données projet'!$B$114,BY7+BX8-CG7)))</f>
        <v>3.4199518933533928</v>
      </c>
      <c r="BZ8" s="14">
        <f>BY8*VLOOKUP('Données projet'!$B$12,Paramètres!$A$1:$I$89,3,0)*VLOOKUP('Données projet'!$B$12,Paramètres!$A$1:$I$89,5,0)</f>
        <v>2.6675624768156463</v>
      </c>
      <c r="CA8" s="14">
        <f t="shared" si="39"/>
        <v>1.0966471776471767</v>
      </c>
      <c r="CB8" s="22">
        <f t="shared" si="10"/>
        <v>6.5559984815227494</v>
      </c>
      <c r="CC8" s="62">
        <f t="shared" si="11"/>
        <v>269.33377625930052</v>
      </c>
      <c r="CD8" s="62">
        <f ca="1">AVERAGE(OFFSET($CC$3,0,0,'Données projet'!$E$12+1,1))-AVERAGE(OFFSET($H$3,0,0,'Données projet'!$E$12+1,1))</f>
        <v>249.25370091019835</v>
      </c>
      <c r="CE8" s="62">
        <f t="shared" si="40"/>
        <v>245.46410820099908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6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2">
        <f t="shared" si="32"/>
        <v>1.3149520873221716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9">
        <f t="shared" si="1"/>
        <v>264.66257488541947</v>
      </c>
      <c r="I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</v>
      </c>
      <c r="N9" s="14">
        <f>IF('Données projet'!$A$36&gt;35,N8+M9-V8,IF(A9&lt;'Données projet'!$A$36,$K$205^A9,IF(A9='Données projet'!$A$36,'Données projet'!$B$36,N8+M9-V8)))</f>
        <v>30</v>
      </c>
      <c r="O9" s="14">
        <f>N9*VLOOKUP('Données projet'!$B$9,Paramètres!$A$1:$I$89,3,0)*VLOOKUP('Données projet'!$B$9,Paramètres!$A$1:$I$89,5,0)</f>
        <v>27.143999999999998</v>
      </c>
      <c r="P9" s="14">
        <f t="shared" si="33"/>
        <v>8.5181694620316346</v>
      </c>
      <c r="Q9" s="22">
        <f t="shared" si="2"/>
        <v>62.111611813038422</v>
      </c>
      <c r="R9" s="62">
        <f t="shared" si="0"/>
        <v>326.11161181303839</v>
      </c>
      <c r="S9" s="62">
        <f ca="1">AVERAGE(OFFSET($R$3,0,0,'Données projet'!$E$9+1,1))-AVERAGE(OFFSET($H$3,0,0,'Données projet'!$E$9+1,1))</f>
        <v>216.22465631364315</v>
      </c>
      <c r="T9" s="62">
        <f t="shared" si="34"/>
        <v>304.27938609150095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2.1</v>
      </c>
      <c r="AI9" s="14">
        <f>IF('Données projet'!$A$62&gt;35,AI8+AH9-AQ8,IF(A9&lt;'Données projet'!$A$62,$AF$205^A9,IF(A9='Données projet'!$A$62,'Données projet'!$B$62,AI8+AH9-AQ8)))</f>
        <v>3.0688438220956993</v>
      </c>
      <c r="AJ9" s="14">
        <f>AI9*VLOOKUP('Données projet'!$B$10,Paramètres!$A$1:$I$89,3,0)*VLOOKUP('Données projet'!$B$10,Paramètres!$A$1:$I$89,5,0)</f>
        <v>2.7766898902321886</v>
      </c>
      <c r="AK9" s="14">
        <f t="shared" si="35"/>
        <v>1.1361949561012803</v>
      </c>
      <c r="AL9" s="22">
        <f t="shared" si="4"/>
        <v>6.8149411073641248</v>
      </c>
      <c r="AM9" s="62">
        <f t="shared" si="5"/>
        <v>270.81494110736412</v>
      </c>
      <c r="AN9" s="62">
        <f ca="1">AVERAGE(OFFSET($AM$3,0,0,'Données projet'!$E$10+1,1))-AVERAGE(OFFSET($H$3,0,0,'Données projet'!$E$10+1,1))</f>
        <v>336.63786714776501</v>
      </c>
      <c r="AO9" s="62">
        <f t="shared" si="36"/>
        <v>208.9883766854885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2.1</v>
      </c>
      <c r="BD9" s="13">
        <f>IF('Données projet'!$A$88&gt;35,BD8+BC9-BL8,IF(A9&lt;'Données projet'!$A$88,$BA$205^A9,IF(A9='Données projet'!$A$88,'Données projet'!$B$88,BD8+BC9-BL8)))</f>
        <v>3.0688438220956993</v>
      </c>
      <c r="BE9" s="14">
        <f>BD9*VLOOKUP('Données projet'!$B$11,Paramètres!$A$1:$I$89,3,0)*VLOOKUP('Données projet'!$B$11,Paramètres!$A$1:$I$89,5,0)</f>
        <v>2.9681857447309605</v>
      </c>
      <c r="BF9" s="14">
        <f t="shared" si="37"/>
        <v>1.2051613041728233</v>
      </c>
      <c r="BG9" s="22">
        <f t="shared" si="7"/>
        <v>7.2685794435074236</v>
      </c>
      <c r="BH9" s="62">
        <f t="shared" si="8"/>
        <v>271.26857944350741</v>
      </c>
      <c r="BI9" s="62">
        <f ca="1">AVERAGE(OFFSET($BH$3,0,0,'Données projet'!$E$11+1,1))-AVERAGE(OFFSET($H$3,0,0,'Données projet'!$E$11+1,1))</f>
        <v>363.29716504383265</v>
      </c>
      <c r="BJ9" s="62">
        <f t="shared" si="38"/>
        <v>223.12394672673923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2.6666666666666665</v>
      </c>
      <c r="BY9" s="13">
        <f>IF('Données projet'!$A$114&gt;35,BY8+BX9-CG8,IF(A9&lt;'Données projet'!$A$114,$BV$205^A9,IF(A9='Données projet'!$A$114,'Données projet'!$B$114,BY8+BX9-CG8)))</f>
        <v>4.3734482957731098</v>
      </c>
      <c r="BZ9" s="14">
        <f>BY9*VLOOKUP('Données projet'!$B$12,Paramètres!$A$1:$I$89,3,0)*VLOOKUP('Données projet'!$B$12,Paramètres!$A$1:$I$89,5,0)</f>
        <v>3.4112896707030256</v>
      </c>
      <c r="CA9" s="14">
        <f t="shared" si="39"/>
        <v>1.3628213830192535</v>
      </c>
      <c r="CB9" s="22">
        <f t="shared" si="10"/>
        <v>8.3149100852329703</v>
      </c>
      <c r="CC9" s="62">
        <f t="shared" si="11"/>
        <v>272.31491008523295</v>
      </c>
      <c r="CD9" s="62">
        <f ca="1">AVERAGE(OFFSET($CC$3,0,0,'Données projet'!$E$12+1,1))-AVERAGE(OFFSET($H$3,0,0,'Données projet'!$E$12+1,1))</f>
        <v>249.25370091019835</v>
      </c>
      <c r="CE9" s="62">
        <f t="shared" si="40"/>
        <v>245.46410820099908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6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2">
        <f t="shared" si="32"/>
        <v>1.5068294933809407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9">
        <f t="shared" si="1"/>
        <v>265.94771136763848</v>
      </c>
      <c r="I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</v>
      </c>
      <c r="N10" s="14">
        <f>IF('Données projet'!$A$36&gt;35,N9+M10-V9,IF(A10&lt;'Données projet'!$A$36,$K$205^A10,IF(A10='Données projet'!$A$36,'Données projet'!$B$36,N9+M10-V9)))</f>
        <v>38</v>
      </c>
      <c r="O10" s="14">
        <f>N10*VLOOKUP('Données projet'!$B$9,Paramètres!$A$1:$I$89,3,0)*VLOOKUP('Données projet'!$B$9,Paramètres!$A$1:$I$89,5,0)</f>
        <v>34.382399999999997</v>
      </c>
      <c r="P10" s="14">
        <f t="shared" si="33"/>
        <v>10.49684347123541</v>
      </c>
      <c r="Q10" s="22">
        <f t="shared" si="2"/>
        <v>78.164682379068338</v>
      </c>
      <c r="R10" s="62">
        <f t="shared" si="0"/>
        <v>343.38690460129055</v>
      </c>
      <c r="S10" s="62">
        <f ca="1">AVERAGE(OFFSET($R$3,0,0,'Données projet'!$E$9+1,1))-AVERAGE(OFFSET($H$3,0,0,'Données projet'!$E$9+1,1))</f>
        <v>216.22465631364315</v>
      </c>
      <c r="T10" s="62">
        <f t="shared" si="34"/>
        <v>304.27938609150095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2.1</v>
      </c>
      <c r="AI10" s="14">
        <f>IF('Données projet'!$A$62&gt;35,AI9+AH10-AQ9,IF(A10&lt;'Données projet'!$A$62,$AF$205^A10,IF(A10='Données projet'!$A$62,'Données projet'!$B$62,AI9+AH10-AQ9)))</f>
        <v>3.6994507637402658</v>
      </c>
      <c r="AJ10" s="14">
        <f>AI10*VLOOKUP('Données projet'!$B$10,Paramètres!$A$1:$I$89,3,0)*VLOOKUP('Données projet'!$B$10,Paramètres!$A$1:$I$89,5,0)</f>
        <v>3.3472630510321921</v>
      </c>
      <c r="AK10" s="14">
        <f t="shared" si="35"/>
        <v>1.34019505338418</v>
      </c>
      <c r="AL10" s="22">
        <f t="shared" si="4"/>
        <v>8.1639895318585136</v>
      </c>
      <c r="AM10" s="62">
        <f t="shared" si="5"/>
        <v>273.38621175408076</v>
      </c>
      <c r="AN10" s="62">
        <f ca="1">AVERAGE(OFFSET($AM$3,0,0,'Données projet'!$E$10+1,1))-AVERAGE(OFFSET($H$3,0,0,'Données projet'!$E$10+1,1))</f>
        <v>336.63786714776501</v>
      </c>
      <c r="AO10" s="62">
        <f t="shared" si="36"/>
        <v>208.9883766854885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2.1</v>
      </c>
      <c r="BD10" s="13">
        <f>IF('Données projet'!$A$88&gt;35,BD9+BC10-BL9,IF(A10&lt;'Données projet'!$A$88,$BA$205^A10,IF(A10='Données projet'!$A$88,'Données projet'!$B$88,BD9+BC10-BL9)))</f>
        <v>3.6994507637402658</v>
      </c>
      <c r="BE10" s="14">
        <f>BD10*VLOOKUP('Données projet'!$B$11,Paramètres!$A$1:$I$89,3,0)*VLOOKUP('Données projet'!$B$11,Paramètres!$A$1:$I$89,5,0)</f>
        <v>3.5781087786895851</v>
      </c>
      <c r="BF10" s="14">
        <f t="shared" si="37"/>
        <v>1.4215440842341414</v>
      </c>
      <c r="BG10" s="22">
        <f t="shared" si="7"/>
        <v>8.707728736258824</v>
      </c>
      <c r="BH10" s="62">
        <f t="shared" si="8"/>
        <v>273.92995095848107</v>
      </c>
      <c r="BI10" s="62">
        <f ca="1">AVERAGE(OFFSET($BH$3,0,0,'Données projet'!$E$11+1,1))-AVERAGE(OFFSET($H$3,0,0,'Données projet'!$E$11+1,1))</f>
        <v>363.29716504383265</v>
      </c>
      <c r="BJ10" s="62">
        <f t="shared" si="38"/>
        <v>223.12394672673923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2.6666666666666665</v>
      </c>
      <c r="BY10" s="13">
        <f>IF('Données projet'!$A$114&gt;35,BY9+BX10-CG9,IF(A10&lt;'Données projet'!$A$114,$BV$205^A10,IF(A10='Données projet'!$A$114,'Données projet'!$B$114,BY9+BX10-CG9)))</f>
        <v>5.5927833467405659</v>
      </c>
      <c r="BZ10" s="14">
        <f>BY10*VLOOKUP('Données projet'!$B$12,Paramètres!$A$1:$I$89,3,0)*VLOOKUP('Données projet'!$B$12,Paramètres!$A$1:$I$89,5,0)</f>
        <v>4.3623710104576414</v>
      </c>
      <c r="CA10" s="14">
        <f t="shared" si="39"/>
        <v>1.6936004212396314</v>
      </c>
      <c r="CB10" s="22">
        <f t="shared" si="10"/>
        <v>10.54748357687275</v>
      </c>
      <c r="CC10" s="62">
        <f t="shared" si="11"/>
        <v>275.76970579909499</v>
      </c>
      <c r="CD10" s="62">
        <f ca="1">AVERAGE(OFFSET($CC$3,0,0,'Données projet'!$E$12+1,1))-AVERAGE(OFFSET($H$3,0,0,'Données projet'!$E$12+1,1))</f>
        <v>249.25370091019835</v>
      </c>
      <c r="CE10" s="62">
        <f t="shared" si="40"/>
        <v>245.46410820099908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6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2">
        <f t="shared" si="32"/>
        <v>1.6955312417477209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9">
        <f t="shared" si="1"/>
        <v>267.22731691271065</v>
      </c>
      <c r="I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</v>
      </c>
      <c r="N11" s="14">
        <f>IF('Données projet'!$A$36&gt;35,N10+M11-V10,IF(A11&lt;'Données projet'!$A$36,$K$205^A11,IF(A11='Données projet'!$A$36,'Données projet'!$B$36,N10+M11-V10)))</f>
        <v>46</v>
      </c>
      <c r="O11" s="14">
        <f>N11*VLOOKUP('Données projet'!$B$9,Paramètres!$A$1:$I$89,3,0)*VLOOKUP('Données projet'!$B$9,Paramètres!$A$1:$I$89,5,0)</f>
        <v>41.620800000000003</v>
      </c>
      <c r="P11" s="14">
        <f t="shared" si="33"/>
        <v>12.427241987862391</v>
      </c>
      <c r="Q11" s="22">
        <f t="shared" si="2"/>
        <v>94.133673128860323</v>
      </c>
      <c r="R11" s="62">
        <f t="shared" si="0"/>
        <v>360.57811757330478</v>
      </c>
      <c r="S11" s="62">
        <f ca="1">AVERAGE(OFFSET($R$3,0,0,'Données projet'!$E$9+1,1))-AVERAGE(OFFSET($H$3,0,0,'Données projet'!$E$9+1,1))</f>
        <v>216.22465631364315</v>
      </c>
      <c r="T11" s="62">
        <f t="shared" si="34"/>
        <v>304.27938609150095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2.1</v>
      </c>
      <c r="AI11" s="14">
        <f>IF('Données projet'!$A$62&gt;35,AI10+AH11-AQ10,IF(A11&lt;'Données projet'!$A$62,$AF$205^A11,IF(A11='Données projet'!$A$62,'Données projet'!$B$62,AI10+AH11-AQ10)))</f>
        <v>4.4596391171162209</v>
      </c>
      <c r="AJ11" s="14">
        <f>AI11*VLOOKUP('Données projet'!$B$10,Paramètres!$A$1:$I$89,3,0)*VLOOKUP('Données projet'!$B$10,Paramètres!$A$1:$I$89,5,0)</f>
        <v>4.0350814731667564</v>
      </c>
      <c r="AK11" s="14">
        <f t="shared" si="35"/>
        <v>1.5808227025391921</v>
      </c>
      <c r="AL11" s="22">
        <f t="shared" si="4"/>
        <v>9.7810331060211926</v>
      </c>
      <c r="AM11" s="62">
        <f t="shared" si="5"/>
        <v>276.22547755046565</v>
      </c>
      <c r="AN11" s="62">
        <f ca="1">AVERAGE(OFFSET($AM$3,0,0,'Données projet'!$E$10+1,1))-AVERAGE(OFFSET($H$3,0,0,'Données projet'!$E$10+1,1))</f>
        <v>336.63786714776501</v>
      </c>
      <c r="AO11" s="62">
        <f t="shared" si="36"/>
        <v>208.9883766854885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2.1</v>
      </c>
      <c r="BD11" s="13">
        <f>IF('Données projet'!$A$88&gt;35,BD10+BC11-BL10,IF(A11&lt;'Données projet'!$A$88,$BA$205^A11,IF(A11='Données projet'!$A$88,'Données projet'!$B$88,BD10+BC11-BL10)))</f>
        <v>4.4596391171162209</v>
      </c>
      <c r="BE11" s="14">
        <f>BD11*VLOOKUP('Données projet'!$B$11,Paramètres!$A$1:$I$89,3,0)*VLOOKUP('Données projet'!$B$11,Paramètres!$A$1:$I$89,5,0)</f>
        <v>4.3133629540748091</v>
      </c>
      <c r="BF11" s="14">
        <f t="shared" si="37"/>
        <v>1.6767776864592203</v>
      </c>
      <c r="BG11" s="22">
        <f t="shared" si="7"/>
        <v>10.432828282263435</v>
      </c>
      <c r="BH11" s="62">
        <f t="shared" si="8"/>
        <v>276.87727272670787</v>
      </c>
      <c r="BI11" s="62">
        <f ca="1">AVERAGE(OFFSET($BH$3,0,0,'Données projet'!$E$11+1,1))-AVERAGE(OFFSET($H$3,0,0,'Données projet'!$E$11+1,1))</f>
        <v>363.29716504383265</v>
      </c>
      <c r="BJ11" s="62">
        <f t="shared" si="38"/>
        <v>223.12394672673923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2.6666666666666665</v>
      </c>
      <c r="BY11" s="13">
        <f>IF('Données projet'!$A$114&gt;35,BY10+BX11-CG10,IF(A11&lt;'Données projet'!$A$114,$BV$205^A11,IF(A11='Données projet'!$A$114,'Données projet'!$B$114,BY10+BX11-CG10)))</f>
        <v>7.1520739352994367</v>
      </c>
      <c r="BZ11" s="14">
        <f>BY11*VLOOKUP('Données projet'!$B$12,Paramètres!$A$1:$I$89,3,0)*VLOOKUP('Données projet'!$B$12,Paramètres!$A$1:$I$89,5,0)</f>
        <v>5.5786176695335605</v>
      </c>
      <c r="CA11" s="14">
        <f t="shared" si="39"/>
        <v>2.1046649418345189</v>
      </c>
      <c r="CB11" s="22">
        <f t="shared" si="10"/>
        <v>13.381717214799407</v>
      </c>
      <c r="CC11" s="62">
        <f t="shared" si="11"/>
        <v>279.82616165924384</v>
      </c>
      <c r="CD11" s="62">
        <f ca="1">AVERAGE(OFFSET($CC$3,0,0,'Données projet'!$E$12+1,1))-AVERAGE(OFFSET($H$3,0,0,'Données projet'!$E$12+1,1))</f>
        <v>249.25370091019835</v>
      </c>
      <c r="CE11" s="62">
        <f t="shared" si="40"/>
        <v>245.46410820099908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6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2">
        <f t="shared" si="32"/>
        <v>1.8814997515338503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9">
        <f t="shared" si="1"/>
        <v>268.5021620672548</v>
      </c>
      <c r="I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</v>
      </c>
      <c r="N12" s="14">
        <f>IF('Données projet'!$A$36&gt;35,N11+M12-V11,IF(A12&lt;'Données projet'!$A$36,$K$205^A12,IF(A12='Données projet'!$A$36,'Données projet'!$B$36,N11+M12-V11)))</f>
        <v>54</v>
      </c>
      <c r="O12" s="14">
        <f>N12*VLOOKUP('Données projet'!$B$9,Paramètres!$A$1:$I$89,3,0)*VLOOKUP('Données projet'!$B$9,Paramètres!$A$1:$I$89,5,0)</f>
        <v>48.859199999999994</v>
      </c>
      <c r="P12" s="14">
        <f t="shared" si="33"/>
        <v>14.318748507569314</v>
      </c>
      <c r="Q12" s="22">
        <f t="shared" si="2"/>
        <v>110.03492698401654</v>
      </c>
      <c r="R12" s="62">
        <f t="shared" si="0"/>
        <v>377.70159365068321</v>
      </c>
      <c r="S12" s="62">
        <f ca="1">AVERAGE(OFFSET($R$3,0,0,'Données projet'!$E$9+1,1))-AVERAGE(OFFSET($H$3,0,0,'Données projet'!$E$9+1,1))</f>
        <v>216.22465631364315</v>
      </c>
      <c r="T12" s="62">
        <f t="shared" si="34"/>
        <v>304.27938609150095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2.1</v>
      </c>
      <c r="AI12" s="14">
        <f>IF('Données projet'!$A$62&gt;35,AI11+AH12-AQ11,IF(A12&lt;'Données projet'!$A$62,$AF$205^A12,IF(A12='Données projet'!$A$62,'Données projet'!$B$62,AI11+AH12-AQ11)))</f>
        <v>5.3760361537574148</v>
      </c>
      <c r="AJ12" s="14">
        <f>AI12*VLOOKUP('Données projet'!$B$10,Paramètres!$A$1:$I$89,3,0)*VLOOKUP('Données projet'!$B$10,Paramètres!$A$1:$I$89,5,0)</f>
        <v>4.8642375119197085</v>
      </c>
      <c r="AK12" s="14">
        <f t="shared" si="35"/>
        <v>1.8646542609995393</v>
      </c>
      <c r="AL12" s="22">
        <f t="shared" si="4"/>
        <v>11.719486504501022</v>
      </c>
      <c r="AM12" s="62">
        <f t="shared" si="5"/>
        <v>279.38615317116773</v>
      </c>
      <c r="AN12" s="62">
        <f ca="1">AVERAGE(OFFSET($AM$3,0,0,'Données projet'!$E$10+1,1))-AVERAGE(OFFSET($H$3,0,0,'Données projet'!$E$10+1,1))</f>
        <v>336.63786714776501</v>
      </c>
      <c r="AO12" s="62">
        <f t="shared" si="36"/>
        <v>208.9883766854885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2.1</v>
      </c>
      <c r="BD12" s="13">
        <f>IF('Données projet'!$A$88&gt;35,BD11+BC12-BL11,IF(A12&lt;'Données projet'!$A$88,$BA$205^A12,IF(A12='Données projet'!$A$88,'Données projet'!$B$88,BD11+BC12-BL11)))</f>
        <v>5.3760361537574148</v>
      </c>
      <c r="BE12" s="14">
        <f>BD12*VLOOKUP('Données projet'!$B$11,Paramètres!$A$1:$I$89,3,0)*VLOOKUP('Données projet'!$B$11,Paramètres!$A$1:$I$89,5,0)</f>
        <v>5.1997021679141717</v>
      </c>
      <c r="BF12" s="14">
        <f t="shared" si="37"/>
        <v>1.977837649208241</v>
      </c>
      <c r="BG12" s="22">
        <f t="shared" si="7"/>
        <v>12.500881848154869</v>
      </c>
      <c r="BH12" s="62">
        <f t="shared" si="8"/>
        <v>280.16754851482153</v>
      </c>
      <c r="BI12" s="62">
        <f ca="1">AVERAGE(OFFSET($BH$3,0,0,'Données projet'!$E$11+1,1))-AVERAGE(OFFSET($H$3,0,0,'Données projet'!$E$11+1,1))</f>
        <v>363.29716504383265</v>
      </c>
      <c r="BJ12" s="62">
        <f t="shared" si="38"/>
        <v>223.12394672673923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2.6666666666666665</v>
      </c>
      <c r="BY12" s="13">
        <f>IF('Données projet'!$A$114&gt;35,BY11+BX12-CG11,IF(A12&lt;'Données projet'!$A$114,$BV$205^A12,IF(A12='Données projet'!$A$114,'Données projet'!$B$114,BY11+BX12-CG11)))</f>
        <v>9.1461010385465205</v>
      </c>
      <c r="BZ12" s="14">
        <f>BY12*VLOOKUP('Données projet'!$B$12,Paramètres!$A$1:$I$89,3,0)*VLOOKUP('Données projet'!$B$12,Paramètres!$A$1:$I$89,5,0)</f>
        <v>7.1339588100662858</v>
      </c>
      <c r="CA12" s="14">
        <f t="shared" si="39"/>
        <v>2.6155015444227643</v>
      </c>
      <c r="CB12" s="22">
        <f t="shared" si="10"/>
        <v>16.980310117401761</v>
      </c>
      <c r="CC12" s="62">
        <f t="shared" si="11"/>
        <v>284.64697678406844</v>
      </c>
      <c r="CD12" s="62">
        <f ca="1">AVERAGE(OFFSET($CC$3,0,0,'Données projet'!$E$12+1,1))-AVERAGE(OFFSET($H$3,0,0,'Données projet'!$E$12+1,1))</f>
        <v>249.25370091019835</v>
      </c>
      <c r="CE12" s="62">
        <f t="shared" si="40"/>
        <v>245.46410820099908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6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2">
        <f t="shared" si="32"/>
        <v>2.0650733588092973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9">
        <f t="shared" si="1"/>
        <v>269.77283609992622</v>
      </c>
      <c r="I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>
        <f>VLOOKUP(A13,'Données projet'!$A$35:$I$55,2,0)</f>
        <v>62</v>
      </c>
      <c r="L13" s="13">
        <f>VLOOKUP(A13,'Données projet'!$A$35:$I$55,9,0)</f>
        <v>8</v>
      </c>
      <c r="M13" s="13">
        <f t="array" ref="M13">INDEX(L:L,MIN(IF(ISNUMBER(L13:L209),ROW(L13:L209),"")))</f>
        <v>8</v>
      </c>
      <c r="N13" s="14">
        <f>IF('Données projet'!$A$36&gt;35,N12+M13-V12,IF(A13&lt;'Données projet'!$A$36,$K$205^A13,IF(A13='Données projet'!$A$36,'Données projet'!$B$36,N12+M13-V12)))</f>
        <v>62</v>
      </c>
      <c r="O13" s="14">
        <f>N13*VLOOKUP('Données projet'!$B$9,Paramètres!$A$1:$I$89,3,0)*VLOOKUP('Données projet'!$B$9,Paramètres!$A$1:$I$89,5,0)</f>
        <v>56.0976</v>
      </c>
      <c r="P13" s="14">
        <f t="shared" si="33"/>
        <v>16.177791426098278</v>
      </c>
      <c r="Q13" s="22">
        <f t="shared" si="2"/>
        <v>125.87964006712117</v>
      </c>
      <c r="R13" s="62">
        <f t="shared" si="0"/>
        <v>394.76852895601002</v>
      </c>
      <c r="S13" s="62">
        <f ca="1">AVERAGE(OFFSET($R$3,0,0,'Données projet'!$E$9+1,1))-AVERAGE(OFFSET($H$3,0,0,'Données projet'!$E$9+1,1))</f>
        <v>216.22465631364315</v>
      </c>
      <c r="T13" s="62">
        <f t="shared" si="34"/>
        <v>304.27938609150095</v>
      </c>
      <c r="U13" s="16">
        <f>IF(ISNA(VLOOKUP(A13,'Données projet'!$A$35:$I$55,3,0)),0,VLOOKUP(A13,'Données projet'!$A$35:$I$55,3,0))</f>
        <v>1</v>
      </c>
      <c r="V13" s="16">
        <f>IF(ISNA(VLOOKUP(A13,'Données projet'!$A$35:$I$55,4,0)),0,VLOOKUP(A13,'Données projet'!$A$35:$I$55,4,0))</f>
        <v>17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2.1</v>
      </c>
      <c r="AI13" s="14">
        <f>IF('Données projet'!$A$62&gt;35,AI12+AH13-AQ12,IF(A13&lt;'Données projet'!$A$62,$AF$205^A13,IF(A13='Données projet'!$A$62,'Données projet'!$B$62,AI12+AH13-AQ12)))</f>
        <v>6.4807406984078657</v>
      </c>
      <c r="AJ13" s="14">
        <f>AI13*VLOOKUP('Données projet'!$B$10,Paramètres!$A$1:$I$89,3,0)*VLOOKUP('Données projet'!$B$10,Paramètres!$A$1:$I$89,5,0)</f>
        <v>5.8637741839194364</v>
      </c>
      <c r="AK13" s="14">
        <f t="shared" si="35"/>
        <v>2.1994468497187687</v>
      </c>
      <c r="AL13" s="22">
        <f t="shared" si="4"/>
        <v>14.043443300253207</v>
      </c>
      <c r="AM13" s="62">
        <f t="shared" si="5"/>
        <v>282.93233218914207</v>
      </c>
      <c r="AN13" s="62">
        <f ca="1">AVERAGE(OFFSET($AM$3,0,0,'Données projet'!$E$10+1,1))-AVERAGE(OFFSET($H$3,0,0,'Données projet'!$E$10+1,1))</f>
        <v>336.63786714776501</v>
      </c>
      <c r="AO13" s="62">
        <f t="shared" si="36"/>
        <v>208.9883766854885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2.1</v>
      </c>
      <c r="BD13" s="13">
        <f>IF('Données projet'!$A$88&gt;35,BD12+BC13-BL12,IF(A13&lt;'Données projet'!$A$88,$BA$205^A13,IF(A13='Données projet'!$A$88,'Données projet'!$B$88,BD12+BC13-BL12)))</f>
        <v>6.4807406984078657</v>
      </c>
      <c r="BE13" s="14">
        <f>BD13*VLOOKUP('Données projet'!$B$11,Paramètres!$A$1:$I$89,3,0)*VLOOKUP('Données projet'!$B$11,Paramètres!$A$1:$I$89,5,0)</f>
        <v>6.2681724035000874</v>
      </c>
      <c r="BF13" s="14">
        <f t="shared" si="37"/>
        <v>2.3329519459947301</v>
      </c>
      <c r="BG13" s="22">
        <f t="shared" si="7"/>
        <v>14.98029157537014</v>
      </c>
      <c r="BH13" s="62">
        <f t="shared" si="8"/>
        <v>283.86918046425899</v>
      </c>
      <c r="BI13" s="62">
        <f ca="1">AVERAGE(OFFSET($BH$3,0,0,'Données projet'!$E$11+1,1))-AVERAGE(OFFSET($H$3,0,0,'Données projet'!$E$11+1,1))</f>
        <v>363.29716504383265</v>
      </c>
      <c r="BJ13" s="62">
        <f t="shared" si="38"/>
        <v>223.12394672673923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2.6666666666666665</v>
      </c>
      <c r="BY13" s="13">
        <f>IF('Données projet'!$A$114&gt;35,BY12+BX13-CG12,IF(A13&lt;'Données projet'!$A$114,$BV$205^A13,IF(A13='Données projet'!$A$114,'Données projet'!$B$114,BY12+BX13-CG12)))</f>
        <v>11.696070952851455</v>
      </c>
      <c r="BZ13" s="14">
        <f>BY13*VLOOKUP('Données projet'!$B$12,Paramètres!$A$1:$I$89,3,0)*VLOOKUP('Données projet'!$B$12,Paramètres!$A$1:$I$89,5,0)</f>
        <v>9.1229353432241354</v>
      </c>
      <c r="CA13" s="14">
        <f t="shared" si="39"/>
        <v>3.2503265450485803</v>
      </c>
      <c r="CB13" s="22">
        <f t="shared" si="10"/>
        <v>21.550097788741649</v>
      </c>
      <c r="CC13" s="62">
        <f t="shared" si="11"/>
        <v>290.43898667763051</v>
      </c>
      <c r="CD13" s="62">
        <f ca="1">AVERAGE(OFFSET($CC$3,0,0,'Données projet'!$E$12+1,1))-AVERAGE(OFFSET($H$3,0,0,'Données projet'!$E$12+1,1))</f>
        <v>249.25370091019835</v>
      </c>
      <c r="CE13" s="62">
        <f t="shared" si="40"/>
        <v>245.46410820099908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6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2">
        <f t="shared" si="32"/>
        <v>2.2465188167092136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9">
        <f t="shared" si="1"/>
        <v>271.03980360576855</v>
      </c>
      <c r="I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8.8000000000000007</v>
      </c>
      <c r="N14" s="14">
        <f>IF('Données projet'!$A$36&gt;35,N13+M14-V13,IF(A14&lt;'Données projet'!$A$36,$K$205^A14,IF(A14='Données projet'!$A$36,'Données projet'!$B$36,N13+M14-V13)))</f>
        <v>53.8</v>
      </c>
      <c r="O14" s="14">
        <f>N14*VLOOKUP('Données projet'!$B$9,Paramètres!$A$1:$I$89,3,0)*VLOOKUP('Données projet'!$B$9,Paramètres!$A$1:$I$89,5,0)</f>
        <v>48.678239999999995</v>
      </c>
      <c r="P14" s="14">
        <f t="shared" si="33"/>
        <v>14.27187896250871</v>
      </c>
      <c r="Q14" s="22">
        <f t="shared" si="2"/>
        <v>109.63812385970266</v>
      </c>
      <c r="R14" s="62">
        <f t="shared" si="0"/>
        <v>379.7492349708138</v>
      </c>
      <c r="S14" s="62">
        <f ca="1">AVERAGE(OFFSET($R$3,0,0,'Données projet'!$E$9+1,1))-AVERAGE(OFFSET($H$3,0,0,'Données projet'!$E$9+1,1))</f>
        <v>216.22465631364315</v>
      </c>
      <c r="T14" s="62">
        <f t="shared" si="34"/>
        <v>304.27938609150095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2.1</v>
      </c>
      <c r="AI14" s="14">
        <f>IF('Données projet'!$A$62&gt;35,AI13+AH14-AQ13,IF(A14&lt;'Données projet'!$A$62,$AF$205^A14,IF(A14='Données projet'!$A$62,'Données projet'!$B$62,AI13+AH14-AQ13)))</f>
        <v>7.8124474610620815</v>
      </c>
      <c r="AJ14" s="14">
        <f>AI14*VLOOKUP('Données projet'!$B$10,Paramètres!$A$1:$I$89,3,0)*VLOOKUP('Données projet'!$B$10,Paramètres!$A$1:$I$89,5,0)</f>
        <v>7.0687024627689707</v>
      </c>
      <c r="AK14" s="14">
        <f t="shared" si="35"/>
        <v>2.5943503554083325</v>
      </c>
      <c r="AL14" s="22">
        <f t="shared" si="4"/>
        <v>16.829816991658799</v>
      </c>
      <c r="AM14" s="62">
        <f t="shared" si="5"/>
        <v>286.94092810276993</v>
      </c>
      <c r="AN14" s="62">
        <f ca="1">AVERAGE(OFFSET($AM$3,0,0,'Données projet'!$E$10+1,1))-AVERAGE(OFFSET($H$3,0,0,'Données projet'!$E$10+1,1))</f>
        <v>336.63786714776501</v>
      </c>
      <c r="AO14" s="62">
        <f t="shared" si="36"/>
        <v>208.9883766854885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2.1</v>
      </c>
      <c r="BD14" s="13">
        <f>IF('Données projet'!$A$88&gt;35,BD13+BC14-BL13,IF(A14&lt;'Données projet'!$A$88,$BA$205^A14,IF(A14='Données projet'!$A$88,'Données projet'!$B$88,BD13+BC14-BL13)))</f>
        <v>7.8124474610620815</v>
      </c>
      <c r="BE14" s="14">
        <f>BD14*VLOOKUP('Données projet'!$B$11,Paramètres!$A$1:$I$89,3,0)*VLOOKUP('Données projet'!$B$11,Paramètres!$A$1:$I$89,5,0)</f>
        <v>7.5561991843392455</v>
      </c>
      <c r="BF14" s="14">
        <f t="shared" si="37"/>
        <v>2.7518258561310041</v>
      </c>
      <c r="BG14" s="22">
        <f t="shared" si="7"/>
        <v>17.953143612152349</v>
      </c>
      <c r="BH14" s="62">
        <f t="shared" si="8"/>
        <v>288.0642547232635</v>
      </c>
      <c r="BI14" s="62">
        <f ca="1">AVERAGE(OFFSET($BH$3,0,0,'Données projet'!$E$11+1,1))-AVERAGE(OFFSET($H$3,0,0,'Données projet'!$E$11+1,1))</f>
        <v>363.29716504383265</v>
      </c>
      <c r="BJ14" s="62">
        <f t="shared" si="38"/>
        <v>223.12394672673923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2.6666666666666665</v>
      </c>
      <c r="BY14" s="13">
        <f>IF('Données projet'!$A$114&gt;35,BY13+BX14-CG13,IF(A14&lt;'Données projet'!$A$114,$BV$205^A14,IF(A14='Données projet'!$A$114,'Données projet'!$B$114,BY13+BX14-CG13)))</f>
        <v>14.956982779612416</v>
      </c>
      <c r="BZ14" s="14">
        <f>BY14*VLOOKUP('Données projet'!$B$12,Paramètres!$A$1:$I$89,3,0)*VLOOKUP('Données projet'!$B$12,Paramètres!$A$1:$I$89,5,0)</f>
        <v>11.666446568097685</v>
      </c>
      <c r="CA14" s="14">
        <f t="shared" si="39"/>
        <v>4.0392339557111736</v>
      </c>
      <c r="CB14" s="22">
        <f t="shared" si="10"/>
        <v>27.354060245633761</v>
      </c>
      <c r="CC14" s="62">
        <f t="shared" si="11"/>
        <v>297.46517135674492</v>
      </c>
      <c r="CD14" s="62">
        <f ca="1">AVERAGE(OFFSET($CC$3,0,0,'Données projet'!$E$12+1,1))-AVERAGE(OFFSET($H$3,0,0,'Données projet'!$E$12+1,1))</f>
        <v>249.25370091019835</v>
      </c>
      <c r="CE14" s="62">
        <f t="shared" si="40"/>
        <v>245.46410820099908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6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2">
        <f t="shared" si="32"/>
        <v>2.4260515959655744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9">
        <f t="shared" si="1"/>
        <v>272.30343986297339</v>
      </c>
      <c r="I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8.8000000000000007</v>
      </c>
      <c r="N15" s="14">
        <f>IF('Données projet'!$A$36&gt;35,N14+M15-V14,IF(A15&lt;'Données projet'!$A$36,$K$205^A15,IF(A15='Données projet'!$A$36,'Données projet'!$B$36,N14+M15-V14)))</f>
        <v>62.599999999999994</v>
      </c>
      <c r="O15" s="14">
        <f>N15*VLOOKUP('Données projet'!$B$9,Paramètres!$A$1:$I$89,3,0)*VLOOKUP('Données projet'!$B$9,Paramètres!$A$1:$I$89,5,0)</f>
        <v>56.64047999999999</v>
      </c>
      <c r="P15" s="14">
        <f t="shared" si="33"/>
        <v>16.316049563605315</v>
      </c>
      <c r="Q15" s="22">
        <f t="shared" si="2"/>
        <v>127.06595565661257</v>
      </c>
      <c r="R15" s="62">
        <f t="shared" si="0"/>
        <v>398.39928898994589</v>
      </c>
      <c r="S15" s="62">
        <f ca="1">AVERAGE(OFFSET($R$3,0,0,'Données projet'!$E$9+1,1))-AVERAGE(OFFSET($H$3,0,0,'Données projet'!$E$9+1,1))</f>
        <v>216.22465631364315</v>
      </c>
      <c r="T15" s="62">
        <f t="shared" si="34"/>
        <v>304.27938609150095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2.1</v>
      </c>
      <c r="AI15" s="14">
        <f>IF('Données projet'!$A$62&gt;35,AI14+AH15-AQ14,IF(A15&lt;'Données projet'!$A$62,$AF$205^A15,IF(A15='Données projet'!$A$62,'Données projet'!$B$62,AI14+AH15-AQ14)))</f>
        <v>9.4178024044149407</v>
      </c>
      <c r="AJ15" s="14">
        <f>AI15*VLOOKUP('Données projet'!$B$10,Paramètres!$A$1:$I$89,3,0)*VLOOKUP('Données projet'!$B$10,Paramètres!$A$1:$I$89,5,0)</f>
        <v>8.521227615514638</v>
      </c>
      <c r="AK15" s="14">
        <f t="shared" si="35"/>
        <v>3.0601574970852128</v>
      </c>
      <c r="AL15" s="22">
        <f t="shared" si="4"/>
        <v>20.170912404444739</v>
      </c>
      <c r="AM15" s="62">
        <f t="shared" si="5"/>
        <v>291.50424573777804</v>
      </c>
      <c r="AN15" s="62">
        <f ca="1">AVERAGE(OFFSET($AM$3,0,0,'Données projet'!$E$10+1,1))-AVERAGE(OFFSET($H$3,0,0,'Données projet'!$E$10+1,1))</f>
        <v>336.63786714776501</v>
      </c>
      <c r="AO15" s="62">
        <f t="shared" si="36"/>
        <v>208.9883766854885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2.1</v>
      </c>
      <c r="BD15" s="13">
        <f>IF('Données projet'!$A$88&gt;35,BD14+BC15-BL14,IF(A15&lt;'Données projet'!$A$88,$BA$205^A15,IF(A15='Données projet'!$A$88,'Données projet'!$B$88,BD14+BC15-BL14)))</f>
        <v>9.4178024044149407</v>
      </c>
      <c r="BE15" s="14">
        <f>BD15*VLOOKUP('Données projet'!$B$11,Paramètres!$A$1:$I$89,3,0)*VLOOKUP('Données projet'!$B$11,Paramètres!$A$1:$I$89,5,0)</f>
        <v>9.1088984855501316</v>
      </c>
      <c r="BF15" s="14">
        <f t="shared" si="37"/>
        <v>3.2459072101643005</v>
      </c>
      <c r="BG15" s="22">
        <f t="shared" si="7"/>
        <v>21.517953253369303</v>
      </c>
      <c r="BH15" s="62">
        <f t="shared" si="8"/>
        <v>292.8512865867026</v>
      </c>
      <c r="BI15" s="62">
        <f ca="1">AVERAGE(OFFSET($BH$3,0,0,'Données projet'!$E$11+1,1))-AVERAGE(OFFSET($H$3,0,0,'Données projet'!$E$11+1,1))</f>
        <v>363.29716504383265</v>
      </c>
      <c r="BJ15" s="62">
        <f t="shared" si="38"/>
        <v>223.12394672673923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2.6666666666666665</v>
      </c>
      <c r="BY15" s="13">
        <f>IF('Données projet'!$A$114&gt;35,BY14+BX15-CG14,IF(A15&lt;'Données projet'!$A$114,$BV$205^A15,IF(A15='Données projet'!$A$114,'Données projet'!$B$114,BY14+BX15-CG14)))</f>
        <v>19.127049995800721</v>
      </c>
      <c r="BZ15" s="14">
        <f>BY15*VLOOKUP('Données projet'!$B$12,Paramètres!$A$1:$I$89,3,0)*VLOOKUP('Données projet'!$B$12,Paramètres!$A$1:$I$89,5,0)</f>
        <v>14.919098996724562</v>
      </c>
      <c r="CA15" s="14">
        <f t="shared" si="39"/>
        <v>5.019622097301081</v>
      </c>
      <c r="CB15" s="22">
        <f t="shared" si="10"/>
        <v>34.726605905427995</v>
      </c>
      <c r="CC15" s="62">
        <f t="shared" si="11"/>
        <v>306.05993923876133</v>
      </c>
      <c r="CD15" s="62">
        <f ca="1">AVERAGE(OFFSET($CC$3,0,0,'Données projet'!$E$12+1,1))-AVERAGE(OFFSET($H$3,0,0,'Données projet'!$E$12+1,1))</f>
        <v>249.25370091019835</v>
      </c>
      <c r="CE15" s="62">
        <f t="shared" si="40"/>
        <v>245.46410820099908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6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2">
        <f t="shared" si="32"/>
        <v>2.6038492076799815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9">
        <f t="shared" si="1"/>
        <v>273.56405403670931</v>
      </c>
      <c r="I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8.8000000000000007</v>
      </c>
      <c r="N16" s="14">
        <f>IF('Données projet'!$A$36&gt;35,N15+M16-V15,IF(A16&lt;'Données projet'!$A$36,$K$205^A16,IF(A16='Données projet'!$A$36,'Données projet'!$B$36,N15+M16-V15)))</f>
        <v>71.399999999999991</v>
      </c>
      <c r="O16" s="14">
        <f>N16*VLOOKUP('Données projet'!$B$9,Paramètres!$A$1:$I$89,3,0)*VLOOKUP('Données projet'!$B$9,Paramètres!$A$1:$I$89,5,0)</f>
        <v>64.602719999999991</v>
      </c>
      <c r="P16" s="14">
        <f t="shared" si="33"/>
        <v>18.326928056848999</v>
      </c>
      <c r="Q16" s="22">
        <f t="shared" si="2"/>
        <v>144.43580369901198</v>
      </c>
      <c r="R16" s="62">
        <f t="shared" si="0"/>
        <v>416.99135925456756</v>
      </c>
      <c r="S16" s="62">
        <f ca="1">AVERAGE(OFFSET($R$3,0,0,'Données projet'!$E$9+1,1))-AVERAGE(OFFSET($H$3,0,0,'Données projet'!$E$9+1,1))</f>
        <v>216.22465631364315</v>
      </c>
      <c r="T16" s="62">
        <f t="shared" si="34"/>
        <v>304.27938609150095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2.1</v>
      </c>
      <c r="AI16" s="14">
        <f>IF('Données projet'!$A$62&gt;35,AI15+AH16-AQ15,IF(A16&lt;'Données projet'!$A$62,$AF$205^A16,IF(A16='Données projet'!$A$62,'Données projet'!$B$62,AI15+AH16-AQ15)))</f>
        <v>11.35303662145153</v>
      </c>
      <c r="AJ16" s="14">
        <f>AI16*VLOOKUP('Données projet'!$B$10,Paramètres!$A$1:$I$89,3,0)*VLOOKUP('Données projet'!$B$10,Paramètres!$A$1:$I$89,5,0)</f>
        <v>10.272227535089344</v>
      </c>
      <c r="AK16" s="14">
        <f t="shared" si="35"/>
        <v>3.6095987912522753</v>
      </c>
      <c r="AL16" s="22">
        <f t="shared" si="4"/>
        <v>24.177514185044988</v>
      </c>
      <c r="AM16" s="62">
        <f t="shared" si="5"/>
        <v>296.73306974060051</v>
      </c>
      <c r="AN16" s="62">
        <f ca="1">AVERAGE(OFFSET($AM$3,0,0,'Données projet'!$E$10+1,1))-AVERAGE(OFFSET($H$3,0,0,'Données projet'!$E$10+1,1))</f>
        <v>336.63786714776501</v>
      </c>
      <c r="AO16" s="62">
        <f t="shared" si="36"/>
        <v>208.9883766854885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2.1</v>
      </c>
      <c r="BD16" s="13">
        <f>IF('Données projet'!$A$88&gt;35,BD15+BC16-BL15,IF(A16&lt;'Données projet'!$A$88,$BA$205^A16,IF(A16='Données projet'!$A$88,'Données projet'!$B$88,BD15+BC16-BL15)))</f>
        <v>11.35303662145153</v>
      </c>
      <c r="BE16" s="14">
        <f>BD16*VLOOKUP('Données projet'!$B$11,Paramètres!$A$1:$I$89,3,0)*VLOOKUP('Données projet'!$B$11,Paramètres!$A$1:$I$89,5,0)</f>
        <v>10.98065702026792</v>
      </c>
      <c r="BF16" s="14">
        <f t="shared" si="37"/>
        <v>3.8286992592655618</v>
      </c>
      <c r="BG16" s="22">
        <f t="shared" si="7"/>
        <v>25.792962186854144</v>
      </c>
      <c r="BH16" s="62">
        <f t="shared" si="8"/>
        <v>298.34851774240968</v>
      </c>
      <c r="BI16" s="62">
        <f ca="1">AVERAGE(OFFSET($BH$3,0,0,'Données projet'!$E$11+1,1))-AVERAGE(OFFSET($H$3,0,0,'Données projet'!$E$11+1,1))</f>
        <v>363.29716504383265</v>
      </c>
      <c r="BJ16" s="62">
        <f t="shared" si="38"/>
        <v>223.12394672673923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2.6666666666666665</v>
      </c>
      <c r="BY16" s="13">
        <f>IF('Données projet'!$A$114&gt;35,BY15+BX16-CG15,IF(A16&lt;'Données projet'!$A$114,$BV$205^A16,IF(A16='Données projet'!$A$114,'Données projet'!$B$114,BY15+BX16-CG15)))</f>
        <v>24.459748796430759</v>
      </c>
      <c r="BZ16" s="14">
        <f>BY16*VLOOKUP('Données projet'!$B$12,Paramètres!$A$1:$I$89,3,0)*VLOOKUP('Données projet'!$B$12,Paramètres!$A$1:$I$89,5,0)</f>
        <v>19.078604061215994</v>
      </c>
      <c r="CA16" s="14">
        <f t="shared" si="39"/>
        <v>6.2379664748280286</v>
      </c>
      <c r="CB16" s="22">
        <f t="shared" si="10"/>
        <v>44.093027016943331</v>
      </c>
      <c r="CC16" s="62">
        <f t="shared" si="11"/>
        <v>316.64858257249887</v>
      </c>
      <c r="CD16" s="62">
        <f ca="1">AVERAGE(OFFSET($CC$3,0,0,'Données projet'!$E$12+1,1))-AVERAGE(OFFSET($H$3,0,0,'Données projet'!$E$12+1,1))</f>
        <v>249.25370091019835</v>
      </c>
      <c r="CE16" s="62">
        <f t="shared" si="40"/>
        <v>245.46410820099908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6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2">
        <f t="shared" si="32"/>
        <v>2.7800603022041317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9">
        <f t="shared" si="1"/>
        <v>274.82190502633887</v>
      </c>
      <c r="I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8.8000000000000007</v>
      </c>
      <c r="N17" s="14">
        <f>IF('Données projet'!$A$36&gt;35,N16+M17-V16,IF(A17&lt;'Données projet'!$A$36,$K$205^A17,IF(A17='Données projet'!$A$36,'Données projet'!$B$36,N16+M17-V16)))</f>
        <v>80.199999999999989</v>
      </c>
      <c r="O17" s="14">
        <f>N17*VLOOKUP('Données projet'!$B$9,Paramètres!$A$1:$I$89,3,0)*VLOOKUP('Données projet'!$B$9,Paramètres!$A$1:$I$89,5,0)</f>
        <v>72.564959999999985</v>
      </c>
      <c r="P17" s="14">
        <f t="shared" si="33"/>
        <v>20.30908732150932</v>
      </c>
      <c r="Q17" s="22">
        <f t="shared" si="2"/>
        <v>161.75563241829536</v>
      </c>
      <c r="R17" s="62">
        <f t="shared" si="0"/>
        <v>435.53341019607313</v>
      </c>
      <c r="S17" s="62">
        <f ca="1">AVERAGE(OFFSET($R$3,0,0,'Données projet'!$E$9+1,1))-AVERAGE(OFFSET($H$3,0,0,'Données projet'!$E$9+1,1))</f>
        <v>216.22465631364315</v>
      </c>
      <c r="T17" s="62">
        <f t="shared" si="34"/>
        <v>304.27938609150095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2.1</v>
      </c>
      <c r="AI17" s="14">
        <f>IF('Données projet'!$A$62&gt;35,AI16+AH17-AQ16,IF(A17&lt;'Données projet'!$A$62,$AF$205^A17,IF(A17='Données projet'!$A$62,'Données projet'!$B$62,AI16+AH17-AQ16)))</f>
        <v>13.685935953338433</v>
      </c>
      <c r="AJ17" s="14">
        <f>AI17*VLOOKUP('Données projet'!$B$10,Paramètres!$A$1:$I$89,3,0)*VLOOKUP('Données projet'!$B$10,Paramètres!$A$1:$I$89,5,0)</f>
        <v>12.383034850580612</v>
      </c>
      <c r="AK17" s="14">
        <f t="shared" si="35"/>
        <v>4.2576904771143838</v>
      </c>
      <c r="AL17" s="22">
        <f t="shared" si="4"/>
        <v>28.982596612402116</v>
      </c>
      <c r="AM17" s="62">
        <f t="shared" si="5"/>
        <v>302.76037439017989</v>
      </c>
      <c r="AN17" s="62">
        <f ca="1">AVERAGE(OFFSET($AM$3,0,0,'Données projet'!$E$10+1,1))-AVERAGE(OFFSET($H$3,0,0,'Données projet'!$E$10+1,1))</f>
        <v>336.63786714776501</v>
      </c>
      <c r="AO17" s="62">
        <f t="shared" si="36"/>
        <v>208.9883766854885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2.1</v>
      </c>
      <c r="BD17" s="13">
        <f>IF('Données projet'!$A$88&gt;35,BD16+BC17-BL16,IF(A17&lt;'Données projet'!$A$88,$BA$205^A17,IF(A17='Données projet'!$A$88,'Données projet'!$B$88,BD16+BC17-BL16)))</f>
        <v>13.685935953338433</v>
      </c>
      <c r="BE17" s="14">
        <f>BD17*VLOOKUP('Données projet'!$B$11,Paramètres!$A$1:$I$89,3,0)*VLOOKUP('Données projet'!$B$11,Paramètres!$A$1:$I$89,5,0)</f>
        <v>13.237037254068934</v>
      </c>
      <c r="BF17" s="14">
        <f t="shared" si="37"/>
        <v>4.5161297192961545</v>
      </c>
      <c r="BG17" s="22">
        <f t="shared" si="7"/>
        <v>30.920099145277529</v>
      </c>
      <c r="BH17" s="62">
        <f t="shared" si="8"/>
        <v>304.69787692305528</v>
      </c>
      <c r="BI17" s="62">
        <f ca="1">AVERAGE(OFFSET($BH$3,0,0,'Données projet'!$E$11+1,1))-AVERAGE(OFFSET($H$3,0,0,'Données projet'!$E$11+1,1))</f>
        <v>363.29716504383265</v>
      </c>
      <c r="BJ17" s="62">
        <f t="shared" si="38"/>
        <v>223.12394672673923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2.6666666666666665</v>
      </c>
      <c r="BY17" s="13">
        <f>IF('Données projet'!$A$114&gt;35,BY16+BX17-CG16,IF(A17&lt;'Données projet'!$A$114,$BV$205^A17,IF(A17='Données projet'!$A$114,'Données projet'!$B$114,BY16+BX17-CG16)))</f>
        <v>31.279225563578599</v>
      </c>
      <c r="BZ17" s="14">
        <f>BY17*VLOOKUP('Données projet'!$B$12,Paramètres!$A$1:$I$89,3,0)*VLOOKUP('Données projet'!$B$12,Paramètres!$A$1:$I$89,5,0)</f>
        <v>24.397795939591308</v>
      </c>
      <c r="CA17" s="14">
        <f t="shared" si="39"/>
        <v>7.75202295846145</v>
      </c>
      <c r="CB17" s="22">
        <f t="shared" si="10"/>
        <v>55.994267914108548</v>
      </c>
      <c r="CC17" s="62">
        <f t="shared" si="11"/>
        <v>329.77204569188632</v>
      </c>
      <c r="CD17" s="62">
        <f ca="1">AVERAGE(OFFSET($CC$3,0,0,'Données projet'!$E$12+1,1))-AVERAGE(OFFSET($H$3,0,0,'Données projet'!$E$12+1,1))</f>
        <v>249.25370091019835</v>
      </c>
      <c r="CE17" s="62">
        <f t="shared" si="40"/>
        <v>245.46410820099908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6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2">
        <f t="shared" si="32"/>
        <v>2.9548110908066194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9">
        <f t="shared" si="1"/>
        <v>276.07721264982155</v>
      </c>
      <c r="I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89</v>
      </c>
      <c r="L18" s="13">
        <f>VLOOKUP(A18,'Données projet'!$A$35:$I$55,9,0)</f>
        <v>8.8000000000000007</v>
      </c>
      <c r="M18" s="13">
        <f t="array" ref="M18">INDEX(L:L,MIN(IF(ISNUMBER(L18:L214),ROW(L18:L214),"")))</f>
        <v>8.8000000000000007</v>
      </c>
      <c r="N18" s="14">
        <f>IF('Données projet'!$A$36&gt;35,N17+M18-V17,IF(A18&lt;'Données projet'!$A$36,$K$205^A18,IF(A18='Données projet'!$A$36,'Données projet'!$B$36,N17+M18-V17)))</f>
        <v>88.999999999999986</v>
      </c>
      <c r="O18" s="14">
        <f>N18*VLOOKUP('Données projet'!$B$9,Paramètres!$A$1:$I$89,3,0)*VLOOKUP('Données projet'!$B$9,Paramètres!$A$1:$I$89,5,0)</f>
        <v>80.527199999999993</v>
      </c>
      <c r="P18" s="14">
        <f t="shared" si="33"/>
        <v>22.266037950985503</v>
      </c>
      <c r="Q18" s="22">
        <f t="shared" si="2"/>
        <v>179.03155609796639</v>
      </c>
      <c r="R18" s="62">
        <f t="shared" si="0"/>
        <v>454.03155609796636</v>
      </c>
      <c r="S18" s="62">
        <f ca="1">AVERAGE(OFFSET($R$3,0,0,'Données projet'!$E$9+1,1))-AVERAGE(OFFSET($H$3,0,0,'Données projet'!$E$9+1,1))</f>
        <v>216.22465631364315</v>
      </c>
      <c r="T18" s="62">
        <f t="shared" si="34"/>
        <v>304.27938609150095</v>
      </c>
      <c r="U18" s="16">
        <f>IF(ISNA(VLOOKUP(A18,'Données projet'!$A$35:$I$55,3,0)),0,VLOOKUP(A18,'Données projet'!$A$35:$I$55,3,0))</f>
        <v>2</v>
      </c>
      <c r="V18" s="16">
        <f>IF(ISNA(VLOOKUP(A18,'Données projet'!$A$35:$I$55,4,0)),0,VLOOKUP(A18,'Données projet'!$A$35:$I$55,4,0))</f>
        <v>13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2.1</v>
      </c>
      <c r="AI18" s="14">
        <f>IF('Données projet'!$A$62&gt;35,AI17+AH18-AQ17,IF(A18&lt;'Données projet'!$A$62,$AF$205^A18,IF(A18='Données projet'!$A$62,'Données projet'!$B$62,AI17+AH18-AQ17)))</f>
        <v>16.498215337821566</v>
      </c>
      <c r="AJ18" s="14">
        <f>AI18*VLOOKUP('Données projet'!$B$10,Paramètres!$A$1:$I$89,3,0)*VLOOKUP('Données projet'!$B$10,Paramètres!$A$1:$I$89,5,0)</f>
        <v>14.927585237660953</v>
      </c>
      <c r="AK18" s="14">
        <f t="shared" si="35"/>
        <v>5.0221449106318534</v>
      </c>
      <c r="AL18" s="22">
        <f t="shared" si="4"/>
        <v>34.745780008276633</v>
      </c>
      <c r="AM18" s="62">
        <f t="shared" si="5"/>
        <v>309.74578000827665</v>
      </c>
      <c r="AN18" s="62">
        <f ca="1">AVERAGE(OFFSET($AM$3,0,0,'Données projet'!$E$10+1,1))-AVERAGE(OFFSET($H$3,0,0,'Données projet'!$E$10+1,1))</f>
        <v>336.63786714776501</v>
      </c>
      <c r="AO18" s="62">
        <f t="shared" si="36"/>
        <v>208.9883766854885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2.1</v>
      </c>
      <c r="BD18" s="13">
        <f>IF('Données projet'!$A$88&gt;35,BD17+BC18-BL17,IF(A18&lt;'Données projet'!$A$88,$BA$205^A18,IF(A18='Données projet'!$A$88,'Données projet'!$B$88,BD17+BC18-BL17)))</f>
        <v>16.498215337821566</v>
      </c>
      <c r="BE18" s="14">
        <f>BD18*VLOOKUP('Données projet'!$B$11,Paramètres!$A$1:$I$89,3,0)*VLOOKUP('Données projet'!$B$11,Paramètres!$A$1:$I$89,5,0)</f>
        <v>15.957073874741019</v>
      </c>
      <c r="BF18" s="14">
        <f t="shared" si="37"/>
        <v>5.3269860755326848</v>
      </c>
      <c r="BG18" s="22">
        <f t="shared" si="7"/>
        <v>37.069737746726702</v>
      </c>
      <c r="BH18" s="62">
        <f t="shared" si="8"/>
        <v>312.06973774672667</v>
      </c>
      <c r="BI18" s="62">
        <f ca="1">AVERAGE(OFFSET($BH$3,0,0,'Données projet'!$E$11+1,1))-AVERAGE(OFFSET($H$3,0,0,'Données projet'!$E$11+1,1))</f>
        <v>363.29716504383265</v>
      </c>
      <c r="BJ18" s="62">
        <f t="shared" si="38"/>
        <v>223.12394672673923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40</v>
      </c>
      <c r="BW18" s="13">
        <f>VLOOKUP(A18,'Données projet'!$A$113:$I$133,9,0)</f>
        <v>2.6666666666666665</v>
      </c>
      <c r="BX18" s="13">
        <f t="array" ref="BX18">INDEX(BW:BW,MIN(IF(ISNUMBER(BW18:BW214),ROW(BW18:BW214),"")))</f>
        <v>2.6666666666666665</v>
      </c>
      <c r="BY18" s="13">
        <f>IF('Données projet'!$A$114&gt;35,BY17+BX18-CG17,IF(A18&lt;'Données projet'!$A$114,$BV$205^A18,IF(A18='Données projet'!$A$114,'Données projet'!$B$114,BY17+BX18-CG17)))</f>
        <v>40</v>
      </c>
      <c r="BZ18" s="14">
        <f>BY18*VLOOKUP('Données projet'!$B$12,Paramètres!$A$1:$I$89,3,0)*VLOOKUP('Données projet'!$B$12,Paramètres!$A$1:$I$89,5,0)</f>
        <v>31.200000000000003</v>
      </c>
      <c r="CA18" s="14">
        <f t="shared" si="39"/>
        <v>9.6335657126419925</v>
      </c>
      <c r="CB18" s="22">
        <f t="shared" si="10"/>
        <v>71.118460282851473</v>
      </c>
      <c r="CC18" s="62">
        <f t="shared" si="11"/>
        <v>346.11846028285146</v>
      </c>
      <c r="CD18" s="62">
        <f ca="1">AVERAGE(OFFSET($CC$3,0,0,'Données projet'!$E$12+1,1))-AVERAGE(OFFSET($H$3,0,0,'Données projet'!$E$12+1,1))</f>
        <v>249.25370091019835</v>
      </c>
      <c r="CE18" s="62">
        <f t="shared" si="40"/>
        <v>245.46410820099908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6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2">
        <f t="shared" si="32"/>
        <v>3.1282100045396777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9">
        <f t="shared" si="1"/>
        <v>277.33016575790663</v>
      </c>
      <c r="I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7.6</v>
      </c>
      <c r="N19" s="14">
        <f>IF('Données projet'!$A$36&gt;35,N18+M19-V18,IF(A19&lt;'Données projet'!$A$36,$K$205^A19,IF(A19='Données projet'!$A$36,'Données projet'!$B$36,N18+M19-V18)))</f>
        <v>83.59999999999998</v>
      </c>
      <c r="O19" s="14">
        <f>N19*VLOOKUP('Données projet'!$B$9,Paramètres!$A$1:$I$89,3,0)*VLOOKUP('Données projet'!$B$9,Paramètres!$A$1:$I$89,5,0)</f>
        <v>75.641279999999981</v>
      </c>
      <c r="P19" s="14">
        <f t="shared" si="33"/>
        <v>21.068004470152093</v>
      </c>
      <c r="Q19" s="22">
        <f t="shared" si="2"/>
        <v>168.43533711884817</v>
      </c>
      <c r="R19" s="62">
        <f t="shared" si="0"/>
        <v>444.6575593410704</v>
      </c>
      <c r="S19" s="62">
        <f ca="1">AVERAGE(OFFSET($R$3,0,0,'Données projet'!$E$9+1,1))-AVERAGE(OFFSET($H$3,0,0,'Données projet'!$E$9+1,1))</f>
        <v>216.22465631364315</v>
      </c>
      <c r="T19" s="62">
        <f t="shared" si="34"/>
        <v>304.27938609150095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2.1</v>
      </c>
      <c r="AI19" s="14">
        <f>IF('Données projet'!$A$62&gt;35,AI18+AH19-AQ18,IF(A19&lt;'Données projet'!$A$62,$AF$205^A19,IF(A19='Données projet'!$A$62,'Données projet'!$B$62,AI18+AH19-AQ18)))</f>
        <v>19.888381054913147</v>
      </c>
      <c r="AJ19" s="14">
        <f>AI19*VLOOKUP('Données projet'!$B$10,Paramètres!$A$1:$I$89,3,0)*VLOOKUP('Données projet'!$B$10,Paramètres!$A$1:$I$89,5,0)</f>
        <v>17.995007178485412</v>
      </c>
      <c r="AK19" s="14">
        <f t="shared" si="35"/>
        <v>5.9238546434872337</v>
      </c>
      <c r="AL19" s="22">
        <f t="shared" si="4"/>
        <v>41.658684339935689</v>
      </c>
      <c r="AM19" s="62">
        <f t="shared" si="5"/>
        <v>317.88090656215792</v>
      </c>
      <c r="AN19" s="62">
        <f ca="1">AVERAGE(OFFSET($AM$3,0,0,'Données projet'!$E$10+1,1))-AVERAGE(OFFSET($H$3,0,0,'Données projet'!$E$10+1,1))</f>
        <v>336.63786714776501</v>
      </c>
      <c r="AO19" s="62">
        <f t="shared" si="36"/>
        <v>208.9883766854885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2.1</v>
      </c>
      <c r="BD19" s="13">
        <f>IF('Données projet'!$A$88&gt;35,BD18+BC19-BL18,IF(A19&lt;'Données projet'!$A$88,$BA$205^A19,IF(A19='Données projet'!$A$88,'Données projet'!$B$88,BD18+BC19-BL18)))</f>
        <v>19.888381054913147</v>
      </c>
      <c r="BE19" s="14">
        <f>BD19*VLOOKUP('Données projet'!$B$11,Paramètres!$A$1:$I$89,3,0)*VLOOKUP('Données projet'!$B$11,Paramètres!$A$1:$I$89,5,0)</f>
        <v>19.236042156311996</v>
      </c>
      <c r="BF19" s="14">
        <f t="shared" si="37"/>
        <v>6.2834290449348904</v>
      </c>
      <c r="BG19" s="22">
        <f t="shared" si="7"/>
        <v>44.446412342171662</v>
      </c>
      <c r="BH19" s="62">
        <f t="shared" si="8"/>
        <v>320.66863456439387</v>
      </c>
      <c r="BI19" s="62">
        <f ca="1">AVERAGE(OFFSET($BH$3,0,0,'Données projet'!$E$11+1,1))-AVERAGE(OFFSET($H$3,0,0,'Données projet'!$E$11+1,1))</f>
        <v>363.29716504383265</v>
      </c>
      <c r="BJ19" s="62">
        <f t="shared" si="38"/>
        <v>223.12394672673923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9.6</v>
      </c>
      <c r="BY19" s="13">
        <f>IF('Données projet'!$A$114&gt;35,BY18+BX19-CG18,IF(A19&lt;'Données projet'!$A$114,$BV$205^A19,IF(A19='Données projet'!$A$114,'Données projet'!$B$114,BY18+BX19-CG18)))</f>
        <v>49.6</v>
      </c>
      <c r="BZ19" s="14">
        <f>BY19*VLOOKUP('Données projet'!$B$12,Paramètres!$A$1:$I$89,3,0)*VLOOKUP('Données projet'!$B$12,Paramètres!$A$1:$I$89,5,0)</f>
        <v>38.688000000000002</v>
      </c>
      <c r="CA19" s="14">
        <f t="shared" si="39"/>
        <v>11.650229083154354</v>
      </c>
      <c r="CB19" s="22">
        <f t="shared" si="10"/>
        <v>87.672415653160499</v>
      </c>
      <c r="CC19" s="62">
        <f t="shared" si="11"/>
        <v>363.89463787538273</v>
      </c>
      <c r="CD19" s="62">
        <f ca="1">AVERAGE(OFFSET($CC$3,0,0,'Données projet'!$E$12+1,1))-AVERAGE(OFFSET($H$3,0,0,'Données projet'!$E$12+1,1))</f>
        <v>249.25370091019835</v>
      </c>
      <c r="CE19" s="62">
        <f t="shared" si="40"/>
        <v>245.46410820099908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6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2">
        <f t="shared" si="32"/>
        <v>3.3003511545061563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9">
        <f t="shared" si="1"/>
        <v>278.58092826076489</v>
      </c>
      <c r="I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7.6</v>
      </c>
      <c r="N20" s="14">
        <f>IF('Données projet'!$A$36&gt;35,N19+M20-V19,IF(A20&lt;'Données projet'!$A$36,$K$205^A20,IF(A20='Données projet'!$A$36,'Données projet'!$B$36,N19+M20-V19)))</f>
        <v>91.199999999999974</v>
      </c>
      <c r="O20" s="14">
        <f>N20*VLOOKUP('Données projet'!$B$9,Paramètres!$A$1:$I$89,3,0)*VLOOKUP('Données projet'!$B$9,Paramètres!$A$1:$I$89,5,0)</f>
        <v>82.517759999999967</v>
      </c>
      <c r="P20" s="14">
        <f t="shared" si="33"/>
        <v>22.751674941896642</v>
      </c>
      <c r="Q20" s="22">
        <f t="shared" si="2"/>
        <v>183.34426585713655</v>
      </c>
      <c r="R20" s="62">
        <f t="shared" si="0"/>
        <v>460.78871030158098</v>
      </c>
      <c r="S20" s="62">
        <f ca="1">AVERAGE(OFFSET($R$3,0,0,'Données projet'!$E$9+1,1))-AVERAGE(OFFSET($H$3,0,0,'Données projet'!$E$9+1,1))</f>
        <v>216.22465631364315</v>
      </c>
      <c r="T20" s="62">
        <f t="shared" si="34"/>
        <v>304.27938609150095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2.1</v>
      </c>
      <c r="AI20" s="14">
        <f>IF('Données projet'!$A$62&gt;35,AI19+AH20-AQ19,IF(A20&lt;'Données projet'!$A$62,$AF$205^A20,IF(A20='Données projet'!$A$62,'Données projet'!$B$62,AI19+AH20-AQ19)))</f>
        <v>23.975181126327602</v>
      </c>
      <c r="AJ20" s="14">
        <f>AI20*VLOOKUP('Données projet'!$B$10,Paramètres!$A$1:$I$89,3,0)*VLOOKUP('Données projet'!$B$10,Paramètres!$A$1:$I$89,5,0)</f>
        <v>21.692743883101215</v>
      </c>
      <c r="AK20" s="14">
        <f t="shared" si="35"/>
        <v>6.98746341685115</v>
      </c>
      <c r="AL20" s="22">
        <f t="shared" si="4"/>
        <v>49.951361047417038</v>
      </c>
      <c r="AM20" s="62">
        <f t="shared" si="5"/>
        <v>327.39580549186149</v>
      </c>
      <c r="AN20" s="62">
        <f ca="1">AVERAGE(OFFSET($AM$3,0,0,'Données projet'!$E$10+1,1))-AVERAGE(OFFSET($H$3,0,0,'Données projet'!$E$10+1,1))</f>
        <v>336.63786714776501</v>
      </c>
      <c r="AO20" s="62">
        <f t="shared" si="36"/>
        <v>208.9883766854885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2.1</v>
      </c>
      <c r="BD20" s="13">
        <f>IF('Données projet'!$A$88&gt;35,BD19+BC20-BL19,IF(A20&lt;'Données projet'!$A$88,$BA$205^A20,IF(A20='Données projet'!$A$88,'Données projet'!$B$88,BD19+BC20-BL19)))</f>
        <v>23.975181126327602</v>
      </c>
      <c r="BE20" s="14">
        <f>BD20*VLOOKUP('Données projet'!$B$11,Paramètres!$A$1:$I$89,3,0)*VLOOKUP('Données projet'!$B$11,Paramètres!$A$1:$I$89,5,0)</f>
        <v>23.188795185384055</v>
      </c>
      <c r="BF20" s="14">
        <f t="shared" si="37"/>
        <v>7.4115982288884323</v>
      </c>
      <c r="BG20" s="22">
        <f t="shared" si="7"/>
        <v>53.29568519652458</v>
      </c>
      <c r="BH20" s="62">
        <f t="shared" si="8"/>
        <v>330.74012964096903</v>
      </c>
      <c r="BI20" s="62">
        <f ca="1">AVERAGE(OFFSET($BH$3,0,0,'Données projet'!$E$11+1,1))-AVERAGE(OFFSET($H$3,0,0,'Données projet'!$E$11+1,1))</f>
        <v>363.29716504383265</v>
      </c>
      <c r="BJ20" s="62">
        <f t="shared" si="38"/>
        <v>223.12394672673923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9.6</v>
      </c>
      <c r="BY20" s="13">
        <f>IF('Données projet'!$A$114&gt;35,BY19+BX20-CG19,IF(A20&lt;'Données projet'!$A$114,$BV$205^A20,IF(A20='Données projet'!$A$114,'Données projet'!$B$114,BY19+BX20-CG19)))</f>
        <v>59.2</v>
      </c>
      <c r="BZ20" s="14">
        <f>BY20*VLOOKUP('Données projet'!$B$12,Paramètres!$A$1:$I$89,3,0)*VLOOKUP('Données projet'!$B$12,Paramètres!$A$1:$I$89,5,0)</f>
        <v>46.176000000000002</v>
      </c>
      <c r="CA20" s="14">
        <f t="shared" si="39"/>
        <v>13.621668778540489</v>
      </c>
      <c r="CB20" s="22">
        <f t="shared" si="10"/>
        <v>104.14760645595801</v>
      </c>
      <c r="CC20" s="62">
        <f t="shared" si="11"/>
        <v>381.59205090040246</v>
      </c>
      <c r="CD20" s="62">
        <f ca="1">AVERAGE(OFFSET($CC$3,0,0,'Données projet'!$E$12+1,1))-AVERAGE(OFFSET($H$3,0,0,'Données projet'!$E$12+1,1))</f>
        <v>249.25370091019835</v>
      </c>
      <c r="CE20" s="62">
        <f t="shared" si="40"/>
        <v>245.46410820099908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6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2">
        <f t="shared" si="32"/>
        <v>3.4713169544550633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9">
        <f t="shared" si="1"/>
        <v>279.82964369567594</v>
      </c>
      <c r="I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7.6</v>
      </c>
      <c r="N21" s="14">
        <f>IF('Données projet'!$A$36&gt;35,N20+M21-V20,IF(A21&lt;'Données projet'!$A$36,$K$205^A21,IF(A21='Données projet'!$A$36,'Données projet'!$B$36,N20+M21-V20)))</f>
        <v>98.799999999999969</v>
      </c>
      <c r="O21" s="14">
        <f>N21*VLOOKUP('Données projet'!$B$9,Paramètres!$A$1:$I$89,3,0)*VLOOKUP('Données projet'!$B$9,Paramètres!$A$1:$I$89,5,0)</f>
        <v>89.394239999999968</v>
      </c>
      <c r="P21" s="14">
        <f t="shared" si="33"/>
        <v>24.419072895797868</v>
      </c>
      <c r="Q21" s="22">
        <f t="shared" si="2"/>
        <v>198.22485329351454</v>
      </c>
      <c r="R21" s="62">
        <f t="shared" si="0"/>
        <v>476.8915199601812</v>
      </c>
      <c r="S21" s="62">
        <f ca="1">AVERAGE(OFFSET($R$3,0,0,'Données projet'!$E$9+1,1))-AVERAGE(OFFSET($H$3,0,0,'Données projet'!$E$9+1,1))</f>
        <v>216.22465631364315</v>
      </c>
      <c r="T21" s="62">
        <f t="shared" si="34"/>
        <v>304.27938609150095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2.1</v>
      </c>
      <c r="AI21" s="14">
        <f>IF('Données projet'!$A$62&gt;35,AI20+AH21-AQ20,IF(A21&lt;'Données projet'!$A$62,$AF$205^A21,IF(A21='Données projet'!$A$62,'Données projet'!$B$62,AI20+AH21-AQ20)))</f>
        <v>28.901764726506816</v>
      </c>
      <c r="AJ21" s="14">
        <f>AI21*VLOOKUP('Données projet'!$B$10,Paramètres!$A$1:$I$89,3,0)*VLOOKUP('Données projet'!$B$10,Paramètres!$A$1:$I$89,5,0)</f>
        <v>26.150316724543362</v>
      </c>
      <c r="AK21" s="14">
        <f t="shared" si="35"/>
        <v>8.2420396752158016</v>
      </c>
      <c r="AL21" s="22">
        <f t="shared" si="4"/>
        <v>59.900020729580547</v>
      </c>
      <c r="AM21" s="62">
        <f t="shared" si="5"/>
        <v>338.56668739624723</v>
      </c>
      <c r="AN21" s="62">
        <f ca="1">AVERAGE(OFFSET($AM$3,0,0,'Données projet'!$E$10+1,1))-AVERAGE(OFFSET($H$3,0,0,'Données projet'!$E$10+1,1))</f>
        <v>336.63786714776501</v>
      </c>
      <c r="AO21" s="62">
        <f t="shared" si="36"/>
        <v>208.9883766854885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2.1</v>
      </c>
      <c r="BD21" s="13">
        <f>IF('Données projet'!$A$88&gt;35,BD20+BC21-BL20,IF(A21&lt;'Données projet'!$A$88,$BA$205^A21,IF(A21='Données projet'!$A$88,'Données projet'!$B$88,BD20+BC21-BL20)))</f>
        <v>28.901764726506816</v>
      </c>
      <c r="BE21" s="14">
        <f>BD21*VLOOKUP('Données projet'!$B$11,Paramètres!$A$1:$I$89,3,0)*VLOOKUP('Données projet'!$B$11,Paramètres!$A$1:$I$89,5,0)</f>
        <v>27.953786843477392</v>
      </c>
      <c r="BF21" s="14">
        <f t="shared" si="37"/>
        <v>8.7423265089215931</v>
      </c>
      <c r="BG21" s="22">
        <f t="shared" si="7"/>
        <v>63.912397422094891</v>
      </c>
      <c r="BH21" s="62">
        <f t="shared" si="8"/>
        <v>342.57906408876158</v>
      </c>
      <c r="BI21" s="62">
        <f ca="1">AVERAGE(OFFSET($BH$3,0,0,'Données projet'!$E$11+1,1))-AVERAGE(OFFSET($H$3,0,0,'Données projet'!$E$11+1,1))</f>
        <v>363.29716504383265</v>
      </c>
      <c r="BJ21" s="62">
        <f t="shared" si="38"/>
        <v>223.12394672673923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9.6</v>
      </c>
      <c r="BY21" s="13">
        <f>IF('Données projet'!$A$114&gt;35,BY20+BX21-CG20,IF(A21&lt;'Données projet'!$A$114,$BV$205^A21,IF(A21='Données projet'!$A$114,'Données projet'!$B$114,BY20+BX21-CG20)))</f>
        <v>68.8</v>
      </c>
      <c r="BZ21" s="14">
        <f>BY21*VLOOKUP('Données projet'!$B$12,Paramètres!$A$1:$I$89,3,0)*VLOOKUP('Données projet'!$B$12,Paramètres!$A$1:$I$89,5,0)</f>
        <v>53.664000000000001</v>
      </c>
      <c r="CA21" s="14">
        <f t="shared" si="39"/>
        <v>15.556073979202782</v>
      </c>
      <c r="CB21" s="22">
        <f t="shared" si="10"/>
        <v>120.55829551377816</v>
      </c>
      <c r="CC21" s="62">
        <f t="shared" si="11"/>
        <v>399.22496218044483</v>
      </c>
      <c r="CD21" s="62">
        <f ca="1">AVERAGE(OFFSET($CC$3,0,0,'Données projet'!$E$12+1,1))-AVERAGE(OFFSET($H$3,0,0,'Données projet'!$E$12+1,1))</f>
        <v>249.25370091019835</v>
      </c>
      <c r="CE21" s="62">
        <f t="shared" si="40"/>
        <v>245.46410820099908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6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2">
        <f t="shared" si="32"/>
        <v>3.6411801438697724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9">
        <f t="shared" si="1"/>
        <v>281.07643875057323</v>
      </c>
      <c r="I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7.6</v>
      </c>
      <c r="N22" s="14">
        <f>IF('Données projet'!$A$36&gt;35,N21+M22-V21,IF(A22&lt;'Données projet'!$A$36,$K$205^A22,IF(A22='Données projet'!$A$36,'Données projet'!$B$36,N21+M22-V21)))</f>
        <v>106.39999999999996</v>
      </c>
      <c r="O22" s="14">
        <f>N22*VLOOKUP('Données projet'!$B$9,Paramètres!$A$1:$I$89,3,0)*VLOOKUP('Données projet'!$B$9,Paramètres!$A$1:$I$89,5,0)</f>
        <v>96.270719999999969</v>
      </c>
      <c r="P22" s="14">
        <f t="shared" si="33"/>
        <v>26.071592384845928</v>
      </c>
      <c r="Q22" s="22">
        <f t="shared" si="2"/>
        <v>213.07952740360659</v>
      </c>
      <c r="R22" s="62">
        <f t="shared" si="0"/>
        <v>492.96841629249548</v>
      </c>
      <c r="S22" s="62">
        <f ca="1">AVERAGE(OFFSET($R$3,0,0,'Données projet'!$E$9+1,1))-AVERAGE(OFFSET($H$3,0,0,'Données projet'!$E$9+1,1))</f>
        <v>216.22465631364315</v>
      </c>
      <c r="T22" s="62">
        <f t="shared" si="34"/>
        <v>304.27938609150095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2.1</v>
      </c>
      <c r="AI22" s="14">
        <f>IF('Données projet'!$A$62&gt;35,AI21+AH22-AQ21,IF(A22&lt;'Données projet'!$A$62,$AF$205^A22,IF(A22='Données projet'!$A$62,'Données projet'!$B$62,AI21+AH22-AQ21)))</f>
        <v>34.840696297767764</v>
      </c>
      <c r="AJ22" s="14">
        <f>AI22*VLOOKUP('Données projet'!$B$10,Paramètres!$A$1:$I$89,3,0)*VLOOKUP('Données projet'!$B$10,Paramètres!$A$1:$I$89,5,0)</f>
        <v>31.52386201022027</v>
      </c>
      <c r="AK22" s="14">
        <f t="shared" si="35"/>
        <v>9.7218710074397983</v>
      </c>
      <c r="AL22" s="22">
        <f t="shared" si="4"/>
        <v>71.836318339091292</v>
      </c>
      <c r="AM22" s="62">
        <f t="shared" si="5"/>
        <v>351.72520722798015</v>
      </c>
      <c r="AN22" s="62">
        <f ca="1">AVERAGE(OFFSET($AM$3,0,0,'Données projet'!$E$10+1,1))-AVERAGE(OFFSET($H$3,0,0,'Données projet'!$E$10+1,1))</f>
        <v>336.63786714776501</v>
      </c>
      <c r="AO22" s="62">
        <f t="shared" si="36"/>
        <v>208.9883766854885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2.1</v>
      </c>
      <c r="BD22" s="13">
        <f>IF('Données projet'!$A$88&gt;35,BD21+BC22-BL21,IF(A22&lt;'Données projet'!$A$88,$BA$205^A22,IF(A22='Données projet'!$A$88,'Données projet'!$B$88,BD21+BC22-BL21)))</f>
        <v>34.840696297767764</v>
      </c>
      <c r="BE22" s="14">
        <f>BD22*VLOOKUP('Données projet'!$B$11,Paramètres!$A$1:$I$89,3,0)*VLOOKUP('Données projet'!$B$11,Paramètres!$A$1:$I$89,5,0)</f>
        <v>33.697921459200977</v>
      </c>
      <c r="BF22" s="14">
        <f t="shared" si="37"/>
        <v>10.31198270984201</v>
      </c>
      <c r="BG22" s="22">
        <f t="shared" si="7"/>
        <v>76.650583094416518</v>
      </c>
      <c r="BH22" s="62">
        <f t="shared" si="8"/>
        <v>356.53947198330536</v>
      </c>
      <c r="BI22" s="62">
        <f ca="1">AVERAGE(OFFSET($BH$3,0,0,'Données projet'!$E$11+1,1))-AVERAGE(OFFSET($H$3,0,0,'Données projet'!$E$11+1,1))</f>
        <v>363.29716504383265</v>
      </c>
      <c r="BJ22" s="62">
        <f t="shared" si="38"/>
        <v>223.12394672673923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9.6</v>
      </c>
      <c r="BY22" s="13">
        <f>IF('Données projet'!$A$114&gt;35,BY21+BX22-CG21,IF(A22&lt;'Données projet'!$A$114,$BV$205^A22,IF(A22='Données projet'!$A$114,'Données projet'!$B$114,BY21+BX22-CG21)))</f>
        <v>78.399999999999991</v>
      </c>
      <c r="BZ22" s="14">
        <f>BY22*VLOOKUP('Données projet'!$B$12,Paramètres!$A$1:$I$89,3,0)*VLOOKUP('Données projet'!$B$12,Paramètres!$A$1:$I$89,5,0)</f>
        <v>61.151999999999994</v>
      </c>
      <c r="CA22" s="14">
        <f t="shared" si="39"/>
        <v>17.459207591071255</v>
      </c>
      <c r="CB22" s="22">
        <f t="shared" si="10"/>
        <v>136.9145198877824</v>
      </c>
      <c r="CC22" s="62">
        <f t="shared" si="11"/>
        <v>416.80340877667129</v>
      </c>
      <c r="CD22" s="62">
        <f ca="1">AVERAGE(OFFSET($CC$3,0,0,'Données projet'!$E$12+1,1))-AVERAGE(OFFSET($H$3,0,0,'Données projet'!$E$12+1,1))</f>
        <v>249.25370091019835</v>
      </c>
      <c r="CE22" s="62">
        <f t="shared" si="40"/>
        <v>245.46410820099908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6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2">
        <f t="shared" si="32"/>
        <v>3.810005372992582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9">
        <f t="shared" si="1"/>
        <v>282.32142602462875</v>
      </c>
      <c r="I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114</v>
      </c>
      <c r="L23" s="13">
        <f>VLOOKUP(A23,'Données projet'!$A$35:$I$55,9,0)</f>
        <v>7.6</v>
      </c>
      <c r="M23" s="13">
        <f t="array" ref="M23">INDEX(L:L,MIN(IF(ISNUMBER(L23:L219),ROW(L23:L219),"")))</f>
        <v>7.6</v>
      </c>
      <c r="N23" s="14">
        <f>IF('Données projet'!$A$36&gt;35,N22+M23-V22,IF(A23&lt;'Données projet'!$A$36,$K$205^A23,IF(A23='Données projet'!$A$36,'Données projet'!$B$36,N22+M23-V22)))</f>
        <v>113.99999999999996</v>
      </c>
      <c r="O23" s="14">
        <f>N23*VLOOKUP('Données projet'!$B$9,Paramètres!$A$1:$I$89,3,0)*VLOOKUP('Données projet'!$B$9,Paramètres!$A$1:$I$89,5,0)</f>
        <v>103.14719999999997</v>
      </c>
      <c r="P23" s="14">
        <f t="shared" si="33"/>
        <v>27.710417026801451</v>
      </c>
      <c r="Q23" s="22">
        <f t="shared" si="2"/>
        <v>227.91034965501248</v>
      </c>
      <c r="R23" s="62">
        <f t="shared" si="0"/>
        <v>509.0214607661236</v>
      </c>
      <c r="S23" s="62">
        <f ca="1">AVERAGE(OFFSET($R$3,0,0,'Données projet'!$E$9+1,1))-AVERAGE(OFFSET($H$3,0,0,'Données projet'!$E$9+1,1))</f>
        <v>216.22465631364315</v>
      </c>
      <c r="T23" s="62">
        <f t="shared" si="34"/>
        <v>304.27938609150095</v>
      </c>
      <c r="U23" s="16">
        <f>IF(ISNA(VLOOKUP(A23,'Données projet'!$A$35:$I$55,3,0)),0,VLOOKUP(A23,'Données projet'!$A$35:$I$55,3,0))</f>
        <v>3</v>
      </c>
      <c r="V23" s="16">
        <f>IF(ISNA(VLOOKUP(A23,'Données projet'!$A$35:$I$55,4,0)),0,VLOOKUP(A23,'Données projet'!$A$35:$I$55,4,0))</f>
        <v>10</v>
      </c>
      <c r="W23" s="17">
        <f>IF(ISNA(VLOOKUP(A23,'Données projet'!$A$35:$I$55,5,0)),0%,VLOOKUP(A23,'Données projet'!$A$35:$I$55,5,0)*VLOOKUP('Données projet'!$B$9,Paramètres!$A$1:$I$89,7,0))</f>
        <v>0</v>
      </c>
      <c r="X23" s="77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42</v>
      </c>
      <c r="AG23" s="13">
        <f>VLOOKUP(A23,'Données projet'!$A$61:$I$81,9,0)</f>
        <v>2.1</v>
      </c>
      <c r="AH23" s="13">
        <f t="array" ref="AH23">INDEX(AG:AG,MIN(IF(ISNUMBER(AG23:AG219),ROW(AG23:AG219),"")))</f>
        <v>2.1</v>
      </c>
      <c r="AI23" s="14">
        <f>IF('Données projet'!$A$62&gt;35,AI22+AH23-AQ22,IF(A23&lt;'Données projet'!$A$62,$AF$205^A23,IF(A23='Données projet'!$A$62,'Données projet'!$B$62,AI22+AH23-AQ22)))</f>
        <v>42</v>
      </c>
      <c r="AJ23" s="14">
        <f>AI23*VLOOKUP('Données projet'!$B$10,Paramètres!$A$1:$I$89,3,0)*VLOOKUP('Données projet'!$B$10,Paramètres!$A$1:$I$89,5,0)</f>
        <v>38.001600000000003</v>
      </c>
      <c r="AK23" s="14">
        <f t="shared" si="35"/>
        <v>11.467401227090512</v>
      </c>
      <c r="AL23" s="22">
        <f t="shared" si="4"/>
        <v>86.158510470515978</v>
      </c>
      <c r="AM23" s="62">
        <f t="shared" si="5"/>
        <v>367.26962158162712</v>
      </c>
      <c r="AN23" s="62">
        <f ca="1">AVERAGE(OFFSET($AM$3,0,0,'Données projet'!$E$10+1,1))-AVERAGE(OFFSET($H$3,0,0,'Données projet'!$E$10+1,1))</f>
        <v>336.63786714776501</v>
      </c>
      <c r="AO23" s="62">
        <f t="shared" si="36"/>
        <v>208.9883766854885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42</v>
      </c>
      <c r="BB23" s="13">
        <f>VLOOKUP(A23,'Données projet'!$A$87:$I$107,9,0)</f>
        <v>2.1</v>
      </c>
      <c r="BC23" s="13">
        <f t="array" ref="BC23">INDEX(BB:BB,MIN(IF(ISNUMBER(BB23:BB219),ROW(BB23:BB219),"")))</f>
        <v>2.1</v>
      </c>
      <c r="BD23" s="13">
        <f>IF('Données projet'!$A$88&gt;35,BD22+BC23-BL22,IF(A23&lt;'Données projet'!$A$88,$BA$205^A23,IF(A23='Données projet'!$A$88,'Données projet'!$B$88,BD22+BC23-BL22)))</f>
        <v>42</v>
      </c>
      <c r="BE23" s="14">
        <f>BD23*VLOOKUP('Données projet'!$B$11,Paramètres!$A$1:$I$89,3,0)*VLOOKUP('Données projet'!$B$11,Paramètres!$A$1:$I$89,5,0)</f>
        <v>40.622399999999999</v>
      </c>
      <c r="BF23" s="14">
        <f t="shared" si="37"/>
        <v>12.163465560290264</v>
      </c>
      <c r="BG23" s="22">
        <f t="shared" si="7"/>
        <v>91.935382517505545</v>
      </c>
      <c r="BH23" s="62">
        <f t="shared" si="8"/>
        <v>373.0464936286167</v>
      </c>
      <c r="BI23" s="62">
        <f ca="1">AVERAGE(OFFSET($BH$3,0,0,'Données projet'!$E$11+1,1))-AVERAGE(OFFSET($H$3,0,0,'Données projet'!$E$11+1,1))</f>
        <v>363.29716504383265</v>
      </c>
      <c r="BJ23" s="62">
        <f t="shared" si="38"/>
        <v>223.12394672673923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88</v>
      </c>
      <c r="BW23" s="13">
        <f>VLOOKUP(A23,'Données projet'!$A$113:$I$133,9,0)</f>
        <v>9.6</v>
      </c>
      <c r="BX23" s="13">
        <f t="array" ref="BX23">INDEX(BW:BW,MIN(IF(ISNUMBER(BW23:BW219),ROW(BW23:BW219),"")))</f>
        <v>9.6</v>
      </c>
      <c r="BY23" s="13">
        <f>IF('Données projet'!$A$114&gt;35,BY22+BX23-CG22,IF(A23&lt;'Données projet'!$A$114,$BV$205^A23,IF(A23='Données projet'!$A$114,'Données projet'!$B$114,BY22+BX23-CG22)))</f>
        <v>87.999999999999986</v>
      </c>
      <c r="BZ23" s="14">
        <f>BY23*VLOOKUP('Données projet'!$B$12,Paramètres!$A$1:$I$89,3,0)*VLOOKUP('Données projet'!$B$12,Paramètres!$A$1:$I$89,5,0)</f>
        <v>68.639999999999986</v>
      </c>
      <c r="CA23" s="14">
        <f t="shared" si="39"/>
        <v>19.335336956640202</v>
      </c>
      <c r="CB23" s="22">
        <f t="shared" si="10"/>
        <v>153.22371186614834</v>
      </c>
      <c r="CC23" s="62">
        <f t="shared" si="11"/>
        <v>434.33482297725948</v>
      </c>
      <c r="CD23" s="62">
        <f ca="1">AVERAGE(OFFSET($CC$3,0,0,'Données projet'!$E$12+1,1))-AVERAGE(OFFSET($H$3,0,0,'Données projet'!$E$12+1,1))</f>
        <v>249.25370091019835</v>
      </c>
      <c r="CE23" s="62">
        <f t="shared" si="40"/>
        <v>245.46410820099908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6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2">
        <f t="shared" si="32"/>
        <v>3.9778504618356041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9">
        <f t="shared" si="1"/>
        <v>283.56470622103035</v>
      </c>
      <c r="I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6.4</v>
      </c>
      <c r="N24" s="14">
        <f>IF('Données projet'!$A$36&gt;35,N23+M24-V23,IF(A24&lt;'Données projet'!$A$36,$K$205^A24,IF(A24='Données projet'!$A$36,'Données projet'!$B$36,N23+M24-V23)))</f>
        <v>110.39999999999996</v>
      </c>
      <c r="O24" s="14">
        <f>N24*VLOOKUP('Données projet'!$B$9,Paramètres!$A$1:$I$89,3,0)*VLOOKUP('Données projet'!$B$9,Paramètres!$A$1:$I$89,5,0)</f>
        <v>99.889919999999947</v>
      </c>
      <c r="P24" s="14">
        <f t="shared" si="33"/>
        <v>26.935770825480166</v>
      </c>
      <c r="Q24" s="22">
        <f t="shared" si="2"/>
        <v>220.88807818771116</v>
      </c>
      <c r="R24" s="62">
        <f t="shared" si="0"/>
        <v>503.2214115210445</v>
      </c>
      <c r="S24" s="62">
        <f ca="1">AVERAGE(OFFSET($R$3,0,0,'Données projet'!$E$9+1,1))-AVERAGE(OFFSET($H$3,0,0,'Données projet'!$E$9+1,1))</f>
        <v>216.22465631364315</v>
      </c>
      <c r="T24" s="62">
        <f t="shared" si="34"/>
        <v>304.27938609150095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5.6</v>
      </c>
      <c r="AI24" s="14">
        <f>IF('Données projet'!$A$62&gt;35,AI23+AH24-AQ23,IF(A24&lt;'Données projet'!$A$62,$AF$205^A24,IF(A24='Données projet'!$A$62,'Données projet'!$B$62,AI23+AH24-AQ23)))</f>
        <v>47.6</v>
      </c>
      <c r="AJ24" s="14">
        <f>AI24*VLOOKUP('Données projet'!$B$10,Paramètres!$A$1:$I$89,3,0)*VLOOKUP('Données projet'!$B$10,Paramètres!$A$1:$I$89,5,0)</f>
        <v>43.068480000000001</v>
      </c>
      <c r="AK24" s="14">
        <f t="shared" si="35"/>
        <v>12.808416415102187</v>
      </c>
      <c r="AL24" s="22">
        <f t="shared" si="4"/>
        <v>97.318927922969635</v>
      </c>
      <c r="AM24" s="62">
        <f t="shared" si="5"/>
        <v>379.65226125630295</v>
      </c>
      <c r="AN24" s="62">
        <f ca="1">AVERAGE(OFFSET($AM$3,0,0,'Données projet'!$E$10+1,1))-AVERAGE(OFFSET($H$3,0,0,'Données projet'!$E$10+1,1))</f>
        <v>336.63786714776501</v>
      </c>
      <c r="AO24" s="62">
        <f t="shared" si="36"/>
        <v>208.9883766854885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5.6</v>
      </c>
      <c r="BD24" s="13">
        <f>IF('Données projet'!$A$88&gt;35,BD23+BC24-BL23,IF(A24&lt;'Données projet'!$A$88,$BA$205^A24,IF(A24='Données projet'!$A$88,'Données projet'!$B$88,BD23+BC24-BL23)))</f>
        <v>47.6</v>
      </c>
      <c r="BE24" s="14">
        <f>BD24*VLOOKUP('Données projet'!$B$11,Paramètres!$A$1:$I$89,3,0)*VLOOKUP('Données projet'!$B$11,Paramètres!$A$1:$I$89,5,0)</f>
        <v>46.038720000000005</v>
      </c>
      <c r="BF24" s="14">
        <f t="shared" si="37"/>
        <v>13.585879560828786</v>
      </c>
      <c r="BG24" s="22">
        <f t="shared" si="7"/>
        <v>103.84617756844348</v>
      </c>
      <c r="BH24" s="62">
        <f t="shared" si="8"/>
        <v>386.17951090177678</v>
      </c>
      <c r="BI24" s="62">
        <f ca="1">AVERAGE(OFFSET($BH$3,0,0,'Données projet'!$E$11+1,1))-AVERAGE(OFFSET($H$3,0,0,'Données projet'!$E$11+1,1))</f>
        <v>363.29716504383265</v>
      </c>
      <c r="BJ24" s="62">
        <f t="shared" si="38"/>
        <v>223.12394672673923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10.6</v>
      </c>
      <c r="BY24" s="13">
        <f>IF('Données projet'!$A$114&gt;35,BY23+BX24-CG23,IF(A24&lt;'Données projet'!$A$114,$BV$205^A24,IF(A24='Données projet'!$A$114,'Données projet'!$B$114,BY23+BX24-CG23)))</f>
        <v>98.59999999999998</v>
      </c>
      <c r="BZ24" s="14">
        <f>BY24*VLOOKUP('Données projet'!$B$12,Paramètres!$A$1:$I$89,3,0)*VLOOKUP('Données projet'!$B$12,Paramètres!$A$1:$I$89,5,0)</f>
        <v>76.907999999999987</v>
      </c>
      <c r="CA24" s="14">
        <f t="shared" si="39"/>
        <v>21.379448490435635</v>
      </c>
      <c r="CB24" s="22">
        <f t="shared" si="10"/>
        <v>171.18397278750868</v>
      </c>
      <c r="CC24" s="62">
        <f t="shared" si="11"/>
        <v>453.51730612084202</v>
      </c>
      <c r="CD24" s="62">
        <f ca="1">AVERAGE(OFFSET($CC$3,0,0,'Données projet'!$E$12+1,1))-AVERAGE(OFFSET($H$3,0,0,'Données projet'!$E$12+1,1))</f>
        <v>249.25370091019835</v>
      </c>
      <c r="CE24" s="62">
        <f t="shared" si="40"/>
        <v>245.46410820099908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6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2">
        <f t="shared" si="32"/>
        <v>4.1447674125853915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9">
        <f t="shared" si="1"/>
        <v>284.8063699102529</v>
      </c>
      <c r="I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6.4</v>
      </c>
      <c r="N25" s="14">
        <f>IF('Données projet'!$A$36&gt;35,N24+M25-V24,IF(A25&lt;'Données projet'!$A$36,$K$205^A25,IF(A25='Données projet'!$A$36,'Données projet'!$B$36,N24+M25-V24)))</f>
        <v>116.79999999999997</v>
      </c>
      <c r="O25" s="14">
        <f>N25*VLOOKUP('Données projet'!$B$9,Paramètres!$A$1:$I$89,3,0)*VLOOKUP('Données projet'!$B$9,Paramètres!$A$1:$I$89,5,0)</f>
        <v>105.68063999999995</v>
      </c>
      <c r="P25" s="14">
        <f t="shared" si="33"/>
        <v>28.31094923104175</v>
      </c>
      <c r="Q25" s="22">
        <f t="shared" si="2"/>
        <v>233.36868457739763</v>
      </c>
      <c r="R25" s="62">
        <f t="shared" si="0"/>
        <v>516.92424013295317</v>
      </c>
      <c r="S25" s="62">
        <f ca="1">AVERAGE(OFFSET($R$3,0,0,'Données projet'!$E$9+1,1))-AVERAGE(OFFSET($H$3,0,0,'Données projet'!$E$9+1,1))</f>
        <v>216.22465631364315</v>
      </c>
      <c r="T25" s="62">
        <f t="shared" si="34"/>
        <v>304.27938609150095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5.6</v>
      </c>
      <c r="AI25" s="14">
        <f>IF('Données projet'!$A$62&gt;35,AI24+AH25-AQ24,IF(A25&lt;'Données projet'!$A$62,$AF$205^A25,IF(A25='Données projet'!$A$62,'Données projet'!$B$62,AI24+AH25-AQ24)))</f>
        <v>53.2</v>
      </c>
      <c r="AJ25" s="14">
        <f>AI25*VLOOKUP('Données projet'!$B$10,Paramètres!$A$1:$I$89,3,0)*VLOOKUP('Données projet'!$B$10,Paramètres!$A$1:$I$89,5,0)</f>
        <v>48.135359999999999</v>
      </c>
      <c r="AK25" s="14">
        <f t="shared" si="35"/>
        <v>14.131148275361113</v>
      </c>
      <c r="AL25" s="22">
        <f t="shared" si="4"/>
        <v>108.4475019129206</v>
      </c>
      <c r="AM25" s="62">
        <f t="shared" si="5"/>
        <v>392.00305746847613</v>
      </c>
      <c r="AN25" s="62">
        <f ca="1">AVERAGE(OFFSET($AM$3,0,0,'Données projet'!$E$10+1,1))-AVERAGE(OFFSET($H$3,0,0,'Données projet'!$E$10+1,1))</f>
        <v>336.63786714776501</v>
      </c>
      <c r="AO25" s="62">
        <f t="shared" si="36"/>
        <v>208.9883766854885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5.6</v>
      </c>
      <c r="BD25" s="13">
        <f>IF('Données projet'!$A$88&gt;35,BD24+BC25-BL24,IF(A25&lt;'Données projet'!$A$88,$BA$205^A25,IF(A25='Données projet'!$A$88,'Données projet'!$B$88,BD24+BC25-BL24)))</f>
        <v>53.2</v>
      </c>
      <c r="BE25" s="14">
        <f>BD25*VLOOKUP('Données projet'!$B$11,Paramètres!$A$1:$I$89,3,0)*VLOOKUP('Données projet'!$B$11,Paramètres!$A$1:$I$89,5,0)</f>
        <v>51.455040000000004</v>
      </c>
      <c r="BF25" s="14">
        <f t="shared" si="37"/>
        <v>14.988900446655085</v>
      </c>
      <c r="BG25" s="22">
        <f t="shared" si="7"/>
        <v>115.72319627792427</v>
      </c>
      <c r="BH25" s="62">
        <f t="shared" si="8"/>
        <v>399.27875183347982</v>
      </c>
      <c r="BI25" s="62">
        <f ca="1">AVERAGE(OFFSET($BH$3,0,0,'Données projet'!$E$11+1,1))-AVERAGE(OFFSET($H$3,0,0,'Données projet'!$E$11+1,1))</f>
        <v>363.29716504383265</v>
      </c>
      <c r="BJ25" s="62">
        <f t="shared" si="38"/>
        <v>223.12394672673923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10.6</v>
      </c>
      <c r="BY25" s="13">
        <f>IF('Données projet'!$A$114&gt;35,BY24+BX25-CG24,IF(A25&lt;'Données projet'!$A$114,$BV$205^A25,IF(A25='Données projet'!$A$114,'Données projet'!$B$114,BY24+BX25-CG24)))</f>
        <v>109.19999999999997</v>
      </c>
      <c r="BZ25" s="14">
        <f>BY25*VLOOKUP('Données projet'!$B$12,Paramètres!$A$1:$I$89,3,0)*VLOOKUP('Données projet'!$B$12,Paramètres!$A$1:$I$89,5,0)</f>
        <v>85.175999999999988</v>
      </c>
      <c r="CA25" s="14">
        <f t="shared" si="39"/>
        <v>23.398088487656434</v>
      </c>
      <c r="CB25" s="22">
        <f t="shared" si="10"/>
        <v>189.09987078266826</v>
      </c>
      <c r="CC25" s="62">
        <f t="shared" si="11"/>
        <v>472.65542633822383</v>
      </c>
      <c r="CD25" s="62">
        <f ca="1">AVERAGE(OFFSET($CC$3,0,0,'Données projet'!$E$12+1,1))-AVERAGE(OFFSET($H$3,0,0,'Données projet'!$E$12+1,1))</f>
        <v>249.25370091019835</v>
      </c>
      <c r="CE25" s="62">
        <f t="shared" si="40"/>
        <v>245.46410820099908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6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2">
        <f t="shared" si="32"/>
        <v>4.3108032327306516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9">
        <f t="shared" si="1"/>
        <v>286.04649896367255</v>
      </c>
      <c r="I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6.4</v>
      </c>
      <c r="N26" s="14">
        <f>IF('Données projet'!$A$36&gt;35,N25+M26-V25,IF(A26&lt;'Données projet'!$A$36,$K$205^A26,IF(A26='Données projet'!$A$36,'Données projet'!$B$36,N25+M26-V25)))</f>
        <v>123.19999999999997</v>
      </c>
      <c r="O26" s="14">
        <f>N26*VLOOKUP('Données projet'!$B$9,Paramètres!$A$1:$I$89,3,0)*VLOOKUP('Données projet'!$B$9,Paramètres!$A$1:$I$89,5,0)</f>
        <v>111.47135999999996</v>
      </c>
      <c r="P26" s="14">
        <f t="shared" si="33"/>
        <v>29.677379926628443</v>
      </c>
      <c r="Q26" s="22">
        <f t="shared" si="2"/>
        <v>245.83405537221108</v>
      </c>
      <c r="R26" s="62">
        <f t="shared" si="0"/>
        <v>530.6118331499888</v>
      </c>
      <c r="S26" s="62">
        <f ca="1">AVERAGE(OFFSET($R$3,0,0,'Données projet'!$E$9+1,1))-AVERAGE(OFFSET($H$3,0,0,'Données projet'!$E$9+1,1))</f>
        <v>216.22465631364315</v>
      </c>
      <c r="T26" s="62">
        <f t="shared" si="34"/>
        <v>304.27938609150095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5.6</v>
      </c>
      <c r="AI26" s="14">
        <f>IF('Données projet'!$A$62&gt;35,AI25+AH26-AQ25,IF(A26&lt;'Données projet'!$A$62,$AF$205^A26,IF(A26='Données projet'!$A$62,'Données projet'!$B$62,AI25+AH26-AQ25)))</f>
        <v>58.800000000000004</v>
      </c>
      <c r="AJ26" s="14">
        <f>AI26*VLOOKUP('Données projet'!$B$10,Paramètres!$A$1:$I$89,3,0)*VLOOKUP('Données projet'!$B$10,Paramètres!$A$1:$I$89,5,0)</f>
        <v>53.202240000000003</v>
      </c>
      <c r="AK26" s="14">
        <f t="shared" si="35"/>
        <v>15.437740642425908</v>
      </c>
      <c r="AL26" s="22">
        <f t="shared" si="4"/>
        <v>119.54796628555846</v>
      </c>
      <c r="AM26" s="62">
        <f t="shared" si="5"/>
        <v>404.32574406333623</v>
      </c>
      <c r="AN26" s="62">
        <f ca="1">AVERAGE(OFFSET($AM$3,0,0,'Données projet'!$E$10+1,1))-AVERAGE(OFFSET($H$3,0,0,'Données projet'!$E$10+1,1))</f>
        <v>336.63786714776501</v>
      </c>
      <c r="AO26" s="62">
        <f t="shared" si="36"/>
        <v>208.9883766854885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5.6</v>
      </c>
      <c r="BD26" s="13">
        <f>IF('Données projet'!$A$88&gt;35,BD25+BC26-BL25,IF(A26&lt;'Données projet'!$A$88,$BA$205^A26,IF(A26='Données projet'!$A$88,'Données projet'!$B$88,BD25+BC26-BL25)))</f>
        <v>58.800000000000004</v>
      </c>
      <c r="BE26" s="14">
        <f>BD26*VLOOKUP('Données projet'!$B$11,Paramètres!$A$1:$I$89,3,0)*VLOOKUP('Données projet'!$B$11,Paramètres!$A$1:$I$89,5,0)</f>
        <v>56.87136000000001</v>
      </c>
      <c r="BF26" s="14">
        <f t="shared" si="37"/>
        <v>16.374802181791551</v>
      </c>
      <c r="BG26" s="22">
        <f t="shared" si="7"/>
        <v>127.57039913328697</v>
      </c>
      <c r="BH26" s="62">
        <f t="shared" si="8"/>
        <v>412.34817691106474</v>
      </c>
      <c r="BI26" s="62">
        <f ca="1">AVERAGE(OFFSET($BH$3,0,0,'Données projet'!$E$11+1,1))-AVERAGE(OFFSET($H$3,0,0,'Données projet'!$E$11+1,1))</f>
        <v>363.29716504383265</v>
      </c>
      <c r="BJ26" s="62">
        <f t="shared" si="38"/>
        <v>223.12394672673923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10.6</v>
      </c>
      <c r="BY26" s="13">
        <f>IF('Données projet'!$A$114&gt;35,BY25+BX26-CG25,IF(A26&lt;'Données projet'!$A$114,$BV$205^A26,IF(A26='Données projet'!$A$114,'Données projet'!$B$114,BY25+BX26-CG25)))</f>
        <v>119.79999999999997</v>
      </c>
      <c r="BZ26" s="14">
        <f>BY26*VLOOKUP('Données projet'!$B$12,Paramètres!$A$1:$I$89,3,0)*VLOOKUP('Données projet'!$B$12,Paramètres!$A$1:$I$89,5,0)</f>
        <v>93.443999999999974</v>
      </c>
      <c r="CA26" s="14">
        <f t="shared" si="39"/>
        <v>25.394010816431489</v>
      </c>
      <c r="CB26" s="22">
        <f t="shared" si="10"/>
        <v>206.97620217195148</v>
      </c>
      <c r="CC26" s="62">
        <f t="shared" si="11"/>
        <v>491.75397994972923</v>
      </c>
      <c r="CD26" s="62">
        <f ca="1">AVERAGE(OFFSET($CC$3,0,0,'Données projet'!$E$12+1,1))-AVERAGE(OFFSET($H$3,0,0,'Données projet'!$E$12+1,1))</f>
        <v>249.25370091019835</v>
      </c>
      <c r="CE26" s="62">
        <f t="shared" si="40"/>
        <v>245.46410820099908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6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2">
        <f t="shared" si="32"/>
        <v>4.4760006109979766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9">
        <f t="shared" si="1"/>
        <v>287.28516773082151</v>
      </c>
      <c r="I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6.4</v>
      </c>
      <c r="N27" s="14">
        <f>IF('Données projet'!$A$36&gt;35,N26+M27-V26,IF(A27&lt;'Données projet'!$A$36,$K$205^A27,IF(A27='Données projet'!$A$36,'Données projet'!$B$36,N26+M27-V26)))</f>
        <v>129.59999999999997</v>
      </c>
      <c r="O27" s="14">
        <f>N27*VLOOKUP('Données projet'!$B$9,Paramètres!$A$1:$I$89,3,0)*VLOOKUP('Données projet'!$B$9,Paramètres!$A$1:$I$89,5,0)</f>
        <v>117.26207999999997</v>
      </c>
      <c r="P27" s="14">
        <f t="shared" si="33"/>
        <v>31.035569170075775</v>
      </c>
      <c r="Q27" s="22">
        <f t="shared" si="2"/>
        <v>258.28507230454858</v>
      </c>
      <c r="R27" s="62">
        <f t="shared" si="0"/>
        <v>544.28507230454852</v>
      </c>
      <c r="S27" s="62">
        <f ca="1">AVERAGE(OFFSET($R$3,0,0,'Données projet'!$E$9+1,1))-AVERAGE(OFFSET($H$3,0,0,'Données projet'!$E$9+1,1))</f>
        <v>216.22465631364315</v>
      </c>
      <c r="T27" s="62">
        <f t="shared" si="34"/>
        <v>304.27938609150095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5.6</v>
      </c>
      <c r="AI27" s="14">
        <f>IF('Données projet'!$A$62&gt;35,AI26+AH27-AQ26,IF(A27&lt;'Données projet'!$A$62,$AF$205^A27,IF(A27='Données projet'!$A$62,'Données projet'!$B$62,AI26+AH27-AQ26)))</f>
        <v>64.400000000000006</v>
      </c>
      <c r="AJ27" s="14">
        <f>AI27*VLOOKUP('Données projet'!$B$10,Paramètres!$A$1:$I$89,3,0)*VLOOKUP('Données projet'!$B$10,Paramètres!$A$1:$I$89,5,0)</f>
        <v>58.269120000000008</v>
      </c>
      <c r="AK27" s="14">
        <f t="shared" si="35"/>
        <v>16.729905486873804</v>
      </c>
      <c r="AL27" s="22">
        <f t="shared" si="4"/>
        <v>130.62330272297189</v>
      </c>
      <c r="AM27" s="62">
        <f t="shared" si="5"/>
        <v>416.62330272297186</v>
      </c>
      <c r="AN27" s="62">
        <f ca="1">AVERAGE(OFFSET($AM$3,0,0,'Données projet'!$E$10+1,1))-AVERAGE(OFFSET($H$3,0,0,'Données projet'!$E$10+1,1))</f>
        <v>336.63786714776501</v>
      </c>
      <c r="AO27" s="62">
        <f t="shared" si="36"/>
        <v>208.9883766854885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5.6</v>
      </c>
      <c r="BD27" s="13">
        <f>IF('Données projet'!$A$88&gt;35,BD26+BC27-BL26,IF(A27&lt;'Données projet'!$A$88,$BA$205^A27,IF(A27='Données projet'!$A$88,'Données projet'!$B$88,BD26+BC27-BL26)))</f>
        <v>64.400000000000006</v>
      </c>
      <c r="BE27" s="14">
        <f>BD27*VLOOKUP('Données projet'!$B$11,Paramètres!$A$1:$I$89,3,0)*VLOOKUP('Données projet'!$B$11,Paramètres!$A$1:$I$89,5,0)</f>
        <v>62.287680000000009</v>
      </c>
      <c r="BF27" s="14">
        <f t="shared" si="37"/>
        <v>17.745400652396182</v>
      </c>
      <c r="BG27" s="22">
        <f t="shared" si="7"/>
        <v>139.39094880292336</v>
      </c>
      <c r="BH27" s="62">
        <f t="shared" si="8"/>
        <v>425.39094880292339</v>
      </c>
      <c r="BI27" s="62">
        <f ca="1">AVERAGE(OFFSET($BH$3,0,0,'Données projet'!$E$11+1,1))-AVERAGE(OFFSET($H$3,0,0,'Données projet'!$E$11+1,1))</f>
        <v>363.29716504383265</v>
      </c>
      <c r="BJ27" s="62">
        <f t="shared" si="38"/>
        <v>223.12394672673923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10.6</v>
      </c>
      <c r="BY27" s="13">
        <f>IF('Données projet'!$A$114&gt;35,BY26+BX27-CG26,IF(A27&lt;'Données projet'!$A$114,$BV$205^A27,IF(A27='Données projet'!$A$114,'Données projet'!$B$114,BY26+BX27-CG26)))</f>
        <v>130.39999999999998</v>
      </c>
      <c r="BZ27" s="14">
        <f>BY27*VLOOKUP('Données projet'!$B$12,Paramètres!$A$1:$I$89,3,0)*VLOOKUP('Données projet'!$B$12,Paramètres!$A$1:$I$89,5,0)</f>
        <v>101.71199999999999</v>
      </c>
      <c r="CA27" s="14">
        <f t="shared" si="39"/>
        <v>27.369454120725656</v>
      </c>
      <c r="CB27" s="22">
        <f t="shared" si="10"/>
        <v>224.81686592693052</v>
      </c>
      <c r="CC27" s="62">
        <f t="shared" si="11"/>
        <v>510.81686592693052</v>
      </c>
      <c r="CD27" s="62">
        <f ca="1">AVERAGE(OFFSET($CC$3,0,0,'Données projet'!$E$12+1,1))-AVERAGE(OFFSET($H$3,0,0,'Données projet'!$E$12+1,1))</f>
        <v>249.25370091019835</v>
      </c>
      <c r="CE27" s="62">
        <f t="shared" si="40"/>
        <v>245.46410820099908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6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2">
        <f t="shared" si="32"/>
        <v>4.6403984774572109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9">
        <f t="shared" si="1"/>
        <v>288.52244401490464</v>
      </c>
      <c r="I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136</v>
      </c>
      <c r="L28" s="13">
        <f>VLOOKUP(A28,'Données projet'!$A$35:$I$55,9,0)</f>
        <v>6.4</v>
      </c>
      <c r="M28" s="13">
        <f t="array" ref="M28">INDEX(L:L,MIN(IF(ISNUMBER(L28:L224),ROW(L28:L224),"")))</f>
        <v>6.4</v>
      </c>
      <c r="N28" s="14">
        <f>IF('Données projet'!$A$36&gt;35,N27+M28-V27,IF(A28&lt;'Données projet'!$A$36,$K$205^A28,IF(A28='Données projet'!$A$36,'Données projet'!$B$36,N27+M28-V27)))</f>
        <v>135.99999999999997</v>
      </c>
      <c r="O28" s="14">
        <f>N28*VLOOKUP('Données projet'!$B$9,Paramètres!$A$1:$I$89,3,0)*VLOOKUP('Données projet'!$B$9,Paramètres!$A$1:$I$89,5,0)</f>
        <v>123.05279999999998</v>
      </c>
      <c r="P28" s="14">
        <f t="shared" si="33"/>
        <v>32.385970393750824</v>
      </c>
      <c r="Q28" s="22">
        <f t="shared" si="2"/>
        <v>270.72252510244931</v>
      </c>
      <c r="R28" s="62">
        <f t="shared" si="0"/>
        <v>557.94474732467154</v>
      </c>
      <c r="S28" s="62">
        <f ca="1">AVERAGE(OFFSET($R$3,0,0,'Données projet'!$E$9+1,1))-AVERAGE(OFFSET($H$3,0,0,'Données projet'!$E$9+1,1))</f>
        <v>216.22465631364315</v>
      </c>
      <c r="T28" s="62">
        <f t="shared" si="34"/>
        <v>304.27938609150095</v>
      </c>
      <c r="U28" s="16">
        <f>IF(ISNA(VLOOKUP(A28,'Données projet'!$A$35:$I$55,3,0)),0,VLOOKUP(A28,'Données projet'!$A$35:$I$55,3,0))</f>
        <v>4</v>
      </c>
      <c r="V28" s="16">
        <f>IF(ISNA(VLOOKUP(A28,'Données projet'!$A$35:$I$55,4,0)),0,VLOOKUP(A28,'Données projet'!$A$35:$I$55,4,0))</f>
        <v>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70</v>
      </c>
      <c r="AG28" s="13">
        <f>VLOOKUP(A28,'Données projet'!$A$61:$I$81,9,0)</f>
        <v>5.6</v>
      </c>
      <c r="AH28" s="13">
        <f t="array" ref="AH28">INDEX(AG:AG,MIN(IF(ISNUMBER(AG28:AG224),ROW(AG28:AG224),"")))</f>
        <v>5.6</v>
      </c>
      <c r="AI28" s="14">
        <f>IF('Données projet'!$A$62&gt;35,AI27+AH28-AQ27,IF(A28&lt;'Données projet'!$A$62,$AF$205^A28,IF(A28='Données projet'!$A$62,'Données projet'!$B$62,AI27+AH28-AQ27)))</f>
        <v>70</v>
      </c>
      <c r="AJ28" s="14">
        <f>AI28*VLOOKUP('Données projet'!$B$10,Paramètres!$A$1:$I$89,3,0)*VLOOKUP('Données projet'!$B$10,Paramètres!$A$1:$I$89,5,0)</f>
        <v>63.335999999999991</v>
      </c>
      <c r="AK28" s="14">
        <f t="shared" si="35"/>
        <v>18.009040022946227</v>
      </c>
      <c r="AL28" s="22">
        <f t="shared" si="4"/>
        <v>141.67594470663133</v>
      </c>
      <c r="AM28" s="62">
        <f t="shared" si="5"/>
        <v>428.89816692885358</v>
      </c>
      <c r="AN28" s="62">
        <f ca="1">AVERAGE(OFFSET($AM$3,0,0,'Données projet'!$E$10+1,1))-AVERAGE(OFFSET($H$3,0,0,'Données projet'!$E$10+1,1))</f>
        <v>336.63786714776501</v>
      </c>
      <c r="AO28" s="62">
        <f t="shared" si="36"/>
        <v>208.9883766854885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70</v>
      </c>
      <c r="BB28" s="13">
        <f>VLOOKUP(A28,'Données projet'!$A$87:$I$107,9,0)</f>
        <v>5.6</v>
      </c>
      <c r="BC28" s="13">
        <f t="array" ref="BC28">INDEX(BB:BB,MIN(IF(ISNUMBER(BB28:BB224),ROW(BB28:BB224),"")))</f>
        <v>5.6</v>
      </c>
      <c r="BD28" s="13">
        <f>IF('Données projet'!$A$88&gt;35,BD27+BC28-BL27,IF(A28&lt;'Données projet'!$A$88,$BA$205^A28,IF(A28='Données projet'!$A$88,'Données projet'!$B$88,BD27+BC28-BL27)))</f>
        <v>70</v>
      </c>
      <c r="BE28" s="14">
        <f>BD28*VLOOKUP('Données projet'!$B$11,Paramètres!$A$1:$I$89,3,0)*VLOOKUP('Données projet'!$B$11,Paramètres!$A$1:$I$89,5,0)</f>
        <v>67.703999999999994</v>
      </c>
      <c r="BF28" s="14">
        <f t="shared" si="37"/>
        <v>19.102177882771514</v>
      </c>
      <c r="BG28" s="22">
        <f t="shared" si="7"/>
        <v>151.18742647916039</v>
      </c>
      <c r="BH28" s="62">
        <f t="shared" si="8"/>
        <v>438.40964870138259</v>
      </c>
      <c r="BI28" s="62">
        <f ca="1">AVERAGE(OFFSET($BH$3,0,0,'Données projet'!$E$11+1,1))-AVERAGE(OFFSET($H$3,0,0,'Données projet'!$E$11+1,1))</f>
        <v>363.29716504383265</v>
      </c>
      <c r="BJ28" s="62">
        <f t="shared" si="38"/>
        <v>223.12394672673923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141</v>
      </c>
      <c r="BW28" s="13">
        <f>VLOOKUP(A28,'Données projet'!$A$113:$I$133,9,0)</f>
        <v>10.6</v>
      </c>
      <c r="BX28" s="13">
        <f t="array" ref="BX28">INDEX(BW:BW,MIN(IF(ISNUMBER(BW28:BW224),ROW(BW28:BW224),"")))</f>
        <v>10.6</v>
      </c>
      <c r="BY28" s="13">
        <f>IF('Données projet'!$A$114&gt;35,BY27+BX28-CG27,IF(A28&lt;'Données projet'!$A$114,$BV$205^A28,IF(A28='Données projet'!$A$114,'Données projet'!$B$114,BY27+BX28-CG27)))</f>
        <v>140.99999999999997</v>
      </c>
      <c r="BZ28" s="14">
        <f>BY28*VLOOKUP('Données projet'!$B$12,Paramètres!$A$1:$I$89,3,0)*VLOOKUP('Données projet'!$B$12,Paramètres!$A$1:$I$89,5,0)</f>
        <v>109.97999999999998</v>
      </c>
      <c r="CA28" s="14">
        <f t="shared" si="39"/>
        <v>29.326272366698234</v>
      </c>
      <c r="CB28" s="22">
        <f t="shared" si="10"/>
        <v>242.62509103866606</v>
      </c>
      <c r="CC28" s="62">
        <f t="shared" si="11"/>
        <v>529.84731326088831</v>
      </c>
      <c r="CD28" s="62">
        <f ca="1">AVERAGE(OFFSET($CC$3,0,0,'Données projet'!$E$12+1,1))-AVERAGE(OFFSET($H$3,0,0,'Données projet'!$E$12+1,1))</f>
        <v>249.25370091019835</v>
      </c>
      <c r="CE28" s="62">
        <f t="shared" si="40"/>
        <v>245.46410820099908</v>
      </c>
      <c r="CF28" s="16">
        <f>IF(ISNA(VLOOKUP(A28,'Données projet'!$A$113:$I$133,3,0)),0,VLOOKUP(A28,'Données projet'!$A$113:$I$133,3,0))</f>
        <v>1</v>
      </c>
      <c r="CG28" s="16">
        <f>IF(ISNA(VLOOKUP(A28,'Données projet'!$A$113:$I$133,4,0)),0,VLOOKUP(A28,'Données projet'!$A$113:$I$133,4,0))</f>
        <v>55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6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2">
        <f t="shared" si="32"/>
        <v>4.8040324714872957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9">
        <f t="shared" si="1"/>
        <v>289.75838988784039</v>
      </c>
      <c r="I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5.2</v>
      </c>
      <c r="N29" s="14">
        <f>IF('Données projet'!$A$36&gt;35,N28+M29-V28,IF(A29&lt;'Données projet'!$A$36,$K$205^A29,IF(A29='Données projet'!$A$36,'Données projet'!$B$36,N28+M29-V28)))</f>
        <v>133.19999999999996</v>
      </c>
      <c r="O29" s="14">
        <f>N29*VLOOKUP('Données projet'!$B$9,Paramètres!$A$1:$I$89,3,0)*VLOOKUP('Données projet'!$B$9,Paramètres!$A$1:$I$89,5,0)</f>
        <v>120.51935999999996</v>
      </c>
      <c r="P29" s="14">
        <f t="shared" si="33"/>
        <v>31.796101022354524</v>
      </c>
      <c r="Q29" s="22">
        <f t="shared" si="2"/>
        <v>265.28276128060071</v>
      </c>
      <c r="R29" s="62">
        <f t="shared" si="0"/>
        <v>553.72720572504522</v>
      </c>
      <c r="S29" s="62">
        <f ca="1">AVERAGE(OFFSET($R$3,0,0,'Données projet'!$E$9+1,1))-AVERAGE(OFFSET($H$3,0,0,'Données projet'!$E$9+1,1))</f>
        <v>216.22465631364315</v>
      </c>
      <c r="T29" s="62">
        <f t="shared" si="34"/>
        <v>304.27938609150095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77</v>
      </c>
      <c r="AJ29" s="14">
        <f>AI29*VLOOKUP('Données projet'!$B$10,Paramètres!$A$1:$I$89,3,0)*VLOOKUP('Données projet'!$B$10,Paramètres!$A$1:$I$89,5,0)</f>
        <v>69.669600000000003</v>
      </c>
      <c r="AK29" s="14">
        <f t="shared" si="35"/>
        <v>19.591385027476957</v>
      </c>
      <c r="AL29" s="22">
        <f t="shared" si="4"/>
        <v>155.46288225618903</v>
      </c>
      <c r="AM29" s="62">
        <f t="shared" si="5"/>
        <v>443.90732670063346</v>
      </c>
      <c r="AN29" s="62">
        <f ca="1">AVERAGE(OFFSET($AM$3,0,0,'Données projet'!$E$10+1,1))-AVERAGE(OFFSET($H$3,0,0,'Données projet'!$E$10+1,1))</f>
        <v>336.63786714776501</v>
      </c>
      <c r="AO29" s="62">
        <f t="shared" si="36"/>
        <v>208.9883766854885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7</v>
      </c>
      <c r="BD29" s="13">
        <f>IF('Données projet'!$A$88&gt;35,BD28+BC29-BL28,IF(A29&lt;'Données projet'!$A$88,$BA$205^A29,IF(A29='Données projet'!$A$88,'Données projet'!$B$88,BD28+BC29-BL28)))</f>
        <v>77</v>
      </c>
      <c r="BE29" s="14">
        <f>BD29*VLOOKUP('Données projet'!$B$11,Paramètres!$A$1:$I$89,3,0)*VLOOKUP('Données projet'!$B$11,Paramètres!$A$1:$I$89,5,0)</f>
        <v>74.474400000000003</v>
      </c>
      <c r="BF29" s="14">
        <f t="shared" si="37"/>
        <v>20.780570274034375</v>
      </c>
      <c r="BG29" s="22">
        <f t="shared" si="7"/>
        <v>165.90240656060988</v>
      </c>
      <c r="BH29" s="62">
        <f t="shared" si="8"/>
        <v>454.3468510050543</v>
      </c>
      <c r="BI29" s="62">
        <f ca="1">AVERAGE(OFFSET($BH$3,0,0,'Données projet'!$E$11+1,1))-AVERAGE(OFFSET($H$3,0,0,'Données projet'!$E$11+1,1))</f>
        <v>363.29716504383265</v>
      </c>
      <c r="BJ29" s="62">
        <f t="shared" si="38"/>
        <v>223.12394672673923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11.5</v>
      </c>
      <c r="BY29" s="13">
        <f>IF('Données projet'!$A$114&gt;35,BY28+BX29-CG28,IF(A29&lt;'Données projet'!$A$114,$BV$205^A29,IF(A29='Données projet'!$A$114,'Données projet'!$B$114,BY28+BX29-CG28)))</f>
        <v>97.499999999999972</v>
      </c>
      <c r="BZ29" s="14">
        <f>BY29*VLOOKUP('Données projet'!$B$12,Paramètres!$A$1:$I$89,3,0)*VLOOKUP('Données projet'!$B$12,Paramètres!$A$1:$I$89,5,0)</f>
        <v>76.049999999999983</v>
      </c>
      <c r="CA29" s="14">
        <f t="shared" si="39"/>
        <v>21.168560890749262</v>
      </c>
      <c r="CB29" s="22">
        <f t="shared" si="10"/>
        <v>169.32232688472158</v>
      </c>
      <c r="CC29" s="62">
        <f t="shared" si="11"/>
        <v>457.76677132916603</v>
      </c>
      <c r="CD29" s="62">
        <f ca="1">AVERAGE(OFFSET($CC$3,0,0,'Données projet'!$E$12+1,1))-AVERAGE(OFFSET($H$3,0,0,'Données projet'!$E$12+1,1))</f>
        <v>249.25370091019835</v>
      </c>
      <c r="CE29" s="62">
        <f t="shared" si="40"/>
        <v>245.46410820099908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6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2">
        <f t="shared" si="32"/>
        <v>4.9669353357224146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9">
        <f t="shared" si="1"/>
        <v>290.99306237638319</v>
      </c>
      <c r="I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5.2</v>
      </c>
      <c r="N30" s="14">
        <f>IF('Données projet'!$A$36&gt;35,N29+M30-V29,IF(A30&lt;'Données projet'!$A$36,$K$205^A30,IF(A30='Données projet'!$A$36,'Données projet'!$B$36,N29+M30-V29)))</f>
        <v>138.39999999999995</v>
      </c>
      <c r="O30" s="14">
        <f>N30*VLOOKUP('Données projet'!$B$9,Paramètres!$A$1:$I$89,3,0)*VLOOKUP('Données projet'!$B$9,Paramètres!$A$1:$I$89,5,0)</f>
        <v>125.22431999999995</v>
      </c>
      <c r="P30" s="14">
        <f t="shared" si="33"/>
        <v>32.890447642602773</v>
      </c>
      <c r="Q30" s="22">
        <f t="shared" si="2"/>
        <v>275.38322031086636</v>
      </c>
      <c r="R30" s="62">
        <f t="shared" si="0"/>
        <v>565.04988697753311</v>
      </c>
      <c r="S30" s="62">
        <f ca="1">AVERAGE(OFFSET($R$3,0,0,'Données projet'!$E$9+1,1))-AVERAGE(OFFSET($H$3,0,0,'Données projet'!$E$9+1,1))</f>
        <v>216.22465631364315</v>
      </c>
      <c r="T30" s="62">
        <f t="shared" si="34"/>
        <v>304.27938609150095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84</v>
      </c>
      <c r="AJ30" s="14">
        <f>AI30*VLOOKUP('Données projet'!$B$10,Paramètres!$A$1:$I$89,3,0)*VLOOKUP('Données projet'!$B$10,Paramètres!$A$1:$I$89,5,0)</f>
        <v>76.003200000000007</v>
      </c>
      <c r="AK30" s="14">
        <f t="shared" si="35"/>
        <v>21.157049992000456</v>
      </c>
      <c r="AL30" s="22">
        <f t="shared" si="4"/>
        <v>169.22076873606747</v>
      </c>
      <c r="AM30" s="62">
        <f t="shared" si="5"/>
        <v>458.88743540273413</v>
      </c>
      <c r="AN30" s="62">
        <f ca="1">AVERAGE(OFFSET($AM$3,0,0,'Données projet'!$E$10+1,1))-AVERAGE(OFFSET($H$3,0,0,'Données projet'!$E$10+1,1))</f>
        <v>336.63786714776501</v>
      </c>
      <c r="AO30" s="62">
        <f t="shared" si="36"/>
        <v>208.9883766854885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7</v>
      </c>
      <c r="BD30" s="13">
        <f>IF('Données projet'!$A$88&gt;35,BD29+BC30-BL29,IF(A30&lt;'Données projet'!$A$88,$BA$205^A30,IF(A30='Données projet'!$A$88,'Données projet'!$B$88,BD29+BC30-BL29)))</f>
        <v>84</v>
      </c>
      <c r="BE30" s="14">
        <f>BD30*VLOOKUP('Données projet'!$B$11,Paramètres!$A$1:$I$89,3,0)*VLOOKUP('Données projet'!$B$11,Paramètres!$A$1:$I$89,5,0)</f>
        <v>81.244799999999998</v>
      </c>
      <c r="BF30" s="14">
        <f t="shared" si="37"/>
        <v>22.441270156928962</v>
      </c>
      <c r="BG30" s="22">
        <f t="shared" si="7"/>
        <v>180.58657218998462</v>
      </c>
      <c r="BH30" s="62">
        <f t="shared" si="8"/>
        <v>470.25323885665131</v>
      </c>
      <c r="BI30" s="62">
        <f ca="1">AVERAGE(OFFSET($BH$3,0,0,'Données projet'!$E$11+1,1))-AVERAGE(OFFSET($H$3,0,0,'Données projet'!$E$11+1,1))</f>
        <v>363.29716504383265</v>
      </c>
      <c r="BJ30" s="62">
        <f t="shared" si="38"/>
        <v>223.12394672673923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11.5</v>
      </c>
      <c r="BY30" s="13">
        <f>IF('Données projet'!$A$114&gt;35,BY29+BX30-CG29,IF(A30&lt;'Données projet'!$A$114,$BV$205^A30,IF(A30='Données projet'!$A$114,'Données projet'!$B$114,BY29+BX30-CG29)))</f>
        <v>108.99999999999997</v>
      </c>
      <c r="BZ30" s="14">
        <f>BY30*VLOOKUP('Données projet'!$B$12,Paramètres!$A$1:$I$89,3,0)*VLOOKUP('Données projet'!$B$12,Paramètres!$A$1:$I$89,5,0)</f>
        <v>85.019999999999982</v>
      </c>
      <c r="CA30" s="14">
        <f t="shared" si="39"/>
        <v>23.360218970693108</v>
      </c>
      <c r="CB30" s="22">
        <f t="shared" si="10"/>
        <v>188.76221470729047</v>
      </c>
      <c r="CC30" s="62">
        <f t="shared" si="11"/>
        <v>478.42888137395715</v>
      </c>
      <c r="CD30" s="62">
        <f ca="1">AVERAGE(OFFSET($CC$3,0,0,'Données projet'!$E$12+1,1))-AVERAGE(OFFSET($H$3,0,0,'Données projet'!$E$12+1,1))</f>
        <v>249.25370091019835</v>
      </c>
      <c r="CE30" s="62">
        <f t="shared" si="40"/>
        <v>245.46410820099908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6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2">
        <f t="shared" si="32"/>
        <v>5.1291372499950274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9">
        <f t="shared" si="1"/>
        <v>292.22651404374136</v>
      </c>
      <c r="I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5.2</v>
      </c>
      <c r="N31" s="14">
        <f>IF('Données projet'!$A$36&gt;35,N30+M31-V30,IF(A31&lt;'Données projet'!$A$36,$K$205^A31,IF(A31='Données projet'!$A$36,'Données projet'!$B$36,N30+M31-V30)))</f>
        <v>143.59999999999994</v>
      </c>
      <c r="O31" s="14">
        <f>N31*VLOOKUP('Données projet'!$B$9,Paramètres!$A$1:$I$89,3,0)*VLOOKUP('Données projet'!$B$9,Paramètres!$A$1:$I$89,5,0)</f>
        <v>129.92927999999992</v>
      </c>
      <c r="P31" s="14">
        <f t="shared" si="33"/>
        <v>33.980017499256149</v>
      </c>
      <c r="Q31" s="22">
        <f t="shared" si="2"/>
        <v>285.47535981120427</v>
      </c>
      <c r="R31" s="62">
        <f t="shared" si="0"/>
        <v>576.36424870009319</v>
      </c>
      <c r="S31" s="62">
        <f ca="1">AVERAGE(OFFSET($R$3,0,0,'Données projet'!$E$9+1,1))-AVERAGE(OFFSET($H$3,0,0,'Données projet'!$E$9+1,1))</f>
        <v>216.22465631364315</v>
      </c>
      <c r="T31" s="62">
        <f t="shared" si="34"/>
        <v>304.27938609150095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91</v>
      </c>
      <c r="AJ31" s="14">
        <f>AI31*VLOOKUP('Données projet'!$B$10,Paramètres!$A$1:$I$89,3,0)*VLOOKUP('Données projet'!$B$10,Paramètres!$A$1:$I$89,5,0)</f>
        <v>82.336799999999997</v>
      </c>
      <c r="AK31" s="14">
        <f t="shared" si="35"/>
        <v>22.707582950885364</v>
      </c>
      <c r="AL31" s="22">
        <f t="shared" si="4"/>
        <v>182.95230030612535</v>
      </c>
      <c r="AM31" s="62">
        <f t="shared" si="5"/>
        <v>473.84118919501418</v>
      </c>
      <c r="AN31" s="62">
        <f ca="1">AVERAGE(OFFSET($AM$3,0,0,'Données projet'!$E$10+1,1))-AVERAGE(OFFSET($H$3,0,0,'Données projet'!$E$10+1,1))</f>
        <v>336.63786714776501</v>
      </c>
      <c r="AO31" s="62">
        <f t="shared" si="36"/>
        <v>208.9883766854885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7</v>
      </c>
      <c r="BD31" s="13">
        <f>IF('Données projet'!$A$88&gt;35,BD30+BC31-BL30,IF(A31&lt;'Données projet'!$A$88,$BA$205^A31,IF(A31='Données projet'!$A$88,'Données projet'!$B$88,BD30+BC31-BL30)))</f>
        <v>91</v>
      </c>
      <c r="BE31" s="14">
        <f>BD31*VLOOKUP('Données projet'!$B$11,Paramètres!$A$1:$I$89,3,0)*VLOOKUP('Données projet'!$B$11,Paramètres!$A$1:$I$89,5,0)</f>
        <v>88.015200000000007</v>
      </c>
      <c r="BF31" s="14">
        <f t="shared" si="37"/>
        <v>24.085919530575829</v>
      </c>
      <c r="BG31" s="22">
        <f t="shared" si="7"/>
        <v>195.24278318241954</v>
      </c>
      <c r="BH31" s="62">
        <f t="shared" si="8"/>
        <v>486.1316720713084</v>
      </c>
      <c r="BI31" s="62">
        <f ca="1">AVERAGE(OFFSET($BH$3,0,0,'Données projet'!$E$11+1,1))-AVERAGE(OFFSET($H$3,0,0,'Données projet'!$E$11+1,1))</f>
        <v>363.29716504383265</v>
      </c>
      <c r="BJ31" s="62">
        <f t="shared" si="38"/>
        <v>223.12394672673923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11.5</v>
      </c>
      <c r="BY31" s="13">
        <f>IF('Données projet'!$A$114&gt;35,BY30+BX31-CG30,IF(A31&lt;'Données projet'!$A$114,$BV$205^A31,IF(A31='Données projet'!$A$114,'Données projet'!$B$114,BY30+BX31-CG30)))</f>
        <v>120.49999999999997</v>
      </c>
      <c r="BZ31" s="14">
        <f>BY31*VLOOKUP('Données projet'!$B$12,Paramètres!$A$1:$I$89,3,0)*VLOOKUP('Données projet'!$B$12,Paramètres!$A$1:$I$89,5,0)</f>
        <v>93.989999999999981</v>
      </c>
      <c r="CA31" s="14">
        <f t="shared" si="39"/>
        <v>25.525074036970079</v>
      </c>
      <c r="CB31" s="22">
        <f t="shared" si="10"/>
        <v>208.15542061438953</v>
      </c>
      <c r="CC31" s="62">
        <f t="shared" si="11"/>
        <v>499.04430950327838</v>
      </c>
      <c r="CD31" s="62">
        <f ca="1">AVERAGE(OFFSET($CC$3,0,0,'Données projet'!$E$12+1,1))-AVERAGE(OFFSET($H$3,0,0,'Données projet'!$E$12+1,1))</f>
        <v>249.25370091019835</v>
      </c>
      <c r="CE31" s="62">
        <f t="shared" si="40"/>
        <v>245.46410820099908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6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2">
        <f t="shared" si="32"/>
        <v>5.2906661162322051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9">
        <f t="shared" si="1"/>
        <v>293.45879348577108</v>
      </c>
      <c r="I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5.2</v>
      </c>
      <c r="N32" s="14">
        <f>IF('Données projet'!$A$36&gt;35,N31+M32-V31,IF(A32&lt;'Données projet'!$A$36,$K$205^A32,IF(A32='Données projet'!$A$36,'Données projet'!$B$36,N31+M32-V31)))</f>
        <v>148.79999999999993</v>
      </c>
      <c r="O32" s="14">
        <f>N32*VLOOKUP('Données projet'!$B$9,Paramètres!$A$1:$I$89,3,0)*VLOOKUP('Données projet'!$B$9,Paramètres!$A$1:$I$89,5,0)</f>
        <v>134.63423999999992</v>
      </c>
      <c r="P32" s="14">
        <f t="shared" si="33"/>
        <v>35.065003380589694</v>
      </c>
      <c r="Q32" s="22">
        <f t="shared" si="2"/>
        <v>295.55951555452685</v>
      </c>
      <c r="R32" s="62">
        <f t="shared" si="0"/>
        <v>587.670626665638</v>
      </c>
      <c r="S32" s="62">
        <f ca="1">AVERAGE(OFFSET($R$3,0,0,'Données projet'!$E$9+1,1))-AVERAGE(OFFSET($H$3,0,0,'Données projet'!$E$9+1,1))</f>
        <v>216.22465631364315</v>
      </c>
      <c r="T32" s="62">
        <f t="shared" si="34"/>
        <v>304.27938609150095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98</v>
      </c>
      <c r="AJ32" s="14">
        <f>AI32*VLOOKUP('Données projet'!$B$10,Paramètres!$A$1:$I$89,3,0)*VLOOKUP('Données projet'!$B$10,Paramètres!$A$1:$I$89,5,0)</f>
        <v>88.670400000000001</v>
      </c>
      <c r="AK32" s="14">
        <f t="shared" si="35"/>
        <v>24.244280250395512</v>
      </c>
      <c r="AL32" s="22">
        <f t="shared" si="4"/>
        <v>196.65973476943884</v>
      </c>
      <c r="AM32" s="62">
        <f t="shared" si="5"/>
        <v>488.77084588054998</v>
      </c>
      <c r="AN32" s="62">
        <f ca="1">AVERAGE(OFFSET($AM$3,0,0,'Données projet'!$E$10+1,1))-AVERAGE(OFFSET($H$3,0,0,'Données projet'!$E$10+1,1))</f>
        <v>336.63786714776501</v>
      </c>
      <c r="AO32" s="62">
        <f t="shared" si="36"/>
        <v>208.9883766854885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7</v>
      </c>
      <c r="BD32" s="13">
        <f>IF('Données projet'!$A$88&gt;35,BD31+BC32-BL31,IF(A32&lt;'Données projet'!$A$88,$BA$205^A32,IF(A32='Données projet'!$A$88,'Données projet'!$B$88,BD31+BC32-BL31)))</f>
        <v>98</v>
      </c>
      <c r="BE32" s="14">
        <f>BD32*VLOOKUP('Données projet'!$B$11,Paramètres!$A$1:$I$89,3,0)*VLOOKUP('Données projet'!$B$11,Paramètres!$A$1:$I$89,5,0)</f>
        <v>94.785600000000002</v>
      </c>
      <c r="BF32" s="14">
        <f t="shared" si="37"/>
        <v>25.715893428674526</v>
      </c>
      <c r="BG32" s="22">
        <f t="shared" si="7"/>
        <v>209.87343438827483</v>
      </c>
      <c r="BH32" s="62">
        <f t="shared" si="8"/>
        <v>501.98454549938594</v>
      </c>
      <c r="BI32" s="62">
        <f ca="1">AVERAGE(OFFSET($BH$3,0,0,'Données projet'!$E$11+1,1))-AVERAGE(OFFSET($H$3,0,0,'Données projet'!$E$11+1,1))</f>
        <v>363.29716504383265</v>
      </c>
      <c r="BJ32" s="62">
        <f t="shared" si="38"/>
        <v>223.12394672673923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11.5</v>
      </c>
      <c r="BY32" s="13">
        <f>IF('Données projet'!$A$114&gt;35,BY31+BX32-CG31,IF(A32&lt;'Données projet'!$A$114,$BV$205^A32,IF(A32='Données projet'!$A$114,'Données projet'!$B$114,BY31+BX32-CG31)))</f>
        <v>131.99999999999997</v>
      </c>
      <c r="BZ32" s="14">
        <f>BY32*VLOOKUP('Données projet'!$B$12,Paramètres!$A$1:$I$89,3,0)*VLOOKUP('Données projet'!$B$12,Paramètres!$A$1:$I$89,5,0)</f>
        <v>102.95999999999998</v>
      </c>
      <c r="CA32" s="14">
        <f t="shared" si="39"/>
        <v>27.665975080374633</v>
      </c>
      <c r="CB32" s="22">
        <f t="shared" si="10"/>
        <v>227.50690659831912</v>
      </c>
      <c r="CC32" s="62">
        <f t="shared" si="11"/>
        <v>519.61801770943021</v>
      </c>
      <c r="CD32" s="62">
        <f ca="1">AVERAGE(OFFSET($CC$3,0,0,'Données projet'!$E$12+1,1))-AVERAGE(OFFSET($H$3,0,0,'Données projet'!$E$12+1,1))</f>
        <v>249.25370091019835</v>
      </c>
      <c r="CE32" s="62">
        <f t="shared" si="40"/>
        <v>245.46410820099908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6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2">
        <f t="shared" si="32"/>
        <v>5.4515478029518807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9">
        <f t="shared" si="1"/>
        <v>294.68994575680784</v>
      </c>
      <c r="I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154</v>
      </c>
      <c r="L33" s="13">
        <f>VLOOKUP(A33,'Données projet'!$A$35:$I$55,9,0)</f>
        <v>5.2</v>
      </c>
      <c r="M33" s="13">
        <f t="array" ref="M33">INDEX(L:L,MIN(IF(ISNUMBER(L33:L229),ROW(L33:L229),"")))</f>
        <v>5.2</v>
      </c>
      <c r="N33" s="14">
        <f>IF('Données projet'!$A$36&gt;35,N32+M33-V32,IF(A33&lt;'Données projet'!$A$36,$K$205^A33,IF(A33='Données projet'!$A$36,'Données projet'!$B$36,N32+M33-V32)))</f>
        <v>153.99999999999991</v>
      </c>
      <c r="O33" s="14">
        <f>N33*VLOOKUP('Données projet'!$B$9,Paramètres!$A$1:$I$89,3,0)*VLOOKUP('Données projet'!$B$9,Paramètres!$A$1:$I$89,5,0)</f>
        <v>139.33919999999992</v>
      </c>
      <c r="P33" s="14">
        <f t="shared" si="33"/>
        <v>36.145583836349623</v>
      </c>
      <c r="Q33" s="22">
        <f t="shared" si="2"/>
        <v>305.63599851497548</v>
      </c>
      <c r="R33" s="62">
        <f t="shared" si="0"/>
        <v>598.9693318483088</v>
      </c>
      <c r="S33" s="62">
        <f ca="1">AVERAGE(OFFSET($R$3,0,0,'Données projet'!$E$9+1,1))-AVERAGE(OFFSET($H$3,0,0,'Données projet'!$E$9+1,1))</f>
        <v>216.22465631364315</v>
      </c>
      <c r="T33" s="62">
        <f t="shared" si="34"/>
        <v>304.27938609150095</v>
      </c>
      <c r="U33" s="16">
        <f>IF(ISNA(VLOOKUP(A33,'Données projet'!$A$35:$I$55,3,0)),0,VLOOKUP(A33,'Données projet'!$A$35:$I$55,3,0))</f>
        <v>5</v>
      </c>
      <c r="V33" s="16">
        <f>IF(ISNA(VLOOKUP(A33,'Données projet'!$A$35:$I$55,4,0)),0,VLOOKUP(A33,'Données projet'!$A$35:$I$55,4,0))</f>
        <v>6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105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105</v>
      </c>
      <c r="AJ33" s="14">
        <f>AI33*VLOOKUP('Données projet'!$B$10,Paramètres!$A$1:$I$89,3,0)*VLOOKUP('Données projet'!$B$10,Paramètres!$A$1:$I$89,5,0)</f>
        <v>95.004000000000005</v>
      </c>
      <c r="AK33" s="14">
        <f t="shared" si="35"/>
        <v>25.768242550600785</v>
      </c>
      <c r="AL33" s="22">
        <f t="shared" si="4"/>
        <v>210.34498910896306</v>
      </c>
      <c r="AM33" s="62">
        <f t="shared" si="5"/>
        <v>503.67832244229635</v>
      </c>
      <c r="AN33" s="62">
        <f ca="1">AVERAGE(OFFSET($AM$3,0,0,'Données projet'!$E$10+1,1))-AVERAGE(OFFSET($H$3,0,0,'Données projet'!$E$10+1,1))</f>
        <v>336.63786714776501</v>
      </c>
      <c r="AO33" s="62">
        <f t="shared" si="36"/>
        <v>208.9883766854885</v>
      </c>
      <c r="AP33" s="16">
        <f>IF(ISNA(VLOOKUP(A33,'Données projet'!$A$61:$I$81,3,0)),0,VLOOKUP(A33,'Données projet'!$A$61:$I$81,3,0))</f>
        <v>1</v>
      </c>
      <c r="AQ33" s="16">
        <f>IF(ISNA(VLOOKUP(A33,'Données projet'!$A$61:$I$81,4,0)),0,VLOOKUP(A33,'Données projet'!$A$61:$I$81,4,0))</f>
        <v>29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105</v>
      </c>
      <c r="BB33" s="13">
        <f>VLOOKUP(A33,'Données projet'!$A$87:$I$107,9,0)</f>
        <v>7</v>
      </c>
      <c r="BC33" s="13">
        <f t="array" ref="BC33">INDEX(BB:BB,MIN(IF(ISNUMBER(BB33:BB229),ROW(BB33:BB229),"")))</f>
        <v>7</v>
      </c>
      <c r="BD33" s="13">
        <f>IF('Données projet'!$A$88&gt;35,BD32+BC33-BL32,IF(A33&lt;'Données projet'!$A$88,$BA$205^A33,IF(A33='Données projet'!$A$88,'Données projet'!$B$88,BD32+BC33-BL32)))</f>
        <v>105</v>
      </c>
      <c r="BE33" s="14">
        <f>BD33*VLOOKUP('Données projet'!$B$11,Paramètres!$A$1:$I$89,3,0)*VLOOKUP('Données projet'!$B$11,Paramètres!$A$1:$I$89,5,0)</f>
        <v>101.556</v>
      </c>
      <c r="BF33" s="14">
        <f t="shared" si="37"/>
        <v>27.332359320696909</v>
      </c>
      <c r="BG33" s="22">
        <f t="shared" si="7"/>
        <v>224.48055915021379</v>
      </c>
      <c r="BH33" s="62">
        <f t="shared" si="8"/>
        <v>517.81389248354708</v>
      </c>
      <c r="BI33" s="62">
        <f ca="1">AVERAGE(OFFSET($BH$3,0,0,'Données projet'!$E$11+1,1))-AVERAGE(OFFSET($H$3,0,0,'Données projet'!$E$11+1,1))</f>
        <v>363.29716504383265</v>
      </c>
      <c r="BJ33" s="62">
        <f t="shared" si="38"/>
        <v>223.12394672673923</v>
      </c>
      <c r="BK33" s="16">
        <f>IF(ISNA(VLOOKUP(A33,'Données projet'!$A$87:$I$107,3,0)),0,VLOOKUP(A33,'Données projet'!$A$87:$I$107,3,0))</f>
        <v>1</v>
      </c>
      <c r="BL33" s="16">
        <f>IF(ISNA(VLOOKUP(A33,'Données projet'!$A$87:$I$107,4,0)),0,VLOOKUP(A33,'Données projet'!$A$87:$I$107,4,0))</f>
        <v>29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11.5</v>
      </c>
      <c r="BY33" s="13">
        <f>IF('Données projet'!$A$114&gt;35,BY32+BX33-CG32,IF(A33&lt;'Données projet'!$A$114,$BV$205^A33,IF(A33='Données projet'!$A$114,'Données projet'!$B$114,BY32+BX33-CG32)))</f>
        <v>143.49999999999997</v>
      </c>
      <c r="BZ33" s="14">
        <f>BY33*VLOOKUP('Données projet'!$B$12,Paramètres!$A$1:$I$89,3,0)*VLOOKUP('Données projet'!$B$12,Paramètres!$A$1:$I$89,5,0)</f>
        <v>111.92999999999998</v>
      </c>
      <c r="CA33" s="14">
        <f t="shared" si="39"/>
        <v>29.785246291563833</v>
      </c>
      <c r="CB33" s="22">
        <f t="shared" si="10"/>
        <v>246.82072062447358</v>
      </c>
      <c r="CC33" s="62">
        <f t="shared" si="11"/>
        <v>540.15405395780692</v>
      </c>
      <c r="CD33" s="62">
        <f ca="1">AVERAGE(OFFSET($CC$3,0,0,'Données projet'!$E$12+1,1))-AVERAGE(OFFSET($H$3,0,0,'Données projet'!$E$12+1,1))</f>
        <v>249.25370091019835</v>
      </c>
      <c r="CE33" s="62">
        <f t="shared" si="40"/>
        <v>245.46410820099908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6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2">
        <f t="shared" si="32"/>
        <v>5.6118063562438518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9">
        <f t="shared" si="1"/>
        <v>295.92001273712469</v>
      </c>
      <c r="I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4.2</v>
      </c>
      <c r="N34" s="14">
        <f>IF('Données projet'!$A$36&gt;35,N33+M34-V33,IF(A34&lt;'Données projet'!$A$36,$K$205^A34,IF(A34='Données projet'!$A$36,'Données projet'!$B$36,N33+M34-V33)))</f>
        <v>152.1999999999999</v>
      </c>
      <c r="O34" s="14">
        <f>N34*VLOOKUP('Données projet'!$B$9,Paramètres!$A$1:$I$89,3,0)*VLOOKUP('Données projet'!$B$9,Paramètres!$A$1:$I$89,5,0)</f>
        <v>137.7105599999999</v>
      </c>
      <c r="P34" s="14">
        <f t="shared" si="33"/>
        <v>35.772024702085204</v>
      </c>
      <c r="Q34" s="22">
        <f t="shared" si="2"/>
        <v>302.14883502279821</v>
      </c>
      <c r="R34" s="62">
        <f t="shared" si="0"/>
        <v>595.48216835613152</v>
      </c>
      <c r="S34" s="62">
        <f ca="1">AVERAGE(OFFSET($R$3,0,0,'Données projet'!$E$9+1,1))-AVERAGE(OFFSET($H$3,0,0,'Données projet'!$E$9+1,1))</f>
        <v>216.22465631364315</v>
      </c>
      <c r="T34" s="62">
        <f t="shared" si="34"/>
        <v>304.27938609150095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</v>
      </c>
      <c r="AI34" s="14">
        <f>IF('Données projet'!$A$62&gt;35,AI33+AH34-AQ33,IF(A34&lt;'Données projet'!$A$62,$AF$205^A34,IF(A34='Données projet'!$A$62,'Données projet'!$B$62,AI33+AH34-AQ33)))</f>
        <v>84</v>
      </c>
      <c r="AJ34" s="14">
        <f>AI34*VLOOKUP('Données projet'!$B$10,Paramètres!$A$1:$I$89,3,0)*VLOOKUP('Données projet'!$B$10,Paramètres!$A$1:$I$89,5,0)</f>
        <v>76.003200000000007</v>
      </c>
      <c r="AK34" s="14">
        <f t="shared" si="35"/>
        <v>21.157049992000456</v>
      </c>
      <c r="AL34" s="22">
        <f t="shared" si="4"/>
        <v>169.22076873606747</v>
      </c>
      <c r="AM34" s="62">
        <f t="shared" si="5"/>
        <v>462.55410206940076</v>
      </c>
      <c r="AN34" s="62">
        <f ca="1">AVERAGE(OFFSET($AM$3,0,0,'Données projet'!$E$10+1,1))-AVERAGE(OFFSET($H$3,0,0,'Données projet'!$E$10+1,1))</f>
        <v>336.63786714776501</v>
      </c>
      <c r="AO34" s="62">
        <f t="shared" si="36"/>
        <v>208.9883766854885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8</v>
      </c>
      <c r="BD34" s="13">
        <f>IF('Données projet'!$A$88&gt;35,BD33+BC34-BL33,IF(A34&lt;'Données projet'!$A$88,$BA$205^A34,IF(A34='Données projet'!$A$88,'Données projet'!$B$88,BD33+BC34-BL33)))</f>
        <v>84</v>
      </c>
      <c r="BE34" s="14">
        <f>BD34*VLOOKUP('Données projet'!$B$11,Paramètres!$A$1:$I$89,3,0)*VLOOKUP('Données projet'!$B$11,Paramètres!$A$1:$I$89,5,0)</f>
        <v>81.244799999999998</v>
      </c>
      <c r="BF34" s="14">
        <f t="shared" si="37"/>
        <v>22.441270156928962</v>
      </c>
      <c r="BG34" s="22">
        <f t="shared" si="7"/>
        <v>180.58657218998462</v>
      </c>
      <c r="BH34" s="62">
        <f t="shared" si="8"/>
        <v>473.91990552331794</v>
      </c>
      <c r="BI34" s="62">
        <f ca="1">AVERAGE(OFFSET($BH$3,0,0,'Données projet'!$E$11+1,1))-AVERAGE(OFFSET($H$3,0,0,'Données projet'!$E$11+1,1))</f>
        <v>363.29716504383265</v>
      </c>
      <c r="BJ34" s="62">
        <f t="shared" si="38"/>
        <v>223.12394672673923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>
        <f>VLOOKUP(A34,'Données projet'!$A$113:$I$133,2,0)</f>
        <v>155</v>
      </c>
      <c r="BW34" s="13">
        <f>VLOOKUP(A34,'Données projet'!$A$113:$I$133,9,0)</f>
        <v>11.5</v>
      </c>
      <c r="BX34" s="13">
        <f t="array" ref="BX34">INDEX(BW:BW,MIN(IF(ISNUMBER(BW34:BW230),ROW(BW34:BW230),"")))</f>
        <v>11.5</v>
      </c>
      <c r="BY34" s="13">
        <f>IF('Données projet'!$A$114&gt;35,BY33+BX34-CG33,IF(A34&lt;'Données projet'!$A$114,$BV$205^A34,IF(A34='Données projet'!$A$114,'Données projet'!$B$114,BY33+BX34-CG33)))</f>
        <v>154.99999999999997</v>
      </c>
      <c r="BZ34" s="14">
        <f>BY34*VLOOKUP('Données projet'!$B$12,Paramètres!$A$1:$I$89,3,0)*VLOOKUP('Données projet'!$B$12,Paramètres!$A$1:$I$89,5,0)</f>
        <v>120.89999999999998</v>
      </c>
      <c r="CA34" s="14">
        <f t="shared" si="39"/>
        <v>31.884818143351602</v>
      </c>
      <c r="CB34" s="22">
        <f t="shared" si="10"/>
        <v>266.10022493300397</v>
      </c>
      <c r="CC34" s="62">
        <f t="shared" si="11"/>
        <v>559.43355826633729</v>
      </c>
      <c r="CD34" s="62">
        <f ca="1">AVERAGE(OFFSET($CC$3,0,0,'Données projet'!$E$12+1,1))-AVERAGE(OFFSET($H$3,0,0,'Données projet'!$E$12+1,1))</f>
        <v>249.25370091019835</v>
      </c>
      <c r="CE34" s="62">
        <f t="shared" si="40"/>
        <v>245.46410820099908</v>
      </c>
      <c r="CF34" s="16">
        <f>IF(ISNA(VLOOKUP(A34,'Données projet'!$A$113:$I$133,3,0)),0,VLOOKUP(A34,'Données projet'!$A$113:$I$133,3,0))</f>
        <v>2</v>
      </c>
      <c r="CG34" s="16">
        <f>IF(ISNA(VLOOKUP(A34,'Données projet'!$A$113:$I$133,4,0)),0,VLOOKUP(A34,'Données projet'!$A$113:$I$133,4,0))</f>
        <v>36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6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2">
        <f t="shared" si="32"/>
        <v>5.7714641827626956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9">
        <f t="shared" si="1"/>
        <v>297.14903345164504</v>
      </c>
      <c r="I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4.2</v>
      </c>
      <c r="N35" s="14">
        <f>IF('Données projet'!$A$36&gt;35,N34+M35-V34,IF(A35&lt;'Données projet'!$A$36,$K$205^A35,IF(A35='Données projet'!$A$36,'Données projet'!$B$36,N34+M35-V34)))</f>
        <v>156.39999999999989</v>
      </c>
      <c r="O35" s="14">
        <f>N35*VLOOKUP('Données projet'!$B$9,Paramètres!$A$1:$I$89,3,0)*VLOOKUP('Données projet'!$B$9,Paramètres!$A$1:$I$89,5,0)</f>
        <v>141.51071999999991</v>
      </c>
      <c r="P35" s="14">
        <f t="shared" si="33"/>
        <v>36.642873749766736</v>
      </c>
      <c r="Q35" s="22">
        <f t="shared" ref="Q35:Q66" si="53">(O35+P35)*0.475*44/12</f>
        <v>310.28417578084355</v>
      </c>
      <c r="R35" s="62">
        <f t="shared" si="0"/>
        <v>603.61750911417687</v>
      </c>
      <c r="S35" s="62">
        <f ca="1">AVERAGE(OFFSET($R$3,0,0,'Données projet'!$E$9+1,1))-AVERAGE(OFFSET($H$3,0,0,'Données projet'!$E$9+1,1))</f>
        <v>216.22465631364315</v>
      </c>
      <c r="T35" s="62">
        <f t="shared" si="34"/>
        <v>304.27938609150095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</v>
      </c>
      <c r="AI35" s="14">
        <f>IF('Données projet'!$A$62&gt;35,AI34+AH35-AQ34,IF(A35&lt;'Données projet'!$A$62,$AF$205^A35,IF(A35='Données projet'!$A$62,'Données projet'!$B$62,AI34+AH35-AQ34)))</f>
        <v>92</v>
      </c>
      <c r="AJ35" s="14">
        <f>AI35*VLOOKUP('Données projet'!$B$10,Paramètres!$A$1:$I$89,3,0)*VLOOKUP('Données projet'!$B$10,Paramètres!$A$1:$I$89,5,0)</f>
        <v>83.241600000000005</v>
      </c>
      <c r="AK35" s="14">
        <f t="shared" si="35"/>
        <v>22.927930643846508</v>
      </c>
      <c r="AL35" s="22">
        <f t="shared" si="4"/>
        <v>184.91193253803269</v>
      </c>
      <c r="AM35" s="62">
        <f t="shared" si="5"/>
        <v>478.24526587136597</v>
      </c>
      <c r="AN35" s="62">
        <f ca="1">AVERAGE(OFFSET($AM$3,0,0,'Données projet'!$E$10+1,1))-AVERAGE(OFFSET($H$3,0,0,'Données projet'!$E$10+1,1))</f>
        <v>336.63786714776501</v>
      </c>
      <c r="AO35" s="62">
        <f t="shared" si="36"/>
        <v>208.9883766854885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8</v>
      </c>
      <c r="BD35" s="13">
        <f>IF('Données projet'!$A$88&gt;35,BD34+BC35-BL34,IF(A35&lt;'Données projet'!$A$88,$BA$205^A35,IF(A35='Données projet'!$A$88,'Données projet'!$B$88,BD34+BC35-BL34)))</f>
        <v>92</v>
      </c>
      <c r="BE35" s="14">
        <f>BD35*VLOOKUP('Données projet'!$B$11,Paramètres!$A$1:$I$89,3,0)*VLOOKUP('Données projet'!$B$11,Paramètres!$A$1:$I$89,5,0)</f>
        <v>88.982399999999998</v>
      </c>
      <c r="BF35" s="14">
        <f t="shared" si="37"/>
        <v>24.31964219550628</v>
      </c>
      <c r="BG35" s="22">
        <f t="shared" si="7"/>
        <v>197.3343901571734</v>
      </c>
      <c r="BH35" s="62">
        <f t="shared" si="8"/>
        <v>490.66772349050672</v>
      </c>
      <c r="BI35" s="62">
        <f ca="1">AVERAGE(OFFSET($BH$3,0,0,'Données projet'!$E$11+1,1))-AVERAGE(OFFSET($H$3,0,0,'Données projet'!$E$11+1,1))</f>
        <v>363.29716504383265</v>
      </c>
      <c r="BJ35" s="62">
        <f t="shared" si="38"/>
        <v>223.12394672673923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11.5</v>
      </c>
      <c r="BY35" s="13">
        <f>IF('Données projet'!$A$114&gt;35,BY34+BX35-CG34,IF(A35&lt;'Données projet'!$A$114,$BV$205^A35,IF(A35='Données projet'!$A$114,'Données projet'!$B$114,BY34+BX35-CG34)))</f>
        <v>130.49999999999997</v>
      </c>
      <c r="BZ35" s="14">
        <f>BY35*VLOOKUP('Données projet'!$B$12,Paramètres!$A$1:$I$89,3,0)*VLOOKUP('Données projet'!$B$12,Paramètres!$A$1:$I$89,5,0)</f>
        <v>101.78999999999998</v>
      </c>
      <c r="CA35" s="14">
        <f t="shared" si="39"/>
        <v>27.38799903683508</v>
      </c>
      <c r="CB35" s="22">
        <f t="shared" si="10"/>
        <v>224.98501498915437</v>
      </c>
      <c r="CC35" s="62">
        <f t="shared" si="11"/>
        <v>518.31834832248774</v>
      </c>
      <c r="CD35" s="62">
        <f ca="1">AVERAGE(OFFSET($CC$3,0,0,'Données projet'!$E$12+1,1))-AVERAGE(OFFSET($H$3,0,0,'Données projet'!$E$12+1,1))</f>
        <v>249.25370091019835</v>
      </c>
      <c r="CE35" s="62">
        <f t="shared" si="40"/>
        <v>245.46410820099908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6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2">
        <f t="shared" si="32"/>
        <v>5.9305422092039777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9">
        <f t="shared" si="1"/>
        <v>298.37704434769694</v>
      </c>
      <c r="I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4.2</v>
      </c>
      <c r="N36" s="14">
        <f>IF('Données projet'!$A$36&gt;35,N35+M36-V35,IF(A36&lt;'Données projet'!$A$36,$K$205^A36,IF(A36='Données projet'!$A$36,'Données projet'!$B$36,N35+M36-V35)))</f>
        <v>160.59999999999988</v>
      </c>
      <c r="O36" s="14">
        <f>N36*VLOOKUP('Données projet'!$B$9,Paramètres!$A$1:$I$89,3,0)*VLOOKUP('Données projet'!$B$9,Paramètres!$A$1:$I$89,5,0)</f>
        <v>145.31087999999988</v>
      </c>
      <c r="P36" s="14">
        <f t="shared" si="33"/>
        <v>37.511004575106327</v>
      </c>
      <c r="Q36" s="22">
        <f t="shared" si="53"/>
        <v>318.41478230164324</v>
      </c>
      <c r="R36" s="62">
        <f t="shared" si="0"/>
        <v>611.74811563497656</v>
      </c>
      <c r="S36" s="62">
        <f ca="1">AVERAGE(OFFSET($R$3,0,0,'Données projet'!$E$9+1,1))-AVERAGE(OFFSET($H$3,0,0,'Données projet'!$E$9+1,1))</f>
        <v>216.22465631364315</v>
      </c>
      <c r="T36" s="62">
        <f t="shared" si="34"/>
        <v>304.27938609150095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</v>
      </c>
      <c r="AI36" s="14">
        <f>IF('Données projet'!$A$62&gt;35,AI35+AH36-AQ35,IF(A36&lt;'Données projet'!$A$62,$AF$205^A36,IF(A36='Données projet'!$A$62,'Données projet'!$B$62,AI35+AH36-AQ35)))</f>
        <v>100</v>
      </c>
      <c r="AJ36" s="14">
        <f>AI36*VLOOKUP('Données projet'!$B$10,Paramètres!$A$1:$I$89,3,0)*VLOOKUP('Données projet'!$B$10,Paramètres!$A$1:$I$89,5,0)</f>
        <v>90.47999999999999</v>
      </c>
      <c r="AK36" s="14">
        <f t="shared" si="35"/>
        <v>24.680953573367994</v>
      </c>
      <c r="AL36" s="22">
        <f t="shared" si="4"/>
        <v>200.57199414028256</v>
      </c>
      <c r="AM36" s="62">
        <f t="shared" si="5"/>
        <v>493.9053274736159</v>
      </c>
      <c r="AN36" s="62">
        <f ca="1">AVERAGE(OFFSET($AM$3,0,0,'Données projet'!$E$10+1,1))-AVERAGE(OFFSET($H$3,0,0,'Données projet'!$E$10+1,1))</f>
        <v>336.63786714776501</v>
      </c>
      <c r="AO36" s="62">
        <f t="shared" si="36"/>
        <v>208.9883766854885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8</v>
      </c>
      <c r="BD36" s="13">
        <f>IF('Données projet'!$A$88&gt;35,BD35+BC36-BL35,IF(A36&lt;'Données projet'!$A$88,$BA$205^A36,IF(A36='Données projet'!$A$88,'Données projet'!$B$88,BD35+BC36-BL35)))</f>
        <v>100</v>
      </c>
      <c r="BE36" s="14">
        <f>BD36*VLOOKUP('Données projet'!$B$11,Paramètres!$A$1:$I$89,3,0)*VLOOKUP('Données projet'!$B$11,Paramètres!$A$1:$I$89,5,0)</f>
        <v>96.72</v>
      </c>
      <c r="BF36" s="14">
        <f t="shared" si="37"/>
        <v>26.179072558792139</v>
      </c>
      <c r="BG36" s="22">
        <f t="shared" si="7"/>
        <v>214.04921803989632</v>
      </c>
      <c r="BH36" s="62">
        <f t="shared" si="8"/>
        <v>507.3825513732296</v>
      </c>
      <c r="BI36" s="62">
        <f ca="1">AVERAGE(OFFSET($BH$3,0,0,'Données projet'!$E$11+1,1))-AVERAGE(OFFSET($H$3,0,0,'Données projet'!$E$11+1,1))</f>
        <v>363.29716504383265</v>
      </c>
      <c r="BJ36" s="62">
        <f t="shared" si="38"/>
        <v>223.12394672673923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11.5</v>
      </c>
      <c r="BY36" s="13">
        <f>IF('Données projet'!$A$114&gt;35,BY35+BX36-CG35,IF(A36&lt;'Données projet'!$A$114,$BV$205^A36,IF(A36='Données projet'!$A$114,'Données projet'!$B$114,BY35+BX36-CG35)))</f>
        <v>141.99999999999997</v>
      </c>
      <c r="BZ36" s="14">
        <f>BY36*VLOOKUP('Données projet'!$B$12,Paramètres!$A$1:$I$89,3,0)*VLOOKUP('Données projet'!$B$12,Paramètres!$A$1:$I$89,5,0)</f>
        <v>110.75999999999998</v>
      </c>
      <c r="CA36" s="14">
        <f t="shared" si="39"/>
        <v>29.509974682362923</v>
      </c>
      <c r="CB36" s="22">
        <f t="shared" si="10"/>
        <v>244.30353923844871</v>
      </c>
      <c r="CC36" s="62">
        <f t="shared" si="11"/>
        <v>537.63687257178208</v>
      </c>
      <c r="CD36" s="62">
        <f ca="1">AVERAGE(OFFSET($CC$3,0,0,'Données projet'!$E$12+1,1))-AVERAGE(OFFSET($H$3,0,0,'Données projet'!$E$12+1,1))</f>
        <v>249.25370091019835</v>
      </c>
      <c r="CE36" s="62">
        <f t="shared" si="40"/>
        <v>245.46410820099908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6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2">
        <f t="shared" si="32"/>
        <v>6.0890600219069135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9">
        <f t="shared" si="1"/>
        <v>299.60407953815456</v>
      </c>
      <c r="I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4.2</v>
      </c>
      <c r="N37" s="14">
        <f>IF('Données projet'!$A$36&gt;35,N36+M37-V36,IF(A37&lt;'Données projet'!$A$36,$K$205^A37,IF(A37='Données projet'!$A$36,'Données projet'!$B$36,N36+M37-V36)))</f>
        <v>164.79999999999987</v>
      </c>
      <c r="O37" s="14">
        <f>N37*VLOOKUP('Données projet'!$B$9,Paramètres!$A$1:$I$89,3,0)*VLOOKUP('Données projet'!$B$9,Paramètres!$A$1:$I$89,5,0)</f>
        <v>149.11103999999989</v>
      </c>
      <c r="P37" s="14">
        <f t="shared" si="33"/>
        <v>38.376496436982357</v>
      </c>
      <c r="Q37" s="22">
        <f t="shared" si="53"/>
        <v>326.54079262774405</v>
      </c>
      <c r="R37" s="62">
        <f t="shared" si="0"/>
        <v>619.87412596107743</v>
      </c>
      <c r="S37" s="62">
        <f ca="1">AVERAGE(OFFSET($R$3,0,0,'Données projet'!$E$9+1,1))-AVERAGE(OFFSET($H$3,0,0,'Données projet'!$E$9+1,1))</f>
        <v>216.22465631364315</v>
      </c>
      <c r="T37" s="62">
        <f t="shared" si="34"/>
        <v>304.27938609150095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</v>
      </c>
      <c r="AI37" s="14">
        <f>IF('Données projet'!$A$62&gt;35,AI36+AH37-AQ36,IF(A37&lt;'Données projet'!$A$62,$AF$205^A37,IF(A37='Données projet'!$A$62,'Données projet'!$B$62,AI36+AH37-AQ36)))</f>
        <v>108</v>
      </c>
      <c r="AJ37" s="14">
        <f>AI37*VLOOKUP('Données projet'!$B$10,Paramètres!$A$1:$I$89,3,0)*VLOOKUP('Données projet'!$B$10,Paramètres!$A$1:$I$89,5,0)</f>
        <v>97.718399999999988</v>
      </c>
      <c r="AK37" s="14">
        <f t="shared" si="35"/>
        <v>26.417709819192194</v>
      </c>
      <c r="AL37" s="22">
        <f t="shared" si="4"/>
        <v>216.20372460175972</v>
      </c>
      <c r="AM37" s="62">
        <f t="shared" si="5"/>
        <v>509.537057935093</v>
      </c>
      <c r="AN37" s="62">
        <f ca="1">AVERAGE(OFFSET($AM$3,0,0,'Données projet'!$E$10+1,1))-AVERAGE(OFFSET($H$3,0,0,'Données projet'!$E$10+1,1))</f>
        <v>336.63786714776501</v>
      </c>
      <c r="AO37" s="62">
        <f t="shared" si="36"/>
        <v>208.9883766854885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8</v>
      </c>
      <c r="BD37" s="13">
        <f>IF('Données projet'!$A$88&gt;35,BD36+BC37-BL36,IF(A37&lt;'Données projet'!$A$88,$BA$205^A37,IF(A37='Données projet'!$A$88,'Données projet'!$B$88,BD36+BC37-BL36)))</f>
        <v>108</v>
      </c>
      <c r="BE37" s="14">
        <f>BD37*VLOOKUP('Données projet'!$B$11,Paramètres!$A$1:$I$89,3,0)*VLOOKUP('Données projet'!$B$11,Paramètres!$A$1:$I$89,5,0)</f>
        <v>104.4576</v>
      </c>
      <c r="BF37" s="14">
        <f t="shared" si="37"/>
        <v>28.021248860498272</v>
      </c>
      <c r="BG37" s="22">
        <f t="shared" si="7"/>
        <v>230.73399509870114</v>
      </c>
      <c r="BH37" s="62">
        <f t="shared" si="8"/>
        <v>524.0673284320344</v>
      </c>
      <c r="BI37" s="62">
        <f ca="1">AVERAGE(OFFSET($BH$3,0,0,'Données projet'!$E$11+1,1))-AVERAGE(OFFSET($H$3,0,0,'Données projet'!$E$11+1,1))</f>
        <v>363.29716504383265</v>
      </c>
      <c r="BJ37" s="62">
        <f t="shared" si="38"/>
        <v>223.12394672673923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11.5</v>
      </c>
      <c r="BY37" s="13">
        <f>IF('Données projet'!$A$114&gt;35,BY36+BX37-CG36,IF(A37&lt;'Données projet'!$A$114,$BV$205^A37,IF(A37='Données projet'!$A$114,'Données projet'!$B$114,BY36+BX37-CG36)))</f>
        <v>153.49999999999997</v>
      </c>
      <c r="BZ37" s="14">
        <f>BY37*VLOOKUP('Données projet'!$B$12,Paramètres!$A$1:$I$89,3,0)*VLOOKUP('Données projet'!$B$12,Paramètres!$A$1:$I$89,5,0)</f>
        <v>119.72999999999998</v>
      </c>
      <c r="CA37" s="14">
        <f t="shared" si="39"/>
        <v>31.612017974790529</v>
      </c>
      <c r="CB37" s="22">
        <f t="shared" si="10"/>
        <v>263.58734797276014</v>
      </c>
      <c r="CC37" s="62">
        <f t="shared" si="11"/>
        <v>556.92068130609346</v>
      </c>
      <c r="CD37" s="62">
        <f ca="1">AVERAGE(OFFSET($CC$3,0,0,'Données projet'!$E$12+1,1))-AVERAGE(OFFSET($H$3,0,0,'Données projet'!$E$12+1,1))</f>
        <v>249.25370091019835</v>
      </c>
      <c r="CE37" s="62">
        <f t="shared" si="40"/>
        <v>245.46410820099908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6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2">
        <f t="shared" si="32"/>
        <v>6.2470359895716463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9">
        <f t="shared" si="1"/>
        <v>300.83017101517061</v>
      </c>
      <c r="I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169</v>
      </c>
      <c r="L38" s="13">
        <f>VLOOKUP(A38,'Données projet'!$A$35:$I$55,9,0)</f>
        <v>4.2</v>
      </c>
      <c r="M38" s="13">
        <f t="array" ref="M38">INDEX(L:L,MIN(IF(ISNUMBER(L38:L234),ROW(L38:L234),"")))</f>
        <v>4.2</v>
      </c>
      <c r="N38" s="14">
        <f>IF('Données projet'!$A$36&gt;35,N37+M38-V37,IF(A38&lt;'Données projet'!$A$36,$K$205^A38,IF(A38='Données projet'!$A$36,'Données projet'!$B$36,N37+M38-V37)))</f>
        <v>168.99999999999986</v>
      </c>
      <c r="O38" s="14">
        <f>N38*VLOOKUP('Données projet'!$B$9,Paramètres!$A$1:$I$89,3,0)*VLOOKUP('Données projet'!$B$9,Paramètres!$A$1:$I$89,5,0)</f>
        <v>152.91119999999987</v>
      </c>
      <c r="P38" s="14">
        <f t="shared" si="33"/>
        <v>39.239424324197508</v>
      </c>
      <c r="Q38" s="22">
        <f t="shared" si="53"/>
        <v>334.66233736464375</v>
      </c>
      <c r="R38" s="62">
        <f t="shared" si="0"/>
        <v>627.99567069797706</v>
      </c>
      <c r="S38" s="62">
        <f ca="1">AVERAGE(OFFSET($R$3,0,0,'Données projet'!$E$9+1,1))-AVERAGE(OFFSET($H$3,0,0,'Données projet'!$E$9+1,1))</f>
        <v>216.22465631364315</v>
      </c>
      <c r="T38" s="62">
        <f t="shared" si="34"/>
        <v>304.27938609150095</v>
      </c>
      <c r="U38" s="16">
        <f>IF(ISNA(VLOOKUP(A38,'Données projet'!$A$35:$I$55,3,0)),0,VLOOKUP(A38,'Données projet'!$A$35:$I$55,3,0))</f>
        <v>6</v>
      </c>
      <c r="V38" s="16">
        <f>IF(ISNA(VLOOKUP(A38,'Données projet'!$A$35:$I$55,4,0)),0,VLOOKUP(A38,'Données projet'!$A$35:$I$55,4,0))</f>
        <v>5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116</v>
      </c>
      <c r="AG38" s="13">
        <f>VLOOKUP(A38,'Données projet'!$A$61:$I$81,9,0)</f>
        <v>8</v>
      </c>
      <c r="AH38" s="13">
        <f t="array" ref="AH38">INDEX(AG:AG,MIN(IF(ISNUMBER(AG38:AG234),ROW(AG38:AG234),"")))</f>
        <v>8</v>
      </c>
      <c r="AI38" s="14">
        <f>IF('Données projet'!$A$62&gt;35,AI37+AH38-AQ37,IF(A38&lt;'Données projet'!$A$62,$AF$205^A38,IF(A38='Données projet'!$A$62,'Données projet'!$B$62,AI37+AH38-AQ37)))</f>
        <v>116</v>
      </c>
      <c r="AJ38" s="14">
        <f>AI38*VLOOKUP('Données projet'!$B$10,Paramètres!$A$1:$I$89,3,0)*VLOOKUP('Données projet'!$B$10,Paramètres!$A$1:$I$89,5,0)</f>
        <v>104.9568</v>
      </c>
      <c r="AK38" s="14">
        <f t="shared" si="35"/>
        <v>28.139541339232373</v>
      </c>
      <c r="AL38" s="22">
        <f t="shared" si="4"/>
        <v>231.8094611658297</v>
      </c>
      <c r="AM38" s="62">
        <f t="shared" si="5"/>
        <v>525.14279449916307</v>
      </c>
      <c r="AN38" s="62">
        <f ca="1">AVERAGE(OFFSET($AM$3,0,0,'Données projet'!$E$10+1,1))-AVERAGE(OFFSET($H$3,0,0,'Données projet'!$E$10+1,1))</f>
        <v>336.63786714776501</v>
      </c>
      <c r="AO38" s="62">
        <f t="shared" si="36"/>
        <v>208.9883766854885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116</v>
      </c>
      <c r="BB38" s="13">
        <f>VLOOKUP(A38,'Données projet'!$A$87:$I$107,9,0)</f>
        <v>8</v>
      </c>
      <c r="BC38" s="13">
        <f t="array" ref="BC38">INDEX(BB:BB,MIN(IF(ISNUMBER(BB38:BB234),ROW(BB38:BB234),"")))</f>
        <v>8</v>
      </c>
      <c r="BD38" s="13">
        <f>IF('Données projet'!$A$88&gt;35,BD37+BC38-BL37,IF(A38&lt;'Données projet'!$A$88,$BA$205^A38,IF(A38='Données projet'!$A$88,'Données projet'!$B$88,BD37+BC38-BL37)))</f>
        <v>116</v>
      </c>
      <c r="BE38" s="14">
        <f>BD38*VLOOKUP('Données projet'!$B$11,Paramètres!$A$1:$I$89,3,0)*VLOOKUP('Données projet'!$B$11,Paramètres!$A$1:$I$89,5,0)</f>
        <v>112.1952</v>
      </c>
      <c r="BF38" s="14">
        <f t="shared" si="37"/>
        <v>29.847594514573263</v>
      </c>
      <c r="BG38" s="22">
        <f t="shared" si="7"/>
        <v>247.39120044621509</v>
      </c>
      <c r="BH38" s="62">
        <f t="shared" si="8"/>
        <v>540.72453377954844</v>
      </c>
      <c r="BI38" s="62">
        <f ca="1">AVERAGE(OFFSET($BH$3,0,0,'Données projet'!$E$11+1,1))-AVERAGE(OFFSET($H$3,0,0,'Données projet'!$E$11+1,1))</f>
        <v>363.29716504383265</v>
      </c>
      <c r="BJ38" s="62">
        <f t="shared" si="38"/>
        <v>223.12394672673923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11.5</v>
      </c>
      <c r="BY38" s="13">
        <f>IF('Données projet'!$A$114&gt;35,BY37+BX38-CG37,IF(A38&lt;'Données projet'!$A$114,$BV$205^A38,IF(A38='Données projet'!$A$114,'Données projet'!$B$114,BY37+BX38-CG37)))</f>
        <v>164.99999999999997</v>
      </c>
      <c r="BZ38" s="14">
        <f>BY38*VLOOKUP('Données projet'!$B$12,Paramètres!$A$1:$I$89,3,0)*VLOOKUP('Données projet'!$B$12,Paramètres!$A$1:$I$89,5,0)</f>
        <v>128.69999999999999</v>
      </c>
      <c r="CA38" s="14">
        <f t="shared" si="39"/>
        <v>33.695792019186115</v>
      </c>
      <c r="CB38" s="22">
        <f t="shared" si="10"/>
        <v>282.83933776674911</v>
      </c>
      <c r="CC38" s="62">
        <f t="shared" si="11"/>
        <v>576.17267110008243</v>
      </c>
      <c r="CD38" s="62">
        <f ca="1">AVERAGE(OFFSET($CC$3,0,0,'Données projet'!$E$12+1,1))-AVERAGE(OFFSET($H$3,0,0,'Données projet'!$E$12+1,1))</f>
        <v>249.25370091019835</v>
      </c>
      <c r="CE38" s="62">
        <f t="shared" si="40"/>
        <v>245.46410820099908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6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2">
        <f t="shared" si="32"/>
        <v>6.4044873715575248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9">
        <f t="shared" si="1"/>
        <v>302.05534883879602</v>
      </c>
      <c r="I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3.8</v>
      </c>
      <c r="N39" s="14">
        <f>IF('Données projet'!$A$36&gt;35,N38+M39-V38,IF(A39&lt;'Données projet'!$A$36,$K$205^A39,IF(A39='Données projet'!$A$36,'Données projet'!$B$36,N38+M39-V38)))</f>
        <v>167.79999999999987</v>
      </c>
      <c r="O39" s="14">
        <f>N39*VLOOKUP('Données projet'!$B$9,Paramètres!$A$1:$I$89,3,0)*VLOOKUP('Données projet'!$B$9,Paramètres!$A$1:$I$89,5,0)</f>
        <v>151.82543999999987</v>
      </c>
      <c r="P39" s="14">
        <f t="shared" si="33"/>
        <v>38.993130915848106</v>
      </c>
      <c r="Q39" s="22">
        <f t="shared" si="53"/>
        <v>332.34234434510182</v>
      </c>
      <c r="R39" s="62">
        <f t="shared" si="0"/>
        <v>625.67567767843514</v>
      </c>
      <c r="S39" s="62">
        <f ca="1">AVERAGE(OFFSET($R$3,0,0,'Données projet'!$E$9+1,1))-AVERAGE(OFFSET($H$3,0,0,'Données projet'!$E$9+1,1))</f>
        <v>216.22465631364315</v>
      </c>
      <c r="T39" s="62">
        <f t="shared" si="34"/>
        <v>304.27938609150095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124.4</v>
      </c>
      <c r="AJ39" s="14">
        <f>AI39*VLOOKUP('Données projet'!$B$10,Paramètres!$A$1:$I$89,3,0)*VLOOKUP('Données projet'!$B$10,Paramètres!$A$1:$I$89,5,0)</f>
        <v>112.55712000000001</v>
      </c>
      <c r="AK39" s="14">
        <f t="shared" si="35"/>
        <v>29.932653834140599</v>
      </c>
      <c r="AL39" s="22">
        <f t="shared" si="4"/>
        <v>248.16968942779488</v>
      </c>
      <c r="AM39" s="62">
        <f t="shared" si="5"/>
        <v>541.50302276112825</v>
      </c>
      <c r="AN39" s="62">
        <f ca="1">AVERAGE(OFFSET($AM$3,0,0,'Données projet'!$E$10+1,1))-AVERAGE(OFFSET($H$3,0,0,'Données projet'!$E$10+1,1))</f>
        <v>336.63786714776501</v>
      </c>
      <c r="AO39" s="62">
        <f t="shared" si="36"/>
        <v>208.9883766854885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8.4</v>
      </c>
      <c r="BD39" s="13">
        <f>IF('Données projet'!$A$88&gt;35,BD38+BC39-BL38,IF(A39&lt;'Données projet'!$A$88,$BA$205^A39,IF(A39='Données projet'!$A$88,'Données projet'!$B$88,BD38+BC39-BL38)))</f>
        <v>124.4</v>
      </c>
      <c r="BE39" s="14">
        <f>BD39*VLOOKUP('Données projet'!$B$11,Paramètres!$A$1:$I$89,3,0)*VLOOKUP('Données projet'!$B$11,Paramètres!$A$1:$I$89,5,0)</f>
        <v>120.31968000000001</v>
      </c>
      <c r="BF39" s="14">
        <f t="shared" si="37"/>
        <v>31.74954785566829</v>
      </c>
      <c r="BG39" s="22">
        <f t="shared" si="7"/>
        <v>264.85390518195555</v>
      </c>
      <c r="BH39" s="62">
        <f t="shared" si="8"/>
        <v>558.18723851528887</v>
      </c>
      <c r="BI39" s="62">
        <f ca="1">AVERAGE(OFFSET($BH$3,0,0,'Données projet'!$E$11+1,1))-AVERAGE(OFFSET($H$3,0,0,'Données projet'!$E$11+1,1))</f>
        <v>363.29716504383265</v>
      </c>
      <c r="BJ39" s="62">
        <f t="shared" si="38"/>
        <v>223.12394672673923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11.5</v>
      </c>
      <c r="BY39" s="13">
        <f>IF('Données projet'!$A$114&gt;35,BY38+BX39-CG38,IF(A39&lt;'Données projet'!$A$114,$BV$205^A39,IF(A39='Données projet'!$A$114,'Données projet'!$B$114,BY38+BX39-CG38)))</f>
        <v>176.49999999999997</v>
      </c>
      <c r="BZ39" s="14">
        <f>BY39*VLOOKUP('Données projet'!$B$12,Paramètres!$A$1:$I$89,3,0)*VLOOKUP('Données projet'!$B$12,Paramètres!$A$1:$I$89,5,0)</f>
        <v>137.66999999999999</v>
      </c>
      <c r="CA39" s="14">
        <f t="shared" si="39"/>
        <v>35.762714965854656</v>
      </c>
      <c r="CB39" s="22">
        <f t="shared" si="10"/>
        <v>302.06197856553018</v>
      </c>
      <c r="CC39" s="62">
        <f t="shared" si="11"/>
        <v>595.3953118988635</v>
      </c>
      <c r="CD39" s="62">
        <f ca="1">AVERAGE(OFFSET($CC$3,0,0,'Données projet'!$E$12+1,1))-AVERAGE(OFFSET($H$3,0,0,'Données projet'!$E$12+1,1))</f>
        <v>249.25370091019835</v>
      </c>
      <c r="CE39" s="62">
        <f t="shared" si="40"/>
        <v>245.46410820099908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6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2">
        <f t="shared" si="32"/>
        <v>6.5614304138099282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9">
        <f t="shared" si="1"/>
        <v>303.27964130405229</v>
      </c>
      <c r="I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3.8</v>
      </c>
      <c r="N40" s="14">
        <f>IF('Données projet'!$A$36&gt;35,N39+M40-V39,IF(A40&lt;'Données projet'!$A$36,$K$205^A40,IF(A40='Données projet'!$A$36,'Données projet'!$B$36,N39+M40-V39)))</f>
        <v>171.59999999999988</v>
      </c>
      <c r="O40" s="14">
        <f>N40*VLOOKUP('Données projet'!$B$9,Paramètres!$A$1:$I$89,3,0)*VLOOKUP('Données projet'!$B$9,Paramètres!$A$1:$I$89,5,0)</f>
        <v>155.26367999999988</v>
      </c>
      <c r="P40" s="14">
        <f t="shared" si="33"/>
        <v>39.772364122651744</v>
      </c>
      <c r="Q40" s="22">
        <f t="shared" si="53"/>
        <v>339.68777684695152</v>
      </c>
      <c r="R40" s="62">
        <f t="shared" si="0"/>
        <v>633.02111018028484</v>
      </c>
      <c r="S40" s="62">
        <f ca="1">AVERAGE(OFFSET($R$3,0,0,'Données projet'!$E$9+1,1))-AVERAGE(OFFSET($H$3,0,0,'Données projet'!$E$9+1,1))</f>
        <v>216.22465631364315</v>
      </c>
      <c r="T40" s="62">
        <f t="shared" si="34"/>
        <v>304.27938609150095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132.80000000000001</v>
      </c>
      <c r="AJ40" s="14">
        <f>AI40*VLOOKUP('Données projet'!$B$10,Paramètres!$A$1:$I$89,3,0)*VLOOKUP('Données projet'!$B$10,Paramètres!$A$1:$I$89,5,0)</f>
        <v>120.15744000000001</v>
      </c>
      <c r="AK40" s="14">
        <f t="shared" si="35"/>
        <v>31.711716786129845</v>
      </c>
      <c r="AL40" s="22">
        <f t="shared" si="4"/>
        <v>264.50544806917611</v>
      </c>
      <c r="AM40" s="62">
        <f t="shared" si="5"/>
        <v>557.83878140250943</v>
      </c>
      <c r="AN40" s="62">
        <f ca="1">AVERAGE(OFFSET($AM$3,0,0,'Données projet'!$E$10+1,1))-AVERAGE(OFFSET($H$3,0,0,'Données projet'!$E$10+1,1))</f>
        <v>336.63786714776501</v>
      </c>
      <c r="AO40" s="62">
        <f t="shared" si="36"/>
        <v>208.9883766854885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8.4</v>
      </c>
      <c r="BD40" s="13">
        <f>IF('Données projet'!$A$88&gt;35,BD39+BC40-BL39,IF(A40&lt;'Données projet'!$A$88,$BA$205^A40,IF(A40='Données projet'!$A$88,'Données projet'!$B$88,BD39+BC40-BL39)))</f>
        <v>132.80000000000001</v>
      </c>
      <c r="BE40" s="14">
        <f>BD40*VLOOKUP('Données projet'!$B$11,Paramètres!$A$1:$I$89,3,0)*VLOOKUP('Données projet'!$B$11,Paramètres!$A$1:$I$89,5,0)</f>
        <v>128.44416000000001</v>
      </c>
      <c r="BF40" s="14">
        <f t="shared" si="37"/>
        <v>33.636598855068925</v>
      </c>
      <c r="BG40" s="22">
        <f t="shared" si="7"/>
        <v>282.29065500591173</v>
      </c>
      <c r="BH40" s="62">
        <f t="shared" si="8"/>
        <v>575.62398833924499</v>
      </c>
      <c r="BI40" s="62">
        <f ca="1">AVERAGE(OFFSET($BH$3,0,0,'Données projet'!$E$11+1,1))-AVERAGE(OFFSET($H$3,0,0,'Données projet'!$E$11+1,1))</f>
        <v>363.29716504383265</v>
      </c>
      <c r="BJ40" s="62">
        <f t="shared" si="38"/>
        <v>223.12394672673923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>
        <f>VLOOKUP(A40,'Données projet'!$A$113:$I$133,2,0)</f>
        <v>188</v>
      </c>
      <c r="BW40" s="13">
        <f>VLOOKUP(A40,'Données projet'!$A$113:$I$133,9,0)</f>
        <v>11.5</v>
      </c>
      <c r="BX40" s="13">
        <f t="array" ref="BX40">INDEX(BW:BW,MIN(IF(ISNUMBER(BW40:BW236),ROW(BW40:BW236),"")))</f>
        <v>11.5</v>
      </c>
      <c r="BY40" s="13">
        <f>IF('Données projet'!$A$114&gt;35,BY39+BX40-CG39,IF(A40&lt;'Données projet'!$A$114,$BV$205^A40,IF(A40='Données projet'!$A$114,'Données projet'!$B$114,BY39+BX40-CG39)))</f>
        <v>187.99999999999997</v>
      </c>
      <c r="BZ40" s="14">
        <f>BY40*VLOOKUP('Données projet'!$B$12,Paramètres!$A$1:$I$89,3,0)*VLOOKUP('Données projet'!$B$12,Paramètres!$A$1:$I$89,5,0)</f>
        <v>146.63999999999999</v>
      </c>
      <c r="CA40" s="14">
        <f t="shared" si="39"/>
        <v>37.814009712703026</v>
      </c>
      <c r="CB40" s="22">
        <f t="shared" si="10"/>
        <v>321.25740024962437</v>
      </c>
      <c r="CC40" s="62">
        <f t="shared" si="11"/>
        <v>614.59073358295768</v>
      </c>
      <c r="CD40" s="62">
        <f ca="1">AVERAGE(OFFSET($CC$3,0,0,'Données projet'!$E$12+1,1))-AVERAGE(OFFSET($H$3,0,0,'Données projet'!$E$12+1,1))</f>
        <v>249.25370091019835</v>
      </c>
      <c r="CE40" s="62">
        <f t="shared" si="40"/>
        <v>245.46410820099908</v>
      </c>
      <c r="CF40" s="16">
        <f>IF(ISNA(VLOOKUP(A40,'Données projet'!$A$113:$I$133,3,0)),0,VLOOKUP(A40,'Données projet'!$A$113:$I$133,3,0))</f>
        <v>3</v>
      </c>
      <c r="CG40" s="16">
        <f>IF(ISNA(VLOOKUP(A40,'Données projet'!$A$113:$I$133,4,0)),0,VLOOKUP(A40,'Données projet'!$A$113:$I$133,4,0))</f>
        <v>36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6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2">
        <f t="shared" si="32"/>
        <v>6.717880434124976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9">
        <f t="shared" si="1"/>
        <v>304.50307508943433</v>
      </c>
      <c r="I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3.8</v>
      </c>
      <c r="N41" s="14">
        <f>IF('Données projet'!$A$36&gt;35,N40+M41-V40,IF(A41&lt;'Données projet'!$A$36,$K$205^A41,IF(A41='Données projet'!$A$36,'Données projet'!$B$36,N40+M41-V40)))</f>
        <v>175.39999999999989</v>
      </c>
      <c r="O41" s="14">
        <f>N41*VLOOKUP('Données projet'!$B$9,Paramètres!$A$1:$I$89,3,0)*VLOOKUP('Données projet'!$B$9,Paramètres!$A$1:$I$89,5,0)</f>
        <v>158.70191999999989</v>
      </c>
      <c r="P41" s="14">
        <f t="shared" si="33"/>
        <v>40.549591173644728</v>
      </c>
      <c r="Q41" s="22">
        <f t="shared" si="53"/>
        <v>347.02971529409768</v>
      </c>
      <c r="R41" s="62">
        <f t="shared" si="0"/>
        <v>640.363048627431</v>
      </c>
      <c r="S41" s="62">
        <f ca="1">AVERAGE(OFFSET($R$3,0,0,'Données projet'!$E$9+1,1))-AVERAGE(OFFSET($H$3,0,0,'Données projet'!$E$9+1,1))</f>
        <v>216.22465631364315</v>
      </c>
      <c r="T41" s="62">
        <f t="shared" si="34"/>
        <v>304.27938609150095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141.20000000000002</v>
      </c>
      <c r="AJ41" s="14">
        <f>AI41*VLOOKUP('Données projet'!$B$10,Paramètres!$A$1:$I$89,3,0)*VLOOKUP('Données projet'!$B$10,Paramètres!$A$1:$I$89,5,0)</f>
        <v>127.75776</v>
      </c>
      <c r="AK41" s="14">
        <f t="shared" si="35"/>
        <v>33.477720030956604</v>
      </c>
      <c r="AL41" s="22">
        <f t="shared" si="4"/>
        <v>280.81846105391611</v>
      </c>
      <c r="AM41" s="62">
        <f t="shared" si="5"/>
        <v>574.15179438724942</v>
      </c>
      <c r="AN41" s="62">
        <f ca="1">AVERAGE(OFFSET($AM$3,0,0,'Données projet'!$E$10+1,1))-AVERAGE(OFFSET($H$3,0,0,'Données projet'!$E$10+1,1))</f>
        <v>336.63786714776501</v>
      </c>
      <c r="AO41" s="62">
        <f t="shared" si="36"/>
        <v>208.9883766854885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8.4</v>
      </c>
      <c r="BD41" s="13">
        <f>IF('Données projet'!$A$88&gt;35,BD40+BC41-BL40,IF(A41&lt;'Données projet'!$A$88,$BA$205^A41,IF(A41='Données projet'!$A$88,'Données projet'!$B$88,BD40+BC41-BL40)))</f>
        <v>141.20000000000002</v>
      </c>
      <c r="BE41" s="14">
        <f>BD41*VLOOKUP('Données projet'!$B$11,Paramètres!$A$1:$I$89,3,0)*VLOOKUP('Données projet'!$B$11,Paramètres!$A$1:$I$89,5,0)</f>
        <v>136.56864000000002</v>
      </c>
      <c r="BF41" s="14">
        <f t="shared" si="37"/>
        <v>35.509797430964703</v>
      </c>
      <c r="BG41" s="22">
        <f t="shared" si="7"/>
        <v>299.70327852559689</v>
      </c>
      <c r="BH41" s="62">
        <f t="shared" si="8"/>
        <v>593.0366118589302</v>
      </c>
      <c r="BI41" s="62">
        <f ca="1">AVERAGE(OFFSET($BH$3,0,0,'Données projet'!$E$11+1,1))-AVERAGE(OFFSET($H$3,0,0,'Données projet'!$E$11+1,1))</f>
        <v>363.29716504383265</v>
      </c>
      <c r="BJ41" s="62">
        <f t="shared" si="38"/>
        <v>223.12394672673923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11.142857142857142</v>
      </c>
      <c r="BY41" s="13">
        <f>IF('Données projet'!$A$114&gt;35,BY40+BX41-CG40,IF(A41&lt;'Données projet'!$A$114,$BV$205^A41,IF(A41='Données projet'!$A$114,'Données projet'!$B$114,BY40+BX41-CG40)))</f>
        <v>163.14285714285711</v>
      </c>
      <c r="BZ41" s="14">
        <f>BY41*VLOOKUP('Données projet'!$B$12,Paramètres!$A$1:$I$89,3,0)*VLOOKUP('Données projet'!$B$12,Paramètres!$A$1:$I$89,5,0)</f>
        <v>127.25142857142855</v>
      </c>
      <c r="CA41" s="14">
        <f t="shared" si="39"/>
        <v>33.360457439554281</v>
      </c>
      <c r="CB41" s="22">
        <f t="shared" si="10"/>
        <v>279.73236813579507</v>
      </c>
      <c r="CC41" s="62">
        <f t="shared" si="11"/>
        <v>573.06570146912838</v>
      </c>
      <c r="CD41" s="62">
        <f ca="1">AVERAGE(OFFSET($CC$3,0,0,'Données projet'!$E$12+1,1))-AVERAGE(OFFSET($H$3,0,0,'Données projet'!$E$12+1,1))</f>
        <v>249.25370091019835</v>
      </c>
      <c r="CE41" s="62">
        <f t="shared" si="40"/>
        <v>245.46410820099908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6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2">
        <f t="shared" si="32"/>
        <v>6.8738518981865644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9">
        <f t="shared" si="1"/>
        <v>305.72567538934157</v>
      </c>
      <c r="I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3.8</v>
      </c>
      <c r="N42" s="14">
        <f>IF('Données projet'!$A$36&gt;35,N41+M42-V41,IF(A42&lt;'Données projet'!$A$36,$K$205^A42,IF(A42='Données projet'!$A$36,'Données projet'!$B$36,N41+M42-V41)))</f>
        <v>179.1999999999999</v>
      </c>
      <c r="O42" s="14">
        <f>N42*VLOOKUP('Données projet'!$B$9,Paramètres!$A$1:$I$89,3,0)*VLOOKUP('Données projet'!$B$9,Paramètres!$A$1:$I$89,5,0)</f>
        <v>162.1401599999999</v>
      </c>
      <c r="P42" s="14">
        <f t="shared" si="33"/>
        <v>41.324860537333677</v>
      </c>
      <c r="Q42" s="22">
        <f t="shared" si="53"/>
        <v>354.36824410252262</v>
      </c>
      <c r="R42" s="62">
        <f t="shared" si="0"/>
        <v>647.70157743585594</v>
      </c>
      <c r="S42" s="62">
        <f ca="1">AVERAGE(OFFSET($R$3,0,0,'Données projet'!$E$9+1,1))-AVERAGE(OFFSET($H$3,0,0,'Données projet'!$E$9+1,1))</f>
        <v>216.22465631364315</v>
      </c>
      <c r="T42" s="62">
        <f t="shared" si="34"/>
        <v>304.27938609150095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149.60000000000002</v>
      </c>
      <c r="AJ42" s="14">
        <f>AI42*VLOOKUP('Données projet'!$B$10,Paramètres!$A$1:$I$89,3,0)*VLOOKUP('Données projet'!$B$10,Paramètres!$A$1:$I$89,5,0)</f>
        <v>135.35808</v>
      </c>
      <c r="AK42" s="14">
        <f t="shared" si="35"/>
        <v>35.231528980112834</v>
      </c>
      <c r="AL42" s="22">
        <f t="shared" si="4"/>
        <v>297.11023564036316</v>
      </c>
      <c r="AM42" s="62">
        <f t="shared" si="5"/>
        <v>590.44356897369653</v>
      </c>
      <c r="AN42" s="62">
        <f ca="1">AVERAGE(OFFSET($AM$3,0,0,'Données projet'!$E$10+1,1))-AVERAGE(OFFSET($H$3,0,0,'Données projet'!$E$10+1,1))</f>
        <v>336.63786714776501</v>
      </c>
      <c r="AO42" s="62">
        <f t="shared" si="36"/>
        <v>208.9883766854885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8.4</v>
      </c>
      <c r="BD42" s="13">
        <f>IF('Données projet'!$A$88&gt;35,BD41+BC42-BL41,IF(A42&lt;'Données projet'!$A$88,$BA$205^A42,IF(A42='Données projet'!$A$88,'Données projet'!$B$88,BD41+BC42-BL41)))</f>
        <v>149.60000000000002</v>
      </c>
      <c r="BE42" s="14">
        <f>BD42*VLOOKUP('Données projet'!$B$11,Paramètres!$A$1:$I$89,3,0)*VLOOKUP('Données projet'!$B$11,Paramètres!$A$1:$I$89,5,0)</f>
        <v>144.69312000000002</v>
      </c>
      <c r="BF42" s="14">
        <f t="shared" si="37"/>
        <v>37.370061524802772</v>
      </c>
      <c r="BG42" s="22">
        <f t="shared" si="7"/>
        <v>317.09337448903148</v>
      </c>
      <c r="BH42" s="62">
        <f t="shared" si="8"/>
        <v>610.42670782236473</v>
      </c>
      <c r="BI42" s="62">
        <f ca="1">AVERAGE(OFFSET($BH$3,0,0,'Données projet'!$E$11+1,1))-AVERAGE(OFFSET($H$3,0,0,'Données projet'!$E$11+1,1))</f>
        <v>363.29716504383265</v>
      </c>
      <c r="BJ42" s="62">
        <f t="shared" si="38"/>
        <v>223.12394672673923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11.142857142857142</v>
      </c>
      <c r="BY42" s="13">
        <f>IF('Données projet'!$A$114&gt;35,BY41+BX42-CG41,IF(A42&lt;'Données projet'!$A$114,$BV$205^A42,IF(A42='Données projet'!$A$114,'Données projet'!$B$114,BY41+BX42-CG41)))</f>
        <v>174.28571428571425</v>
      </c>
      <c r="BZ42" s="14">
        <f>BY42*VLOOKUP('Données projet'!$B$12,Paramètres!$A$1:$I$89,3,0)*VLOOKUP('Données projet'!$B$12,Paramètres!$A$1:$I$89,5,0)</f>
        <v>135.94285714285712</v>
      </c>
      <c r="CA42" s="14">
        <f t="shared" si="39"/>
        <v>35.365986273808367</v>
      </c>
      <c r="CB42" s="22">
        <f t="shared" si="10"/>
        <v>298.36290228402572</v>
      </c>
      <c r="CC42" s="62">
        <f t="shared" si="11"/>
        <v>591.69623561735898</v>
      </c>
      <c r="CD42" s="62">
        <f ca="1">AVERAGE(OFFSET($CC$3,0,0,'Données projet'!$E$12+1,1))-AVERAGE(OFFSET($H$3,0,0,'Données projet'!$E$12+1,1))</f>
        <v>249.25370091019835</v>
      </c>
      <c r="CE42" s="62">
        <f t="shared" si="40"/>
        <v>245.46410820099908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6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2">
        <f t="shared" si="32"/>
        <v>7.0293584875852577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9">
        <f t="shared" si="1"/>
        <v>306.9474660325443</v>
      </c>
      <c r="I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183</v>
      </c>
      <c r="L43" s="13">
        <f>VLOOKUP(A43,'Données projet'!$A$35:$I$55,9,0)</f>
        <v>3.8</v>
      </c>
      <c r="M43" s="13">
        <f t="array" ref="M43">INDEX(L:L,MIN(IF(ISNUMBER(L43:L239),ROW(L43:L239),"")))</f>
        <v>3.8</v>
      </c>
      <c r="N43" s="14">
        <f>IF('Données projet'!$A$36&gt;35,N42+M43-V42,IF(A43&lt;'Données projet'!$A$36,$K$205^A43,IF(A43='Données projet'!$A$36,'Données projet'!$B$36,N42+M43-V42)))</f>
        <v>182.99999999999991</v>
      </c>
      <c r="O43" s="14">
        <f>N43*VLOOKUP('Données projet'!$B$9,Paramètres!$A$1:$I$89,3,0)*VLOOKUP('Données projet'!$B$9,Paramètres!$A$1:$I$89,5,0)</f>
        <v>165.57839999999993</v>
      </c>
      <c r="P43" s="14">
        <f t="shared" si="33"/>
        <v>42.098218509199661</v>
      </c>
      <c r="Q43" s="22">
        <f t="shared" si="53"/>
        <v>361.70344390352261</v>
      </c>
      <c r="R43" s="62">
        <f t="shared" si="0"/>
        <v>655.03677723685587</v>
      </c>
      <c r="S43" s="62">
        <f ca="1">AVERAGE(OFFSET($R$3,0,0,'Données projet'!$E$9+1,1))-AVERAGE(OFFSET($H$3,0,0,'Données projet'!$E$9+1,1))</f>
        <v>216.22465631364315</v>
      </c>
      <c r="T43" s="62">
        <f t="shared" si="34"/>
        <v>304.27938609150095</v>
      </c>
      <c r="U43" s="16">
        <f>IF(ISNA(VLOOKUP(A43,'Données projet'!$A$35:$I$55,3,0)),0,VLOOKUP(A43,'Données projet'!$A$35:$I$55,3,0))</f>
        <v>7</v>
      </c>
      <c r="V43" s="16">
        <f>IF(ISNA(VLOOKUP(A43,'Données projet'!$A$35:$I$55,4,0)),0,VLOOKUP(A43,'Données projet'!$A$35:$I$55,4,0))</f>
        <v>4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158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158.00000000000003</v>
      </c>
      <c r="AJ43" s="14">
        <f>AI43*VLOOKUP('Données projet'!$B$10,Paramètres!$A$1:$I$89,3,0)*VLOOKUP('Données projet'!$B$10,Paramètres!$A$1:$I$89,5,0)</f>
        <v>142.95840000000004</v>
      </c>
      <c r="AK43" s="14">
        <f t="shared" si="35"/>
        <v>36.973906370811264</v>
      </c>
      <c r="AL43" s="22">
        <f t="shared" si="4"/>
        <v>313.38210026249641</v>
      </c>
      <c r="AM43" s="62">
        <f t="shared" si="5"/>
        <v>606.71543359582972</v>
      </c>
      <c r="AN43" s="62">
        <f ca="1">AVERAGE(OFFSET($AM$3,0,0,'Données projet'!$E$10+1,1))-AVERAGE(OFFSET($H$3,0,0,'Données projet'!$E$10+1,1))</f>
        <v>336.63786714776501</v>
      </c>
      <c r="AO43" s="62">
        <f t="shared" si="36"/>
        <v>208.9883766854885</v>
      </c>
      <c r="AP43" s="16">
        <f>IF(ISNA(VLOOKUP(A43,'Données projet'!$A$61:$I$81,3,0)),0,VLOOKUP(A43,'Données projet'!$A$61:$I$81,3,0))</f>
        <v>2</v>
      </c>
      <c r="AQ43" s="16">
        <f>IF(ISNA(VLOOKUP(A43,'Données projet'!$A$61:$I$81,4,0)),0,VLOOKUP(A43,'Données projet'!$A$61:$I$81,4,0))</f>
        <v>42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158</v>
      </c>
      <c r="BB43" s="13">
        <f>VLOOKUP(A43,'Données projet'!$A$87:$I$107,9,0)</f>
        <v>8.4</v>
      </c>
      <c r="BC43" s="13">
        <f t="array" ref="BC43">INDEX(BB:BB,MIN(IF(ISNUMBER(BB43:BB239),ROW(BB43:BB239),"")))</f>
        <v>8.4</v>
      </c>
      <c r="BD43" s="13">
        <f>IF('Données projet'!$A$88&gt;35,BD42+BC43-BL42,IF(A43&lt;'Données projet'!$A$88,$BA$205^A43,IF(A43='Données projet'!$A$88,'Données projet'!$B$88,BD42+BC43-BL42)))</f>
        <v>158.00000000000003</v>
      </c>
      <c r="BE43" s="14">
        <f>BD43*VLOOKUP('Données projet'!$B$11,Paramètres!$A$1:$I$89,3,0)*VLOOKUP('Données projet'!$B$11,Paramètres!$A$1:$I$89,5,0)</f>
        <v>152.81760000000003</v>
      </c>
      <c r="BF43" s="14">
        <f t="shared" si="37"/>
        <v>39.218200171484227</v>
      </c>
      <c r="BG43" s="22">
        <f t="shared" si="7"/>
        <v>334.46235196533502</v>
      </c>
      <c r="BH43" s="62">
        <f t="shared" si="8"/>
        <v>627.79568529866833</v>
      </c>
      <c r="BI43" s="62">
        <f ca="1">AVERAGE(OFFSET($BH$3,0,0,'Données projet'!$E$11+1,1))-AVERAGE(OFFSET($H$3,0,0,'Données projet'!$E$11+1,1))</f>
        <v>363.29716504383265</v>
      </c>
      <c r="BJ43" s="62">
        <f t="shared" si="38"/>
        <v>223.12394672673923</v>
      </c>
      <c r="BK43" s="16">
        <f>IF(ISNA(VLOOKUP(A43,'Données projet'!$A$87:$I$107,3,0)),0,VLOOKUP(A43,'Données projet'!$A$87:$I$107,3,0))</f>
        <v>2</v>
      </c>
      <c r="BL43" s="16">
        <f>IF(ISNA(VLOOKUP(A43,'Données projet'!$A$87:$I$107,4,0)),0,VLOOKUP(A43,'Données projet'!$A$87:$I$107,4,0))</f>
        <v>42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11.142857142857142</v>
      </c>
      <c r="BY43" s="13">
        <f>IF('Données projet'!$A$114&gt;35,BY42+BX43-CG42,IF(A43&lt;'Données projet'!$A$114,$BV$205^A43,IF(A43='Données projet'!$A$114,'Données projet'!$B$114,BY42+BX43-CG42)))</f>
        <v>185.42857142857139</v>
      </c>
      <c r="BZ43" s="14">
        <f>BY43*VLOOKUP('Données projet'!$B$12,Paramètres!$A$1:$I$89,3,0)*VLOOKUP('Données projet'!$B$12,Paramètres!$A$1:$I$89,5,0)</f>
        <v>144.63428571428568</v>
      </c>
      <c r="CA43" s="14">
        <f t="shared" si="39"/>
        <v>37.356634728420524</v>
      </c>
      <c r="CB43" s="22">
        <f t="shared" si="10"/>
        <v>316.96751977104663</v>
      </c>
      <c r="CC43" s="62">
        <f t="shared" si="11"/>
        <v>610.30085310437994</v>
      </c>
      <c r="CD43" s="62">
        <f ca="1">AVERAGE(OFFSET($CC$3,0,0,'Données projet'!$E$12+1,1))-AVERAGE(OFFSET($H$3,0,0,'Données projet'!$E$12+1,1))</f>
        <v>249.25370091019835</v>
      </c>
      <c r="CE43" s="62">
        <f t="shared" si="40"/>
        <v>245.46410820099908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6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2">
        <f t="shared" si="32"/>
        <v>7.1844131608438397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9">
        <f t="shared" si="1"/>
        <v>308.16846958846969</v>
      </c>
      <c r="I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3.8</v>
      </c>
      <c r="N44" s="14">
        <f>IF('Données projet'!$A$36&gt;35,N43+M44-V43,IF(A44&lt;'Données projet'!$A$36,$K$205^A44,IF(A44='Données projet'!$A$36,'Données projet'!$B$36,N43+M44-V43)))</f>
        <v>182.79999999999993</v>
      </c>
      <c r="O44" s="14">
        <f>N44*VLOOKUP('Données projet'!$B$9,Paramètres!$A$1:$I$89,3,0)*VLOOKUP('Données projet'!$B$9,Paramètres!$A$1:$I$89,5,0)</f>
        <v>165.39743999999993</v>
      </c>
      <c r="P44" s="14">
        <f t="shared" si="33"/>
        <v>42.057562385840768</v>
      </c>
      <c r="Q44" s="22">
        <f t="shared" si="53"/>
        <v>361.31746248867256</v>
      </c>
      <c r="R44" s="62">
        <f t="shared" si="0"/>
        <v>654.65079582200588</v>
      </c>
      <c r="S44" s="62">
        <f ca="1">AVERAGE(OFFSET($R$3,0,0,'Données projet'!$E$9+1,1))-AVERAGE(OFFSET($H$3,0,0,'Données projet'!$E$9+1,1))</f>
        <v>216.22465631364315</v>
      </c>
      <c r="T44" s="62">
        <f t="shared" si="34"/>
        <v>304.27938609150095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124.40000000000003</v>
      </c>
      <c r="AJ44" s="14">
        <f>AI44*VLOOKUP('Données projet'!$B$10,Paramètres!$A$1:$I$89,3,0)*VLOOKUP('Données projet'!$B$10,Paramètres!$A$1:$I$89,5,0)</f>
        <v>112.55712000000003</v>
      </c>
      <c r="AK44" s="14">
        <f t="shared" si="35"/>
        <v>29.932653834140599</v>
      </c>
      <c r="AL44" s="22">
        <f t="shared" si="4"/>
        <v>248.16968942779496</v>
      </c>
      <c r="AM44" s="62">
        <f t="shared" si="5"/>
        <v>541.50302276112825</v>
      </c>
      <c r="AN44" s="62">
        <f ca="1">AVERAGE(OFFSET($AM$3,0,0,'Données projet'!$E$10+1,1))-AVERAGE(OFFSET($H$3,0,0,'Données projet'!$E$10+1,1))</f>
        <v>336.63786714776501</v>
      </c>
      <c r="AO44" s="62">
        <f t="shared" si="36"/>
        <v>208.9883766854885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8.4</v>
      </c>
      <c r="BD44" s="13">
        <f>IF('Données projet'!$A$88&gt;35,BD43+BC44-BL43,IF(A44&lt;'Données projet'!$A$88,$BA$205^A44,IF(A44='Données projet'!$A$88,'Données projet'!$B$88,BD43+BC44-BL43)))</f>
        <v>124.40000000000003</v>
      </c>
      <c r="BE44" s="14">
        <f>BD44*VLOOKUP('Données projet'!$B$11,Paramètres!$A$1:$I$89,3,0)*VLOOKUP('Données projet'!$B$11,Paramètres!$A$1:$I$89,5,0)</f>
        <v>120.31968000000002</v>
      </c>
      <c r="BF44" s="14">
        <f t="shared" si="37"/>
        <v>31.74954785566829</v>
      </c>
      <c r="BG44" s="22">
        <f t="shared" si="7"/>
        <v>264.85390518195561</v>
      </c>
      <c r="BH44" s="62">
        <f t="shared" si="8"/>
        <v>558.18723851528898</v>
      </c>
      <c r="BI44" s="62">
        <f ca="1">AVERAGE(OFFSET($BH$3,0,0,'Données projet'!$E$11+1,1))-AVERAGE(OFFSET($H$3,0,0,'Données projet'!$E$11+1,1))</f>
        <v>363.29716504383265</v>
      </c>
      <c r="BJ44" s="62">
        <f t="shared" si="38"/>
        <v>223.12394672673923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11.142857142857142</v>
      </c>
      <c r="BY44" s="13">
        <f>IF('Données projet'!$A$114&gt;35,BY43+BX44-CG43,IF(A44&lt;'Données projet'!$A$114,$BV$205^A44,IF(A44='Données projet'!$A$114,'Données projet'!$B$114,BY43+BX44-CG43)))</f>
        <v>196.57142857142853</v>
      </c>
      <c r="BZ44" s="14">
        <f>BY44*VLOOKUP('Données projet'!$B$12,Paramètres!$A$1:$I$89,3,0)*VLOOKUP('Données projet'!$B$12,Paramètres!$A$1:$I$89,5,0)</f>
        <v>153.32571428571427</v>
      </c>
      <c r="CA44" s="14">
        <f t="shared" si="39"/>
        <v>39.33339883761419</v>
      </c>
      <c r="CB44" s="22">
        <f t="shared" si="10"/>
        <v>335.54795535646372</v>
      </c>
      <c r="CC44" s="62">
        <f t="shared" si="11"/>
        <v>628.88128868979697</v>
      </c>
      <c r="CD44" s="62">
        <f ca="1">AVERAGE(OFFSET($CC$3,0,0,'Données projet'!$E$12+1,1))-AVERAGE(OFFSET($H$3,0,0,'Données projet'!$E$12+1,1))</f>
        <v>249.25370091019835</v>
      </c>
      <c r="CE44" s="62">
        <f t="shared" si="40"/>
        <v>245.46410820099908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6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2">
        <f t="shared" si="32"/>
        <v>7.3390282083215048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9">
        <f t="shared" si="1"/>
        <v>309.38870746282663</v>
      </c>
      <c r="I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3.8</v>
      </c>
      <c r="N45" s="14">
        <f>IF('Données projet'!$A$36&gt;35,N44+M45-V44,IF(A45&lt;'Données projet'!$A$36,$K$205^A45,IF(A45='Données projet'!$A$36,'Données projet'!$B$36,N44+M45-V44)))</f>
        <v>186.59999999999994</v>
      </c>
      <c r="O45" s="14">
        <f>N45*VLOOKUP('Données projet'!$B$9,Paramètres!$A$1:$I$89,3,0)*VLOOKUP('Données projet'!$B$9,Paramètres!$A$1:$I$89,5,0)</f>
        <v>168.83567999999994</v>
      </c>
      <c r="P45" s="14">
        <f t="shared" si="33"/>
        <v>42.829150426593394</v>
      </c>
      <c r="Q45" s="22">
        <f t="shared" si="53"/>
        <v>368.64957965965004</v>
      </c>
      <c r="R45" s="62">
        <f t="shared" si="0"/>
        <v>661.9829129929833</v>
      </c>
      <c r="S45" s="62">
        <f ca="1">AVERAGE(OFFSET($R$3,0,0,'Données projet'!$E$9+1,1))-AVERAGE(OFFSET($H$3,0,0,'Données projet'!$E$9+1,1))</f>
        <v>216.22465631364315</v>
      </c>
      <c r="T45" s="62">
        <f t="shared" si="34"/>
        <v>304.27938609150095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132.80000000000004</v>
      </c>
      <c r="AJ45" s="14">
        <f>AI45*VLOOKUP('Données projet'!$B$10,Paramètres!$A$1:$I$89,3,0)*VLOOKUP('Données projet'!$B$10,Paramètres!$A$1:$I$89,5,0)</f>
        <v>120.15744000000002</v>
      </c>
      <c r="AK45" s="14">
        <f t="shared" si="35"/>
        <v>31.711716786129845</v>
      </c>
      <c r="AL45" s="22">
        <f t="shared" si="4"/>
        <v>264.50544806917623</v>
      </c>
      <c r="AM45" s="62">
        <f t="shared" si="5"/>
        <v>557.83878140250954</v>
      </c>
      <c r="AN45" s="62">
        <f ca="1">AVERAGE(OFFSET($AM$3,0,0,'Données projet'!$E$10+1,1))-AVERAGE(OFFSET($H$3,0,0,'Données projet'!$E$10+1,1))</f>
        <v>336.63786714776501</v>
      </c>
      <c r="AO45" s="62">
        <f t="shared" si="36"/>
        <v>208.9883766854885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8.4</v>
      </c>
      <c r="BD45" s="13">
        <f>IF('Données projet'!$A$88&gt;35,BD44+BC45-BL44,IF(A45&lt;'Données projet'!$A$88,$BA$205^A45,IF(A45='Données projet'!$A$88,'Données projet'!$B$88,BD44+BC45-BL44)))</f>
        <v>132.80000000000004</v>
      </c>
      <c r="BE45" s="14">
        <f>BD45*VLOOKUP('Données projet'!$B$11,Paramètres!$A$1:$I$89,3,0)*VLOOKUP('Données projet'!$B$11,Paramètres!$A$1:$I$89,5,0)</f>
        <v>128.44416000000004</v>
      </c>
      <c r="BF45" s="14">
        <f t="shared" si="37"/>
        <v>33.636598855068954</v>
      </c>
      <c r="BG45" s="22">
        <f t="shared" si="7"/>
        <v>282.29065500591184</v>
      </c>
      <c r="BH45" s="62">
        <f t="shared" si="8"/>
        <v>575.62398833924522</v>
      </c>
      <c r="BI45" s="62">
        <f ca="1">AVERAGE(OFFSET($BH$3,0,0,'Données projet'!$E$11+1,1))-AVERAGE(OFFSET($H$3,0,0,'Données projet'!$E$11+1,1))</f>
        <v>363.29716504383265</v>
      </c>
      <c r="BJ45" s="62">
        <f t="shared" si="38"/>
        <v>223.12394672673923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11.142857142857142</v>
      </c>
      <c r="BY45" s="13">
        <f>IF('Données projet'!$A$114&gt;35,BY44+BX45-CG44,IF(A45&lt;'Données projet'!$A$114,$BV$205^A45,IF(A45='Données projet'!$A$114,'Données projet'!$B$114,BY44+BX45-CG44)))</f>
        <v>207.71428571428567</v>
      </c>
      <c r="BZ45" s="14">
        <f>BY45*VLOOKUP('Données projet'!$B$12,Paramètres!$A$1:$I$89,3,0)*VLOOKUP('Données projet'!$B$12,Paramètres!$A$1:$I$89,5,0)</f>
        <v>162.01714285714283</v>
      </c>
      <c r="CA45" s="14">
        <f t="shared" si="39"/>
        <v>41.297155335096676</v>
      </c>
      <c r="CB45" s="22">
        <f t="shared" si="10"/>
        <v>354.10573601815048</v>
      </c>
      <c r="CC45" s="62">
        <f t="shared" si="11"/>
        <v>647.43906935148379</v>
      </c>
      <c r="CD45" s="62">
        <f ca="1">AVERAGE(OFFSET($CC$3,0,0,'Données projet'!$E$12+1,1))-AVERAGE(OFFSET($H$3,0,0,'Données projet'!$E$12+1,1))</f>
        <v>249.25370091019835</v>
      </c>
      <c r="CE45" s="62">
        <f t="shared" si="40"/>
        <v>245.46410820099908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6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2">
        <f t="shared" si="32"/>
        <v>7.4932153017418166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9">
        <f t="shared" si="1"/>
        <v>310.608199983867</v>
      </c>
      <c r="I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3.8</v>
      </c>
      <c r="N46" s="14">
        <f>IF('Données projet'!$A$36&gt;35,N45+M46-V45,IF(A46&lt;'Données projet'!$A$36,$K$205^A46,IF(A46='Données projet'!$A$36,'Données projet'!$B$36,N45+M46-V45)))</f>
        <v>190.39999999999995</v>
      </c>
      <c r="O46" s="14">
        <f>N46*VLOOKUP('Données projet'!$B$9,Paramètres!$A$1:$I$89,3,0)*VLOOKUP('Données projet'!$B$9,Paramètres!$A$1:$I$89,5,0)</f>
        <v>172.27391999999995</v>
      </c>
      <c r="P46" s="14">
        <f t="shared" si="33"/>
        <v>43.598911513699562</v>
      </c>
      <c r="Q46" s="22">
        <f t="shared" si="53"/>
        <v>375.97851488636002</v>
      </c>
      <c r="R46" s="62">
        <f t="shared" si="0"/>
        <v>669.31184821969327</v>
      </c>
      <c r="S46" s="62">
        <f ca="1">AVERAGE(OFFSET($R$3,0,0,'Données projet'!$E$9+1,1))-AVERAGE(OFFSET($H$3,0,0,'Données projet'!$E$9+1,1))</f>
        <v>216.22465631364315</v>
      </c>
      <c r="T46" s="62">
        <f t="shared" si="34"/>
        <v>304.27938609150095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141.20000000000005</v>
      </c>
      <c r="AJ46" s="14">
        <f>AI46*VLOOKUP('Données projet'!$B$10,Paramètres!$A$1:$I$89,3,0)*VLOOKUP('Données projet'!$B$10,Paramètres!$A$1:$I$89,5,0)</f>
        <v>127.75776000000003</v>
      </c>
      <c r="AK46" s="14">
        <f t="shared" si="35"/>
        <v>33.477720030956604</v>
      </c>
      <c r="AL46" s="22">
        <f t="shared" si="4"/>
        <v>280.81846105391611</v>
      </c>
      <c r="AM46" s="62">
        <f t="shared" si="5"/>
        <v>574.15179438724942</v>
      </c>
      <c r="AN46" s="62">
        <f ca="1">AVERAGE(OFFSET($AM$3,0,0,'Données projet'!$E$10+1,1))-AVERAGE(OFFSET($H$3,0,0,'Données projet'!$E$10+1,1))</f>
        <v>336.63786714776501</v>
      </c>
      <c r="AO46" s="62">
        <f t="shared" si="36"/>
        <v>208.9883766854885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8.4</v>
      </c>
      <c r="BD46" s="13">
        <f>IF('Données projet'!$A$88&gt;35,BD45+BC46-BL45,IF(A46&lt;'Données projet'!$A$88,$BA$205^A46,IF(A46='Données projet'!$A$88,'Données projet'!$B$88,BD45+BC46-BL45)))</f>
        <v>141.20000000000005</v>
      </c>
      <c r="BE46" s="14">
        <f>BD46*VLOOKUP('Données projet'!$B$11,Paramètres!$A$1:$I$89,3,0)*VLOOKUP('Données projet'!$B$11,Paramètres!$A$1:$I$89,5,0)</f>
        <v>136.56864000000004</v>
      </c>
      <c r="BF46" s="14">
        <f t="shared" si="37"/>
        <v>35.509797430964703</v>
      </c>
      <c r="BG46" s="22">
        <f t="shared" si="7"/>
        <v>299.70327852559694</v>
      </c>
      <c r="BH46" s="62">
        <f t="shared" si="8"/>
        <v>593.0366118589302</v>
      </c>
      <c r="BI46" s="62">
        <f ca="1">AVERAGE(OFFSET($BH$3,0,0,'Données projet'!$E$11+1,1))-AVERAGE(OFFSET($H$3,0,0,'Données projet'!$E$11+1,1))</f>
        <v>363.29716504383265</v>
      </c>
      <c r="BJ46" s="62">
        <f t="shared" si="38"/>
        <v>223.12394672673923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11.142857142857142</v>
      </c>
      <c r="BY46" s="13">
        <f>IF('Données projet'!$A$114&gt;35,BY45+BX46-CG45,IF(A46&lt;'Données projet'!$A$114,$BV$205^A46,IF(A46='Données projet'!$A$114,'Données projet'!$B$114,BY45+BX46-CG45)))</f>
        <v>218.8571428571428</v>
      </c>
      <c r="BZ46" s="14">
        <f>BY46*VLOOKUP('Données projet'!$B$12,Paramètres!$A$1:$I$89,3,0)*VLOOKUP('Données projet'!$B$12,Paramètres!$A$1:$I$89,5,0)</f>
        <v>170.70857142857139</v>
      </c>
      <c r="CA46" s="14">
        <f t="shared" si="39"/>
        <v>43.248681576985412</v>
      </c>
      <c r="CB46" s="22">
        <f t="shared" si="10"/>
        <v>372.64221565134471</v>
      </c>
      <c r="CC46" s="62">
        <f t="shared" si="11"/>
        <v>665.97554898467797</v>
      </c>
      <c r="CD46" s="62">
        <f ca="1">AVERAGE(OFFSET($CC$3,0,0,'Données projet'!$E$12+1,1))-AVERAGE(OFFSET($H$3,0,0,'Données projet'!$E$12+1,1))</f>
        <v>249.25370091019835</v>
      </c>
      <c r="CE46" s="62">
        <f t="shared" si="40"/>
        <v>245.46410820099908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6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2">
        <f t="shared" si="32"/>
        <v>7.6469855389835546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9">
        <f t="shared" si="1"/>
        <v>311.82696648039632</v>
      </c>
      <c r="I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3.8</v>
      </c>
      <c r="N47" s="14">
        <f>IF('Données projet'!$A$36&gt;35,N46+M47-V46,IF(A47&lt;'Données projet'!$A$36,$K$205^A47,IF(A47='Données projet'!$A$36,'Données projet'!$B$36,N46+M47-V46)))</f>
        <v>194.19999999999996</v>
      </c>
      <c r="O47" s="14">
        <f>N47*VLOOKUP('Données projet'!$B$9,Paramètres!$A$1:$I$89,3,0)*VLOOKUP('Données projet'!$B$9,Paramètres!$A$1:$I$89,5,0)</f>
        <v>175.71215999999995</v>
      </c>
      <c r="P47" s="14">
        <f t="shared" si="33"/>
        <v>44.366886311884528</v>
      </c>
      <c r="Q47" s="22">
        <f t="shared" si="53"/>
        <v>383.30433899319883</v>
      </c>
      <c r="R47" s="62">
        <f t="shared" si="0"/>
        <v>676.63767232653208</v>
      </c>
      <c r="S47" s="62">
        <f ca="1">AVERAGE(OFFSET($R$3,0,0,'Données projet'!$E$9+1,1))-AVERAGE(OFFSET($H$3,0,0,'Données projet'!$E$9+1,1))</f>
        <v>216.22465631364315</v>
      </c>
      <c r="T47" s="62">
        <f t="shared" si="34"/>
        <v>304.27938609150095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149.60000000000005</v>
      </c>
      <c r="AJ47" s="14">
        <f>AI47*VLOOKUP('Données projet'!$B$10,Paramètres!$A$1:$I$89,3,0)*VLOOKUP('Données projet'!$B$10,Paramètres!$A$1:$I$89,5,0)</f>
        <v>135.35808000000006</v>
      </c>
      <c r="AK47" s="14">
        <f t="shared" si="35"/>
        <v>35.231528980112834</v>
      </c>
      <c r="AL47" s="22">
        <f t="shared" si="4"/>
        <v>297.11023564036327</v>
      </c>
      <c r="AM47" s="62">
        <f t="shared" si="5"/>
        <v>590.44356897369653</v>
      </c>
      <c r="AN47" s="62">
        <f ca="1">AVERAGE(OFFSET($AM$3,0,0,'Données projet'!$E$10+1,1))-AVERAGE(OFFSET($H$3,0,0,'Données projet'!$E$10+1,1))</f>
        <v>336.63786714776501</v>
      </c>
      <c r="AO47" s="62">
        <f t="shared" si="36"/>
        <v>208.9883766854885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8.4</v>
      </c>
      <c r="BD47" s="13">
        <f>IF('Données projet'!$A$88&gt;35,BD46+BC47-BL46,IF(A47&lt;'Données projet'!$A$88,$BA$205^A47,IF(A47='Données projet'!$A$88,'Données projet'!$B$88,BD46+BC47-BL46)))</f>
        <v>149.60000000000005</v>
      </c>
      <c r="BE47" s="14">
        <f>BD47*VLOOKUP('Données projet'!$B$11,Paramètres!$A$1:$I$89,3,0)*VLOOKUP('Données projet'!$B$11,Paramètres!$A$1:$I$89,5,0)</f>
        <v>144.69312000000005</v>
      </c>
      <c r="BF47" s="14">
        <f t="shared" si="37"/>
        <v>37.370061524802772</v>
      </c>
      <c r="BG47" s="22">
        <f t="shared" si="7"/>
        <v>317.09337448903153</v>
      </c>
      <c r="BH47" s="62">
        <f t="shared" si="8"/>
        <v>610.42670782236485</v>
      </c>
      <c r="BI47" s="62">
        <f ca="1">AVERAGE(OFFSET($BH$3,0,0,'Données projet'!$E$11+1,1))-AVERAGE(OFFSET($H$3,0,0,'Données projet'!$E$11+1,1))</f>
        <v>363.29716504383265</v>
      </c>
      <c r="BJ47" s="62">
        <f t="shared" si="38"/>
        <v>223.12394672673923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>
        <f>VLOOKUP(A47,'Données projet'!$A$113:$I$133,2,0)</f>
        <v>230</v>
      </c>
      <c r="BW47" s="13">
        <f>VLOOKUP(A47,'Données projet'!$A$113:$I$133,9,0)</f>
        <v>11.142857142857142</v>
      </c>
      <c r="BX47" s="13">
        <f t="array" ref="BX47">INDEX(BW:BW,MIN(IF(ISNUMBER(BW47:BW243),ROW(BW47:BW243),"")))</f>
        <v>11.142857142857142</v>
      </c>
      <c r="BY47" s="13">
        <f>IF('Données projet'!$A$114&gt;35,BY46+BX47-CG46,IF(A47&lt;'Données projet'!$A$114,$BV$205^A47,IF(A47='Données projet'!$A$114,'Données projet'!$B$114,BY46+BX47-CG46)))</f>
        <v>229.99999999999994</v>
      </c>
      <c r="BZ47" s="14">
        <f>BY47*VLOOKUP('Données projet'!$B$12,Paramètres!$A$1:$I$89,3,0)*VLOOKUP('Données projet'!$B$12,Paramètres!$A$1:$I$89,5,0)</f>
        <v>179.39999999999995</v>
      </c>
      <c r="CA47" s="14">
        <f t="shared" si="39"/>
        <v>45.188671291872232</v>
      </c>
      <c r="CB47" s="22">
        <f t="shared" si="10"/>
        <v>391.15860250001066</v>
      </c>
      <c r="CC47" s="62">
        <f t="shared" si="11"/>
        <v>684.49193583334397</v>
      </c>
      <c r="CD47" s="62">
        <f ca="1">AVERAGE(OFFSET($CC$3,0,0,'Données projet'!$E$12+1,1))-AVERAGE(OFFSET($H$3,0,0,'Données projet'!$E$12+1,1))</f>
        <v>249.25370091019835</v>
      </c>
      <c r="CE47" s="62">
        <f t="shared" si="40"/>
        <v>245.46410820099908</v>
      </c>
      <c r="CF47" s="16">
        <f>IF(ISNA(VLOOKUP(A47,'Données projet'!$A$113:$I$133,3,0)),0,VLOOKUP(A47,'Données projet'!$A$113:$I$133,3,0))</f>
        <v>4</v>
      </c>
      <c r="CG47" s="16">
        <f>IF(ISNA(VLOOKUP(A47,'Données projet'!$A$113:$I$133,4,0)),0,VLOOKUP(A47,'Données projet'!$A$113:$I$133,4,0))</f>
        <v>43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6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2">
        <f t="shared" si="32"/>
        <v>7.8003494846849248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9">
        <f t="shared" si="1"/>
        <v>313.04502535249287</v>
      </c>
      <c r="I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198</v>
      </c>
      <c r="L48" s="13">
        <f>VLOOKUP(A48,'Données projet'!$A$35:$I$55,9,0)</f>
        <v>3.8</v>
      </c>
      <c r="M48" s="13">
        <f t="array" ref="M48">INDEX(L:L,MIN(IF(ISNUMBER(L48:L244),ROW(L48:L244),"")))</f>
        <v>3.8</v>
      </c>
      <c r="N48" s="14">
        <f>IF('Données projet'!$A$36&gt;35,N47+M48-V47,IF(A48&lt;'Données projet'!$A$36,$K$205^A48,IF(A48='Données projet'!$A$36,'Données projet'!$B$36,N47+M48-V47)))</f>
        <v>197.99999999999997</v>
      </c>
      <c r="O48" s="14">
        <f>N48*VLOOKUP('Données projet'!$B$9,Paramètres!$A$1:$I$89,3,0)*VLOOKUP('Données projet'!$B$9,Paramètres!$A$1:$I$89,5,0)</f>
        <v>179.15039999999996</v>
      </c>
      <c r="P48" s="14">
        <f t="shared" si="33"/>
        <v>45.133113803437304</v>
      </c>
      <c r="Q48" s="22">
        <f t="shared" si="53"/>
        <v>390.62711987431993</v>
      </c>
      <c r="R48" s="62">
        <f t="shared" si="0"/>
        <v>683.96045320765325</v>
      </c>
      <c r="S48" s="62">
        <f ca="1">AVERAGE(OFFSET($R$3,0,0,'Données projet'!$E$9+1,1))-AVERAGE(OFFSET($H$3,0,0,'Données projet'!$E$9+1,1))</f>
        <v>216.22465631364315</v>
      </c>
      <c r="T48" s="62">
        <f t="shared" si="34"/>
        <v>304.27938609150095</v>
      </c>
      <c r="U48" s="16">
        <f>IF(ISNA(VLOOKUP(A48,'Données projet'!$A$35:$I$55,3,0)),0,VLOOKUP(A48,'Données projet'!$A$35:$I$55,3,0))</f>
        <v>8</v>
      </c>
      <c r="V48" s="16">
        <f>IF(ISNA(VLOOKUP(A48,'Données projet'!$A$35:$I$55,4,0)),0,VLOOKUP(A48,'Données projet'!$A$35:$I$55,4,0))</f>
        <v>198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158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158.00000000000006</v>
      </c>
      <c r="AJ48" s="14">
        <f>AI48*VLOOKUP('Données projet'!$B$10,Paramètres!$A$1:$I$89,3,0)*VLOOKUP('Données projet'!$B$10,Paramètres!$A$1:$I$89,5,0)</f>
        <v>142.95840000000004</v>
      </c>
      <c r="AK48" s="14">
        <f t="shared" si="35"/>
        <v>36.973906370811264</v>
      </c>
      <c r="AL48" s="22">
        <f t="shared" si="4"/>
        <v>313.38210026249641</v>
      </c>
      <c r="AM48" s="62">
        <f t="shared" si="5"/>
        <v>606.71543359582972</v>
      </c>
      <c r="AN48" s="62">
        <f ca="1">AVERAGE(OFFSET($AM$3,0,0,'Données projet'!$E$10+1,1))-AVERAGE(OFFSET($H$3,0,0,'Données projet'!$E$10+1,1))</f>
        <v>336.63786714776501</v>
      </c>
      <c r="AO48" s="62">
        <f t="shared" si="36"/>
        <v>208.9883766854885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158</v>
      </c>
      <c r="BB48" s="13">
        <f>VLOOKUP(A48,'Données projet'!$A$87:$I$107,9,0)</f>
        <v>8.4</v>
      </c>
      <c r="BC48" s="13">
        <f t="array" ref="BC48">INDEX(BB:BB,MIN(IF(ISNUMBER(BB48:BB244),ROW(BB48:BB244),"")))</f>
        <v>8.4</v>
      </c>
      <c r="BD48" s="13">
        <f>IF('Données projet'!$A$88&gt;35,BD47+BC48-BL47,IF(A48&lt;'Données projet'!$A$88,$BA$205^A48,IF(A48='Données projet'!$A$88,'Données projet'!$B$88,BD47+BC48-BL47)))</f>
        <v>158.00000000000006</v>
      </c>
      <c r="BE48" s="14">
        <f>BD48*VLOOKUP('Données projet'!$B$11,Paramètres!$A$1:$I$89,3,0)*VLOOKUP('Données projet'!$B$11,Paramètres!$A$1:$I$89,5,0)</f>
        <v>152.81760000000006</v>
      </c>
      <c r="BF48" s="14">
        <f t="shared" si="37"/>
        <v>39.218200171484227</v>
      </c>
      <c r="BG48" s="22">
        <f t="shared" si="7"/>
        <v>334.46235196533513</v>
      </c>
      <c r="BH48" s="62">
        <f t="shared" si="8"/>
        <v>627.79568529866845</v>
      </c>
      <c r="BI48" s="62">
        <f ca="1">AVERAGE(OFFSET($BH$3,0,0,'Données projet'!$E$11+1,1))-AVERAGE(OFFSET($H$3,0,0,'Données projet'!$E$11+1,1))</f>
        <v>363.29716504383265</v>
      </c>
      <c r="BJ48" s="62">
        <f t="shared" si="38"/>
        <v>223.12394672673923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10.375</v>
      </c>
      <c r="BY48" s="13">
        <f>IF('Données projet'!$A$114&gt;35,BY47+BX48-CG47,IF(A48&lt;'Données projet'!$A$114,$BV$205^A48,IF(A48='Données projet'!$A$114,'Données projet'!$B$114,BY47+BX48-CG47)))</f>
        <v>197.37499999999994</v>
      </c>
      <c r="BZ48" s="14">
        <f>BY48*VLOOKUP('Données projet'!$B$12,Paramètres!$A$1:$I$89,3,0)*VLOOKUP('Données projet'!$B$12,Paramètres!$A$1:$I$89,5,0)</f>
        <v>153.95249999999996</v>
      </c>
      <c r="CA48" s="14">
        <f t="shared" si="39"/>
        <v>39.475441267837397</v>
      </c>
      <c r="CB48" s="22">
        <f t="shared" si="10"/>
        <v>336.88699770815003</v>
      </c>
      <c r="CC48" s="62">
        <f t="shared" si="11"/>
        <v>630.2203310414834</v>
      </c>
      <c r="CD48" s="62">
        <f ca="1">AVERAGE(OFFSET($CC$3,0,0,'Données projet'!$E$12+1,1))-AVERAGE(OFFSET($H$3,0,0,'Données projet'!$E$12+1,1))</f>
        <v>249.25370091019835</v>
      </c>
      <c r="CE48" s="62">
        <f t="shared" si="40"/>
        <v>245.46410820099908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6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2">
        <f t="shared" si="32"/>
        <v>7.9533172071366991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9">
        <f t="shared" si="1"/>
        <v>314.26239413576309</v>
      </c>
      <c r="I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-2.8421709430404007E-14</v>
      </c>
      <c r="O49" s="14">
        <f>N49*VLOOKUP('Données projet'!$B$9,Paramètres!$A$1:$I$89,3,0)*VLOOKUP('Données projet'!$B$9,Paramètres!$A$1:$I$89,5,0)</f>
        <v>-2.5715962692629544E-14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216.22465631364315</v>
      </c>
      <c r="T49" s="62">
        <f t="shared" si="34"/>
        <v>304.27938609150095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8.1999999999999993</v>
      </c>
      <c r="AI49" s="14">
        <f>IF('Données projet'!$A$62&gt;35,AI48+AH49-AQ48,IF(A49&lt;'Données projet'!$A$62,$AF$205^A49,IF(A49='Données projet'!$A$62,'Données projet'!$B$62,AI48+AH49-AQ48)))</f>
        <v>166.20000000000005</v>
      </c>
      <c r="AJ49" s="14">
        <f>AI49*VLOOKUP('Données projet'!$B$10,Paramètres!$A$1:$I$89,3,0)*VLOOKUP('Données projet'!$B$10,Paramètres!$A$1:$I$89,5,0)</f>
        <v>150.37776000000002</v>
      </c>
      <c r="AK49" s="14">
        <f t="shared" si="35"/>
        <v>38.664420365454049</v>
      </c>
      <c r="AL49" s="22">
        <f t="shared" si="4"/>
        <v>329.24846413649914</v>
      </c>
      <c r="AM49" s="62">
        <f t="shared" si="5"/>
        <v>622.58179746983251</v>
      </c>
      <c r="AN49" s="62">
        <f ca="1">AVERAGE(OFFSET($AM$3,0,0,'Données projet'!$E$10+1,1))-AVERAGE(OFFSET($H$3,0,0,'Données projet'!$E$10+1,1))</f>
        <v>336.63786714776501</v>
      </c>
      <c r="AO49" s="62">
        <f t="shared" si="36"/>
        <v>208.9883766854885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8.1999999999999993</v>
      </c>
      <c r="BD49" s="13">
        <f>IF('Données projet'!$A$88&gt;35,BD48+BC49-BL48,IF(A49&lt;'Données projet'!$A$88,$BA$205^A49,IF(A49='Données projet'!$A$88,'Données projet'!$B$88,BD48+BC49-BL48)))</f>
        <v>166.20000000000005</v>
      </c>
      <c r="BE49" s="14">
        <f>BD49*VLOOKUP('Données projet'!$B$11,Paramètres!$A$1:$I$89,3,0)*VLOOKUP('Données projet'!$B$11,Paramètres!$A$1:$I$89,5,0)</f>
        <v>160.74864000000005</v>
      </c>
      <c r="BF49" s="14">
        <f t="shared" si="37"/>
        <v>41.011327345272264</v>
      </c>
      <c r="BG49" s="22">
        <f t="shared" si="7"/>
        <v>351.39860979301596</v>
      </c>
      <c r="BH49" s="62">
        <f t="shared" si="8"/>
        <v>644.73194312634928</v>
      </c>
      <c r="BI49" s="62">
        <f ca="1">AVERAGE(OFFSET($BH$3,0,0,'Données projet'!$E$11+1,1))-AVERAGE(OFFSET($H$3,0,0,'Données projet'!$E$11+1,1))</f>
        <v>363.29716504383265</v>
      </c>
      <c r="BJ49" s="62">
        <f t="shared" si="38"/>
        <v>223.12394672673923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10.375</v>
      </c>
      <c r="BY49" s="13">
        <f>IF('Données projet'!$A$114&gt;35,BY48+BX49-CG48,IF(A49&lt;'Données projet'!$A$114,$BV$205^A49,IF(A49='Données projet'!$A$114,'Données projet'!$B$114,BY48+BX49-CG48)))</f>
        <v>207.74999999999994</v>
      </c>
      <c r="BZ49" s="14">
        <f>BY49*VLOOKUP('Données projet'!$B$12,Paramètres!$A$1:$I$89,3,0)*VLOOKUP('Données projet'!$B$12,Paramètres!$A$1:$I$89,5,0)</f>
        <v>162.04499999999996</v>
      </c>
      <c r="CA49" s="14">
        <f t="shared" si="39"/>
        <v>41.303429372463391</v>
      </c>
      <c r="CB49" s="22">
        <f t="shared" si="10"/>
        <v>354.16518115704031</v>
      </c>
      <c r="CC49" s="62">
        <f t="shared" si="11"/>
        <v>647.49851449037362</v>
      </c>
      <c r="CD49" s="62">
        <f ca="1">AVERAGE(OFFSET($CC$3,0,0,'Données projet'!$E$12+1,1))-AVERAGE(OFFSET($H$3,0,0,'Données projet'!$E$12+1,1))</f>
        <v>249.25370091019835</v>
      </c>
      <c r="CE49" s="62">
        <f t="shared" si="40"/>
        <v>245.46410820099908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6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2">
        <f t="shared" si="32"/>
        <v>8.1058983118768051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9">
        <f t="shared" si="1"/>
        <v>315.47908955985213</v>
      </c>
      <c r="I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-2.8421709430404007E-14</v>
      </c>
      <c r="O50" s="14">
        <f>N50*VLOOKUP('Données projet'!$B$9,Paramètres!$A$1:$I$89,3,0)*VLOOKUP('Données projet'!$B$9,Paramètres!$A$1:$I$89,5,0)</f>
        <v>-2.5715962692629544E-14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216.22465631364315</v>
      </c>
      <c r="T50" s="62">
        <f t="shared" si="34"/>
        <v>304.27938609150095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8.1999999999999993</v>
      </c>
      <c r="AI50" s="14">
        <f>IF('Données projet'!$A$62&gt;35,AI49+AH50-AQ49,IF(A50&lt;'Données projet'!$A$62,$AF$205^A50,IF(A50='Données projet'!$A$62,'Données projet'!$B$62,AI49+AH50-AQ49)))</f>
        <v>174.40000000000003</v>
      </c>
      <c r="AJ50" s="14">
        <f>AI50*VLOOKUP('Données projet'!$B$10,Paramètres!$A$1:$I$89,3,0)*VLOOKUP('Données projet'!$B$10,Paramètres!$A$1:$I$89,5,0)</f>
        <v>157.79712000000004</v>
      </c>
      <c r="AK50" s="14">
        <f t="shared" si="35"/>
        <v>40.345249481546155</v>
      </c>
      <c r="AL50" s="22">
        <f t="shared" si="4"/>
        <v>345.09796018035962</v>
      </c>
      <c r="AM50" s="62">
        <f t="shared" si="5"/>
        <v>638.43129351369294</v>
      </c>
      <c r="AN50" s="62">
        <f ca="1">AVERAGE(OFFSET($AM$3,0,0,'Données projet'!$E$10+1,1))-AVERAGE(OFFSET($H$3,0,0,'Données projet'!$E$10+1,1))</f>
        <v>336.63786714776501</v>
      </c>
      <c r="AO50" s="62">
        <f t="shared" si="36"/>
        <v>208.9883766854885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8.1999999999999993</v>
      </c>
      <c r="BD50" s="13">
        <f>IF('Données projet'!$A$88&gt;35,BD49+BC50-BL49,IF(A50&lt;'Données projet'!$A$88,$BA$205^A50,IF(A50='Données projet'!$A$88,'Données projet'!$B$88,BD49+BC50-BL49)))</f>
        <v>174.40000000000003</v>
      </c>
      <c r="BE50" s="14">
        <f>BD50*VLOOKUP('Données projet'!$B$11,Paramètres!$A$1:$I$89,3,0)*VLOOKUP('Données projet'!$B$11,Paramètres!$A$1:$I$89,5,0)</f>
        <v>168.67968000000002</v>
      </c>
      <c r="BF50" s="14">
        <f t="shared" si="37"/>
        <v>42.794181774227013</v>
      </c>
      <c r="BG50" s="22">
        <f t="shared" si="7"/>
        <v>368.3169759234454</v>
      </c>
      <c r="BH50" s="62">
        <f t="shared" si="8"/>
        <v>661.65030925677866</v>
      </c>
      <c r="BI50" s="62">
        <f ca="1">AVERAGE(OFFSET($BH$3,0,0,'Données projet'!$E$11+1,1))-AVERAGE(OFFSET($H$3,0,0,'Données projet'!$E$11+1,1))</f>
        <v>363.29716504383265</v>
      </c>
      <c r="BJ50" s="62">
        <f t="shared" si="38"/>
        <v>223.12394672673923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10.375</v>
      </c>
      <c r="BY50" s="13">
        <f>IF('Données projet'!$A$114&gt;35,BY49+BX50-CG49,IF(A50&lt;'Données projet'!$A$114,$BV$205^A50,IF(A50='Données projet'!$A$114,'Données projet'!$B$114,BY49+BX50-CG49)))</f>
        <v>218.12499999999994</v>
      </c>
      <c r="BZ50" s="14">
        <f>BY50*VLOOKUP('Données projet'!$B$12,Paramètres!$A$1:$I$89,3,0)*VLOOKUP('Données projet'!$B$12,Paramètres!$A$1:$I$89,5,0)</f>
        <v>170.13749999999996</v>
      </c>
      <c r="CA50" s="14">
        <f t="shared" si="39"/>
        <v>43.120817562072411</v>
      </c>
      <c r="CB50" s="22">
        <f t="shared" si="10"/>
        <v>371.42490308727605</v>
      </c>
      <c r="CC50" s="62">
        <f t="shared" si="11"/>
        <v>664.75823642060936</v>
      </c>
      <c r="CD50" s="62">
        <f ca="1">AVERAGE(OFFSET($CC$3,0,0,'Données projet'!$E$12+1,1))-AVERAGE(OFFSET($H$3,0,0,'Données projet'!$E$12+1,1))</f>
        <v>249.25370091019835</v>
      </c>
      <c r="CE50" s="62">
        <f t="shared" si="40"/>
        <v>245.46410820099908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6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2">
        <f t="shared" si="32"/>
        <v>8.2581019723450915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9">
        <f t="shared" si="1"/>
        <v>316.69512760183437</v>
      </c>
      <c r="I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-2.8421709430404007E-14</v>
      </c>
      <c r="O51" s="14">
        <f>N51*VLOOKUP('Données projet'!$B$9,Paramètres!$A$1:$I$89,3,0)*VLOOKUP('Données projet'!$B$9,Paramètres!$A$1:$I$89,5,0)</f>
        <v>-2.5715962692629544E-14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216.22465631364315</v>
      </c>
      <c r="T51" s="62">
        <f t="shared" si="34"/>
        <v>304.27938609150095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8.1999999999999993</v>
      </c>
      <c r="AI51" s="14">
        <f>IF('Données projet'!$A$62&gt;35,AI50+AH51-AQ50,IF(A51&lt;'Données projet'!$A$62,$AF$205^A51,IF(A51='Données projet'!$A$62,'Données projet'!$B$62,AI50+AH51-AQ50)))</f>
        <v>182.60000000000002</v>
      </c>
      <c r="AJ51" s="14">
        <f>AI51*VLOOKUP('Données projet'!$B$10,Paramètres!$A$1:$I$89,3,0)*VLOOKUP('Données projet'!$B$10,Paramètres!$A$1:$I$89,5,0)</f>
        <v>165.21648000000002</v>
      </c>
      <c r="AK51" s="14">
        <f t="shared" si="35"/>
        <v>42.016901084500397</v>
      </c>
      <c r="AL51" s="22">
        <f t="shared" si="4"/>
        <v>360.93147205550491</v>
      </c>
      <c r="AM51" s="62">
        <f t="shared" si="5"/>
        <v>654.26480538883823</v>
      </c>
      <c r="AN51" s="62">
        <f ca="1">AVERAGE(OFFSET($AM$3,0,0,'Données projet'!$E$10+1,1))-AVERAGE(OFFSET($H$3,0,0,'Données projet'!$E$10+1,1))</f>
        <v>336.63786714776501</v>
      </c>
      <c r="AO51" s="62">
        <f t="shared" si="36"/>
        <v>208.9883766854885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8.1999999999999993</v>
      </c>
      <c r="BD51" s="13">
        <f>IF('Données projet'!$A$88&gt;35,BD50+BC51-BL50,IF(A51&lt;'Données projet'!$A$88,$BA$205^A51,IF(A51='Données projet'!$A$88,'Données projet'!$B$88,BD50+BC51-BL50)))</f>
        <v>182.60000000000002</v>
      </c>
      <c r="BE51" s="14">
        <f>BD51*VLOOKUP('Données projet'!$B$11,Paramètres!$A$1:$I$89,3,0)*VLOOKUP('Données projet'!$B$11,Paramètres!$A$1:$I$89,5,0)</f>
        <v>176.61072000000004</v>
      </c>
      <c r="BF51" s="14">
        <f t="shared" si="37"/>
        <v>44.56730162053563</v>
      </c>
      <c r="BG51" s="22">
        <f t="shared" si="7"/>
        <v>385.21838765576626</v>
      </c>
      <c r="BH51" s="62">
        <f t="shared" si="8"/>
        <v>678.55172098909952</v>
      </c>
      <c r="BI51" s="62">
        <f ca="1">AVERAGE(OFFSET($BH$3,0,0,'Données projet'!$E$11+1,1))-AVERAGE(OFFSET($H$3,0,0,'Données projet'!$E$11+1,1))</f>
        <v>363.29716504383265</v>
      </c>
      <c r="BJ51" s="62">
        <f t="shared" si="38"/>
        <v>223.12394672673923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10.375</v>
      </c>
      <c r="BY51" s="13">
        <f>IF('Données projet'!$A$114&gt;35,BY50+BX51-CG50,IF(A51&lt;'Données projet'!$A$114,$BV$205^A51,IF(A51='Données projet'!$A$114,'Données projet'!$B$114,BY50+BX51-CG50)))</f>
        <v>228.49999999999994</v>
      </c>
      <c r="BZ51" s="14">
        <f>BY51*VLOOKUP('Données projet'!$B$12,Paramètres!$A$1:$I$89,3,0)*VLOOKUP('Données projet'!$B$12,Paramètres!$A$1:$I$89,5,0)</f>
        <v>178.22999999999996</v>
      </c>
      <c r="CA51" s="14">
        <f t="shared" si="39"/>
        <v>44.928167580487852</v>
      </c>
      <c r="CB51" s="22">
        <f t="shared" si="10"/>
        <v>388.66714186934956</v>
      </c>
      <c r="CC51" s="62">
        <f t="shared" si="11"/>
        <v>682.00047520268288</v>
      </c>
      <c r="CD51" s="62">
        <f ca="1">AVERAGE(OFFSET($CC$3,0,0,'Données projet'!$E$12+1,1))-AVERAGE(OFFSET($H$3,0,0,'Données projet'!$E$12+1,1))</f>
        <v>249.25370091019835</v>
      </c>
      <c r="CE51" s="62">
        <f t="shared" si="40"/>
        <v>245.46410820099908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6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2">
        <f t="shared" si="32"/>
        <v>8.4099369579114391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9">
        <f t="shared" si="1"/>
        <v>317.91052353502909</v>
      </c>
      <c r="I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-2.8421709430404007E-14</v>
      </c>
      <c r="O52" s="14">
        <f>N52*VLOOKUP('Données projet'!$B$9,Paramètres!$A$1:$I$89,3,0)*VLOOKUP('Données projet'!$B$9,Paramètres!$A$1:$I$89,5,0)</f>
        <v>-2.5715962692629544E-14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216.22465631364315</v>
      </c>
      <c r="T52" s="62">
        <f t="shared" si="34"/>
        <v>304.27938609150095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8.1999999999999993</v>
      </c>
      <c r="AI52" s="14">
        <f>IF('Données projet'!$A$62&gt;35,AI51+AH52-AQ51,IF(A52&lt;'Données projet'!$A$62,$AF$205^A52,IF(A52='Données projet'!$A$62,'Données projet'!$B$62,AI51+AH52-AQ51)))</f>
        <v>190.8</v>
      </c>
      <c r="AJ52" s="14">
        <f>AI52*VLOOKUP('Données projet'!$B$10,Paramètres!$A$1:$I$89,3,0)*VLOOKUP('Données projet'!$B$10,Paramètres!$A$1:$I$89,5,0)</f>
        <v>172.63584</v>
      </c>
      <c r="AK52" s="14">
        <f t="shared" si="35"/>
        <v>43.679834395222109</v>
      </c>
      <c r="AL52" s="22">
        <f t="shared" si="4"/>
        <v>376.74979957167847</v>
      </c>
      <c r="AM52" s="62">
        <f t="shared" si="5"/>
        <v>670.08313290501178</v>
      </c>
      <c r="AN52" s="62">
        <f ca="1">AVERAGE(OFFSET($AM$3,0,0,'Données projet'!$E$10+1,1))-AVERAGE(OFFSET($H$3,0,0,'Données projet'!$E$10+1,1))</f>
        <v>336.63786714776501</v>
      </c>
      <c r="AO52" s="62">
        <f t="shared" si="36"/>
        <v>208.9883766854885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8.1999999999999993</v>
      </c>
      <c r="BD52" s="13">
        <f>IF('Données projet'!$A$88&gt;35,BD51+BC52-BL51,IF(A52&lt;'Données projet'!$A$88,$BA$205^A52,IF(A52='Données projet'!$A$88,'Données projet'!$B$88,BD51+BC52-BL51)))</f>
        <v>190.8</v>
      </c>
      <c r="BE52" s="14">
        <f>BD52*VLOOKUP('Données projet'!$B$11,Paramètres!$A$1:$I$89,3,0)*VLOOKUP('Données projet'!$B$11,Paramètres!$A$1:$I$89,5,0)</f>
        <v>184.54176000000001</v>
      </c>
      <c r="BF52" s="14">
        <f t="shared" si="37"/>
        <v>46.33117397953523</v>
      </c>
      <c r="BG52" s="22">
        <f t="shared" si="7"/>
        <v>402.10369334769052</v>
      </c>
      <c r="BH52" s="62">
        <f t="shared" si="8"/>
        <v>695.43702668102378</v>
      </c>
      <c r="BI52" s="62">
        <f ca="1">AVERAGE(OFFSET($BH$3,0,0,'Données projet'!$E$11+1,1))-AVERAGE(OFFSET($H$3,0,0,'Données projet'!$E$11+1,1))</f>
        <v>363.29716504383265</v>
      </c>
      <c r="BJ52" s="62">
        <f t="shared" si="38"/>
        <v>223.12394672673923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10.375</v>
      </c>
      <c r="BY52" s="13">
        <f>IF('Données projet'!$A$114&gt;35,BY51+BX52-CG51,IF(A52&lt;'Données projet'!$A$114,$BV$205^A52,IF(A52='Données projet'!$A$114,'Données projet'!$B$114,BY51+BX52-CG51)))</f>
        <v>238.87499999999994</v>
      </c>
      <c r="BZ52" s="14">
        <f>BY52*VLOOKUP('Données projet'!$B$12,Paramètres!$A$1:$I$89,3,0)*VLOOKUP('Données projet'!$B$12,Paramètres!$A$1:$I$89,5,0)</f>
        <v>186.32249999999996</v>
      </c>
      <c r="CA52" s="14">
        <f t="shared" si="39"/>
        <v>46.725987276254116</v>
      </c>
      <c r="CB52" s="22">
        <f t="shared" si="10"/>
        <v>405.89278200614257</v>
      </c>
      <c r="CC52" s="62">
        <f t="shared" si="11"/>
        <v>699.22611533947588</v>
      </c>
      <c r="CD52" s="62">
        <f ca="1">AVERAGE(OFFSET($CC$3,0,0,'Données projet'!$E$12+1,1))-AVERAGE(OFFSET($H$3,0,0,'Données projet'!$E$12+1,1))</f>
        <v>249.25370091019835</v>
      </c>
      <c r="CE52" s="62">
        <f t="shared" si="40"/>
        <v>245.46410820099908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6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2">
        <f t="shared" si="32"/>
        <v>8.5614116595512399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9">
        <f t="shared" si="1"/>
        <v>319.12529197371839</v>
      </c>
      <c r="I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-2.8421709430404007E-14</v>
      </c>
      <c r="O53" s="14">
        <f>N53*VLOOKUP('Données projet'!$B$9,Paramètres!$A$1:$I$89,3,0)*VLOOKUP('Données projet'!$B$9,Paramètres!$A$1:$I$89,5,0)</f>
        <v>-2.5715962692629544E-14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216.22465631364315</v>
      </c>
      <c r="T53" s="62">
        <f t="shared" si="34"/>
        <v>304.27938609150095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199</v>
      </c>
      <c r="AG53" s="13">
        <f>VLOOKUP(A53,'Données projet'!$A$61:$I$81,9,0)</f>
        <v>8.1999999999999993</v>
      </c>
      <c r="AH53" s="13">
        <f t="array" ref="AH53">INDEX(AG:AG,MIN(IF(ISNUMBER(AG53:AG249),ROW(AG53:AG249),"")))</f>
        <v>8.1999999999999993</v>
      </c>
      <c r="AI53" s="14">
        <f>IF('Données projet'!$A$62&gt;35,AI52+AH53-AQ52,IF(A53&lt;'Données projet'!$A$62,$AF$205^A53,IF(A53='Données projet'!$A$62,'Données projet'!$B$62,AI52+AH53-AQ52)))</f>
        <v>199</v>
      </c>
      <c r="AJ53" s="14">
        <f>AI53*VLOOKUP('Données projet'!$B$10,Paramètres!$A$1:$I$89,3,0)*VLOOKUP('Données projet'!$B$10,Paramètres!$A$1:$I$89,5,0)</f>
        <v>180.05519999999999</v>
      </c>
      <c r="AK53" s="14">
        <f t="shared" si="35"/>
        <v>45.334466930398364</v>
      </c>
      <c r="AL53" s="22">
        <f t="shared" si="4"/>
        <v>392.55366990377706</v>
      </c>
      <c r="AM53" s="62">
        <f t="shared" si="5"/>
        <v>685.88700323711032</v>
      </c>
      <c r="AN53" s="62">
        <f ca="1">AVERAGE(OFFSET($AM$3,0,0,'Données projet'!$E$10+1,1))-AVERAGE(OFFSET($H$3,0,0,'Données projet'!$E$10+1,1))</f>
        <v>336.63786714776501</v>
      </c>
      <c r="AO53" s="62">
        <f t="shared" si="36"/>
        <v>208.9883766854885</v>
      </c>
      <c r="AP53" s="16">
        <f>IF(ISNA(VLOOKUP(A53,'Données projet'!$A$61:$I$81,3,0)),0,VLOOKUP(A53,'Données projet'!$A$61:$I$81,3,0))</f>
        <v>3</v>
      </c>
      <c r="AQ53" s="16">
        <f>IF(ISNA(VLOOKUP(A53,'Données projet'!$A$61:$I$81,4,0)),0,VLOOKUP(A53,'Données projet'!$A$61:$I$81,4,0))</f>
        <v>42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199</v>
      </c>
      <c r="BB53" s="13">
        <f>VLOOKUP(A53,'Données projet'!$A$87:$I$107,9,0)</f>
        <v>8.1999999999999993</v>
      </c>
      <c r="BC53" s="13">
        <f t="array" ref="BC53">INDEX(BB:BB,MIN(IF(ISNUMBER(BB53:BB249),ROW(BB53:BB249),"")))</f>
        <v>8.1999999999999993</v>
      </c>
      <c r="BD53" s="13">
        <f>IF('Données projet'!$A$88&gt;35,BD52+BC53-BL52,IF(A53&lt;'Données projet'!$A$88,$BA$205^A53,IF(A53='Données projet'!$A$88,'Données projet'!$B$88,BD52+BC53-BL52)))</f>
        <v>199</v>
      </c>
      <c r="BE53" s="14">
        <f>BD53*VLOOKUP('Données projet'!$B$11,Paramètres!$A$1:$I$89,3,0)*VLOOKUP('Données projet'!$B$11,Paramètres!$A$1:$I$89,5,0)</f>
        <v>192.47280000000001</v>
      </c>
      <c r="BF53" s="14">
        <f t="shared" si="37"/>
        <v>48.086241710923829</v>
      </c>
      <c r="BG53" s="22">
        <f t="shared" si="7"/>
        <v>418.97366431319239</v>
      </c>
      <c r="BH53" s="62">
        <f t="shared" si="8"/>
        <v>712.3069976465257</v>
      </c>
      <c r="BI53" s="62">
        <f ca="1">AVERAGE(OFFSET($BH$3,0,0,'Données projet'!$E$11+1,1))-AVERAGE(OFFSET($H$3,0,0,'Données projet'!$E$11+1,1))</f>
        <v>363.29716504383265</v>
      </c>
      <c r="BJ53" s="62">
        <f t="shared" si="38"/>
        <v>223.12394672673923</v>
      </c>
      <c r="BK53" s="16">
        <f>IF(ISNA(VLOOKUP(A53,'Données projet'!$A$87:$I$107,3,0)),0,VLOOKUP(A53,'Données projet'!$A$87:$I$107,3,0))</f>
        <v>3</v>
      </c>
      <c r="BL53" s="16">
        <f>IF(ISNA(VLOOKUP(A53,'Données projet'!$A$87:$I$107,4,0)),0,VLOOKUP(A53,'Données projet'!$A$87:$I$107,4,0))</f>
        <v>42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10.375</v>
      </c>
      <c r="BY53" s="13">
        <f>IF('Données projet'!$A$114&gt;35,BY52+BX53-CG52,IF(A53&lt;'Données projet'!$A$114,$BV$205^A53,IF(A53='Données projet'!$A$114,'Données projet'!$B$114,BY52+BX53-CG52)))</f>
        <v>249.24999999999994</v>
      </c>
      <c r="BZ53" s="14">
        <f>BY53*VLOOKUP('Données projet'!$B$12,Paramètres!$A$1:$I$89,3,0)*VLOOKUP('Données projet'!$B$12,Paramètres!$A$1:$I$89,5,0)</f>
        <v>194.41499999999996</v>
      </c>
      <c r="CA53" s="14">
        <f t="shared" si="39"/>
        <v>48.514737888684969</v>
      </c>
      <c r="CB53" s="22">
        <f t="shared" si="10"/>
        <v>423.1026268227929</v>
      </c>
      <c r="CC53" s="62">
        <f t="shared" si="11"/>
        <v>716.43596015612616</v>
      </c>
      <c r="CD53" s="62">
        <f ca="1">AVERAGE(OFFSET($CC$3,0,0,'Données projet'!$E$12+1,1))-AVERAGE(OFFSET($H$3,0,0,'Données projet'!$E$12+1,1))</f>
        <v>249.25370091019835</v>
      </c>
      <c r="CE53" s="62">
        <f t="shared" si="40"/>
        <v>245.46410820099908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6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2">
        <f t="shared" si="32"/>
        <v>8.7125341134088217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9">
        <f t="shared" si="1"/>
        <v>320.33944691418702</v>
      </c>
      <c r="I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-2.8421709430404007E-14</v>
      </c>
      <c r="O54" s="14">
        <f>N54*VLOOKUP('Données projet'!$B$9,Paramètres!$A$1:$I$89,3,0)*VLOOKUP('Données projet'!$B$9,Paramètres!$A$1:$I$89,5,0)</f>
        <v>-2.5715962692629544E-14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216.22465631364315</v>
      </c>
      <c r="T54" s="62">
        <f t="shared" si="34"/>
        <v>304.27938609150095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165</v>
      </c>
      <c r="AJ54" s="14">
        <f>AI54*VLOOKUP('Données projet'!$B$10,Paramètres!$A$1:$I$89,3,0)*VLOOKUP('Données projet'!$B$10,Paramètres!$A$1:$I$89,5,0)</f>
        <v>149.29199999999997</v>
      </c>
      <c r="AK54" s="14">
        <f t="shared" si="35"/>
        <v>38.417645803815411</v>
      </c>
      <c r="AL54" s="22">
        <f t="shared" si="4"/>
        <v>326.9276331083118</v>
      </c>
      <c r="AM54" s="62">
        <f t="shared" si="5"/>
        <v>620.26096644164511</v>
      </c>
      <c r="AN54" s="62">
        <f ca="1">AVERAGE(OFFSET($AM$3,0,0,'Données projet'!$E$10+1,1))-AVERAGE(OFFSET($H$3,0,0,'Données projet'!$E$10+1,1))</f>
        <v>336.63786714776501</v>
      </c>
      <c r="AO54" s="62">
        <f t="shared" si="36"/>
        <v>208.9883766854885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8</v>
      </c>
      <c r="BD54" s="13">
        <f>IF('Données projet'!$A$88&gt;35,BD53+BC54-BL53,IF(A54&lt;'Données projet'!$A$88,$BA$205^A54,IF(A54='Données projet'!$A$88,'Données projet'!$B$88,BD53+BC54-BL53)))</f>
        <v>165</v>
      </c>
      <c r="BE54" s="14">
        <f>BD54*VLOOKUP('Données projet'!$B$11,Paramètres!$A$1:$I$89,3,0)*VLOOKUP('Données projet'!$B$11,Paramètres!$A$1:$I$89,5,0)</f>
        <v>159.58799999999999</v>
      </c>
      <c r="BF54" s="14">
        <f t="shared" si="37"/>
        <v>40.74957371668588</v>
      </c>
      <c r="BG54" s="22">
        <f t="shared" si="7"/>
        <v>348.92127422322784</v>
      </c>
      <c r="BH54" s="62">
        <f t="shared" si="8"/>
        <v>642.25460755656115</v>
      </c>
      <c r="BI54" s="62">
        <f ca="1">AVERAGE(OFFSET($BH$3,0,0,'Données projet'!$E$11+1,1))-AVERAGE(OFFSET($H$3,0,0,'Données projet'!$E$11+1,1))</f>
        <v>363.29716504383265</v>
      </c>
      <c r="BJ54" s="62">
        <f t="shared" si="38"/>
        <v>223.12394672673923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10.375</v>
      </c>
      <c r="BY54" s="13">
        <f>IF('Données projet'!$A$114&gt;35,BY53+BX54-CG53,IF(A54&lt;'Données projet'!$A$114,$BV$205^A54,IF(A54='Données projet'!$A$114,'Données projet'!$B$114,BY53+BX54-CG53)))</f>
        <v>259.62499999999994</v>
      </c>
      <c r="BZ54" s="14">
        <f>BY54*VLOOKUP('Données projet'!$B$12,Paramètres!$A$1:$I$89,3,0)*VLOOKUP('Données projet'!$B$12,Paramètres!$A$1:$I$89,5,0)</f>
        <v>202.50749999999996</v>
      </c>
      <c r="CA54" s="14">
        <f t="shared" si="39"/>
        <v>50.294840086606349</v>
      </c>
      <c r="CB54" s="22">
        <f t="shared" si="10"/>
        <v>440.29740898417259</v>
      </c>
      <c r="CC54" s="62">
        <f t="shared" si="11"/>
        <v>733.63074231750591</v>
      </c>
      <c r="CD54" s="62">
        <f ca="1">AVERAGE(OFFSET($CC$3,0,0,'Données projet'!$E$12+1,1))-AVERAGE(OFFSET($H$3,0,0,'Données projet'!$E$12+1,1))</f>
        <v>249.25370091019835</v>
      </c>
      <c r="CE54" s="62">
        <f t="shared" si="40"/>
        <v>245.46410820099908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6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2">
        <f t="shared" si="32"/>
        <v>8.8633120224605459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9">
        <f t="shared" si="1"/>
        <v>321.55300177245209</v>
      </c>
      <c r="I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-2.8421709430404007E-14</v>
      </c>
      <c r="O55" s="14">
        <f>N55*VLOOKUP('Données projet'!$B$9,Paramètres!$A$1:$I$89,3,0)*VLOOKUP('Données projet'!$B$9,Paramètres!$A$1:$I$89,5,0)</f>
        <v>-2.5715962692629544E-14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216.22465631364315</v>
      </c>
      <c r="T55" s="62">
        <f t="shared" si="34"/>
        <v>304.27938609150095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173</v>
      </c>
      <c r="AJ55" s="14">
        <f>AI55*VLOOKUP('Données projet'!$B$10,Paramètres!$A$1:$I$89,3,0)*VLOOKUP('Données projet'!$B$10,Paramètres!$A$1:$I$89,5,0)</f>
        <v>156.53039999999999</v>
      </c>
      <c r="AK55" s="14">
        <f t="shared" si="35"/>
        <v>40.058941713182037</v>
      </c>
      <c r="AL55" s="22">
        <f t="shared" si="4"/>
        <v>342.393103483792</v>
      </c>
      <c r="AM55" s="62">
        <f t="shared" si="5"/>
        <v>635.72643681712532</v>
      </c>
      <c r="AN55" s="62">
        <f ca="1">AVERAGE(OFFSET($AM$3,0,0,'Données projet'!$E$10+1,1))-AVERAGE(OFFSET($H$3,0,0,'Données projet'!$E$10+1,1))</f>
        <v>336.63786714776501</v>
      </c>
      <c r="AO55" s="62">
        <f t="shared" si="36"/>
        <v>208.9883766854885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8</v>
      </c>
      <c r="BD55" s="13">
        <f>IF('Données projet'!$A$88&gt;35,BD54+BC55-BL54,IF(A55&lt;'Données projet'!$A$88,$BA$205^A55,IF(A55='Données projet'!$A$88,'Données projet'!$B$88,BD54+BC55-BL54)))</f>
        <v>173</v>
      </c>
      <c r="BE55" s="14">
        <f>BD55*VLOOKUP('Données projet'!$B$11,Paramètres!$A$1:$I$89,3,0)*VLOOKUP('Données projet'!$B$11,Paramètres!$A$1:$I$89,5,0)</f>
        <v>167.32560000000001</v>
      </c>
      <c r="BF55" s="14">
        <f t="shared" si="37"/>
        <v>42.490495297127609</v>
      </c>
      <c r="BG55" s="22">
        <f t="shared" si="7"/>
        <v>365.42969930916388</v>
      </c>
      <c r="BH55" s="62">
        <f t="shared" si="8"/>
        <v>658.76303264249714</v>
      </c>
      <c r="BI55" s="62">
        <f ca="1">AVERAGE(OFFSET($BH$3,0,0,'Données projet'!$E$11+1,1))-AVERAGE(OFFSET($H$3,0,0,'Données projet'!$E$11+1,1))</f>
        <v>363.29716504383265</v>
      </c>
      <c r="BJ55" s="62">
        <f t="shared" si="38"/>
        <v>223.12394672673923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>
        <f>VLOOKUP(A55,'Données projet'!$A$113:$I$133,2,0)</f>
        <v>270</v>
      </c>
      <c r="BW55" s="13">
        <f>VLOOKUP(A55,'Données projet'!$A$113:$I$133,9,0)</f>
        <v>10.375</v>
      </c>
      <c r="BX55" s="13">
        <f t="array" ref="BX55">INDEX(BW:BW,MIN(IF(ISNUMBER(BW55:BW251),ROW(BW55:BW251),"")))</f>
        <v>10.375</v>
      </c>
      <c r="BY55" s="13">
        <f>IF('Données projet'!$A$114&gt;35,BY54+BX55-CG54,IF(A55&lt;'Données projet'!$A$114,$BV$205^A55,IF(A55='Données projet'!$A$114,'Données projet'!$B$114,BY54+BX55-CG54)))</f>
        <v>269.99999999999994</v>
      </c>
      <c r="BZ55" s="14">
        <f>BY55*VLOOKUP('Données projet'!$B$12,Paramètres!$A$1:$I$89,3,0)*VLOOKUP('Données projet'!$B$12,Paramètres!$A$1:$I$89,5,0)</f>
        <v>210.59999999999997</v>
      </c>
      <c r="CA55" s="14">
        <f t="shared" si="39"/>
        <v>52.066679014659961</v>
      </c>
      <c r="CB55" s="22">
        <f t="shared" si="10"/>
        <v>457.47779928386598</v>
      </c>
      <c r="CC55" s="62">
        <f t="shared" si="11"/>
        <v>750.81113261719929</v>
      </c>
      <c r="CD55" s="62">
        <f ca="1">AVERAGE(OFFSET($CC$3,0,0,'Données projet'!$E$12+1,1))-AVERAGE(OFFSET($H$3,0,0,'Données projet'!$E$12+1,1))</f>
        <v>249.25370091019835</v>
      </c>
      <c r="CE55" s="62">
        <f t="shared" si="40"/>
        <v>245.46410820099908</v>
      </c>
      <c r="CF55" s="16">
        <f>IF(ISNA(VLOOKUP(A55,'Données projet'!$A$113:$I$133,3,0)),0,VLOOKUP(A55,'Données projet'!$A$113:$I$133,3,0))</f>
        <v>5</v>
      </c>
      <c r="CG55" s="16">
        <f>IF(ISNA(VLOOKUP(A55,'Données projet'!$A$113:$I$133,4,0)),0,VLOOKUP(A55,'Données projet'!$A$113:$I$133,4,0))</f>
        <v>48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6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2">
        <f t="shared" si="32"/>
        <v>9.0137527764644076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9">
        <f t="shared" si="1"/>
        <v>322.76596941900885</v>
      </c>
      <c r="I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-2.8421709430404007E-14</v>
      </c>
      <c r="O56" s="14">
        <f>N56*VLOOKUP('Données projet'!$B$9,Paramètres!$A$1:$I$89,3,0)*VLOOKUP('Données projet'!$B$9,Paramètres!$A$1:$I$89,5,0)</f>
        <v>-2.5715962692629544E-14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216.22465631364315</v>
      </c>
      <c r="T56" s="62">
        <f t="shared" si="34"/>
        <v>304.27938609150095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181</v>
      </c>
      <c r="AJ56" s="14">
        <f>AI56*VLOOKUP('Données projet'!$B$10,Paramètres!$A$1:$I$89,3,0)*VLOOKUP('Données projet'!$B$10,Paramètres!$A$1:$I$89,5,0)</f>
        <v>163.7688</v>
      </c>
      <c r="AK56" s="14">
        <f t="shared" si="35"/>
        <v>41.691423503509803</v>
      </c>
      <c r="AL56" s="22">
        <f t="shared" si="4"/>
        <v>357.84322260194625</v>
      </c>
      <c r="AM56" s="62">
        <f t="shared" si="5"/>
        <v>651.17655593527957</v>
      </c>
      <c r="AN56" s="62">
        <f ca="1">AVERAGE(OFFSET($AM$3,0,0,'Données projet'!$E$10+1,1))-AVERAGE(OFFSET($H$3,0,0,'Données projet'!$E$10+1,1))</f>
        <v>336.63786714776501</v>
      </c>
      <c r="AO56" s="62">
        <f t="shared" si="36"/>
        <v>208.9883766854885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8</v>
      </c>
      <c r="BD56" s="13">
        <f>IF('Données projet'!$A$88&gt;35,BD55+BC56-BL55,IF(A56&lt;'Données projet'!$A$88,$BA$205^A56,IF(A56='Données projet'!$A$88,'Données projet'!$B$88,BD55+BC56-BL55)))</f>
        <v>181</v>
      </c>
      <c r="BE56" s="14">
        <f>BD56*VLOOKUP('Données projet'!$B$11,Paramètres!$A$1:$I$89,3,0)*VLOOKUP('Données projet'!$B$11,Paramètres!$A$1:$I$89,5,0)</f>
        <v>175.06319999999999</v>
      </c>
      <c r="BF56" s="14">
        <f t="shared" si="37"/>
        <v>44.22206774682472</v>
      </c>
      <c r="BG56" s="22">
        <f t="shared" si="7"/>
        <v>381.9218413257197</v>
      </c>
      <c r="BH56" s="62">
        <f t="shared" si="8"/>
        <v>675.25517465905295</v>
      </c>
      <c r="BI56" s="62">
        <f ca="1">AVERAGE(OFFSET($BH$3,0,0,'Données projet'!$E$11+1,1))-AVERAGE(OFFSET($H$3,0,0,'Données projet'!$E$11+1,1))</f>
        <v>363.29716504383265</v>
      </c>
      <c r="BJ56" s="62">
        <f t="shared" si="38"/>
        <v>223.12394672673923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9.375</v>
      </c>
      <c r="BY56" s="13">
        <f>IF('Données projet'!$A$114&gt;35,BY55+BX56-CG55,IF(A56&lt;'Données projet'!$A$114,$BV$205^A56,IF(A56='Données projet'!$A$114,'Données projet'!$B$114,BY55+BX56-CG55)))</f>
        <v>231.37499999999994</v>
      </c>
      <c r="BZ56" s="14">
        <f>BY56*VLOOKUP('Données projet'!$B$12,Paramètres!$A$1:$I$89,3,0)*VLOOKUP('Données projet'!$B$12,Paramètres!$A$1:$I$89,5,0)</f>
        <v>180.47249999999997</v>
      </c>
      <c r="CA56" s="14">
        <f t="shared" si="39"/>
        <v>45.427292666837829</v>
      </c>
      <c r="CB56" s="22">
        <f t="shared" si="10"/>
        <v>393.44213889474253</v>
      </c>
      <c r="CC56" s="62">
        <f t="shared" si="11"/>
        <v>686.77547222807584</v>
      </c>
      <c r="CD56" s="62">
        <f ca="1">AVERAGE(OFFSET($CC$3,0,0,'Données projet'!$E$12+1,1))-AVERAGE(OFFSET($H$3,0,0,'Données projet'!$E$12+1,1))</f>
        <v>249.25370091019835</v>
      </c>
      <c r="CE56" s="62">
        <f t="shared" si="40"/>
        <v>245.46410820099908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6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2">
        <f t="shared" si="32"/>
        <v>9.163863470361429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9">
        <f t="shared" si="1"/>
        <v>323.97836221087948</v>
      </c>
      <c r="I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-2.8421709430404007E-14</v>
      </c>
      <c r="O57" s="14">
        <f>N57*VLOOKUP('Données projet'!$B$9,Paramètres!$A$1:$I$89,3,0)*VLOOKUP('Données projet'!$B$9,Paramètres!$A$1:$I$89,5,0)</f>
        <v>-2.5715962692629544E-14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216.22465631364315</v>
      </c>
      <c r="T57" s="62">
        <f t="shared" si="34"/>
        <v>304.27938609150095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189</v>
      </c>
      <c r="AJ57" s="14">
        <f>AI57*VLOOKUP('Données projet'!$B$10,Paramètres!$A$1:$I$89,3,0)*VLOOKUP('Données projet'!$B$10,Paramètres!$A$1:$I$89,5,0)</f>
        <v>171.00719999999998</v>
      </c>
      <c r="AK57" s="14">
        <f t="shared" si="35"/>
        <v>43.315525267338089</v>
      </c>
      <c r="AL57" s="22">
        <f t="shared" si="4"/>
        <v>373.27874650728046</v>
      </c>
      <c r="AM57" s="62">
        <f t="shared" si="5"/>
        <v>666.61207984061377</v>
      </c>
      <c r="AN57" s="62">
        <f ca="1">AVERAGE(OFFSET($AM$3,0,0,'Données projet'!$E$10+1,1))-AVERAGE(OFFSET($H$3,0,0,'Données projet'!$E$10+1,1))</f>
        <v>336.63786714776501</v>
      </c>
      <c r="AO57" s="62">
        <f t="shared" si="36"/>
        <v>208.9883766854885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8</v>
      </c>
      <c r="BD57" s="13">
        <f>IF('Données projet'!$A$88&gt;35,BD56+BC57-BL56,IF(A57&lt;'Données projet'!$A$88,$BA$205^A57,IF(A57='Données projet'!$A$88,'Données projet'!$B$88,BD56+BC57-BL56)))</f>
        <v>189</v>
      </c>
      <c r="BE57" s="14">
        <f>BD57*VLOOKUP('Données projet'!$B$11,Paramètres!$A$1:$I$89,3,0)*VLOOKUP('Données projet'!$B$11,Paramètres!$A$1:$I$89,5,0)</f>
        <v>182.80079999999998</v>
      </c>
      <c r="BF57" s="14">
        <f t="shared" si="37"/>
        <v>45.944751507471658</v>
      </c>
      <c r="BG57" s="22">
        <f t="shared" si="7"/>
        <v>398.39850220884642</v>
      </c>
      <c r="BH57" s="62">
        <f t="shared" si="8"/>
        <v>691.73183554217974</v>
      </c>
      <c r="BI57" s="62">
        <f ca="1">AVERAGE(OFFSET($BH$3,0,0,'Données projet'!$E$11+1,1))-AVERAGE(OFFSET($H$3,0,0,'Données projet'!$E$11+1,1))</f>
        <v>363.29716504383265</v>
      </c>
      <c r="BJ57" s="62">
        <f t="shared" si="38"/>
        <v>223.12394672673923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9.375</v>
      </c>
      <c r="BY57" s="13">
        <f>IF('Données projet'!$A$114&gt;35,BY56+BX57-CG56,IF(A57&lt;'Données projet'!$A$114,$BV$205^A57,IF(A57='Données projet'!$A$114,'Données projet'!$B$114,BY56+BX57-CG56)))</f>
        <v>240.74999999999994</v>
      </c>
      <c r="BZ57" s="14">
        <f>BY57*VLOOKUP('Données projet'!$B$12,Paramètres!$A$1:$I$89,3,0)*VLOOKUP('Données projet'!$B$12,Paramètres!$A$1:$I$89,5,0)</f>
        <v>187.78499999999997</v>
      </c>
      <c r="CA57" s="14">
        <f t="shared" si="39"/>
        <v>47.049914090154054</v>
      </c>
      <c r="CB57" s="22">
        <f t="shared" si="10"/>
        <v>409.00414204035161</v>
      </c>
      <c r="CC57" s="62">
        <f t="shared" si="11"/>
        <v>702.33747537368492</v>
      </c>
      <c r="CD57" s="62">
        <f ca="1">AVERAGE(OFFSET($CC$3,0,0,'Données projet'!$E$12+1,1))-AVERAGE(OFFSET($H$3,0,0,'Données projet'!$E$12+1,1))</f>
        <v>249.25370091019835</v>
      </c>
      <c r="CE57" s="62">
        <f t="shared" si="40"/>
        <v>245.46410820099908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6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2">
        <f t="shared" si="32"/>
        <v>9.3136509212754071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9">
        <f t="shared" si="1"/>
        <v>325.19019202122132</v>
      </c>
      <c r="I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-2.8421709430404007E-14</v>
      </c>
      <c r="O58" s="14">
        <f>N58*VLOOKUP('Données projet'!$B$9,Paramètres!$A$1:$I$89,3,0)*VLOOKUP('Données projet'!$B$9,Paramètres!$A$1:$I$89,5,0)</f>
        <v>-2.5715962692629544E-14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216.22465631364315</v>
      </c>
      <c r="T58" s="62">
        <f t="shared" si="34"/>
        <v>304.27938609150095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197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197</v>
      </c>
      <c r="AJ58" s="14">
        <f>AI58*VLOOKUP('Données projet'!$B$10,Paramètres!$A$1:$I$89,3,0)*VLOOKUP('Données projet'!$B$10,Paramètres!$A$1:$I$89,5,0)</f>
        <v>178.2456</v>
      </c>
      <c r="AK58" s="14">
        <f t="shared" si="35"/>
        <v>44.931642269910427</v>
      </c>
      <c r="AL58" s="22">
        <f t="shared" si="4"/>
        <v>388.70036362009404</v>
      </c>
      <c r="AM58" s="62">
        <f t="shared" si="5"/>
        <v>682.03369695342735</v>
      </c>
      <c r="AN58" s="62">
        <f ca="1">AVERAGE(OFFSET($AM$3,0,0,'Données projet'!$E$10+1,1))-AVERAGE(OFFSET($H$3,0,0,'Données projet'!$E$10+1,1))</f>
        <v>336.63786714776501</v>
      </c>
      <c r="AO58" s="62">
        <f t="shared" si="36"/>
        <v>208.9883766854885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197</v>
      </c>
      <c r="BB58" s="13">
        <f>VLOOKUP(A58,'Données projet'!$A$87:$I$107,9,0)</f>
        <v>8</v>
      </c>
      <c r="BC58" s="13">
        <f t="array" ref="BC58">INDEX(BB:BB,MIN(IF(ISNUMBER(BB58:BB254),ROW(BB58:BB254),"")))</f>
        <v>8</v>
      </c>
      <c r="BD58" s="13">
        <f>IF('Données projet'!$A$88&gt;35,BD57+BC58-BL57,IF(A58&lt;'Données projet'!$A$88,$BA$205^A58,IF(A58='Données projet'!$A$88,'Données projet'!$B$88,BD57+BC58-BL57)))</f>
        <v>197</v>
      </c>
      <c r="BE58" s="14">
        <f>BD58*VLOOKUP('Données projet'!$B$11,Paramètres!$A$1:$I$89,3,0)*VLOOKUP('Données projet'!$B$11,Paramètres!$A$1:$I$89,5,0)</f>
        <v>190.5384</v>
      </c>
      <c r="BF58" s="14">
        <f t="shared" si="37"/>
        <v>47.658965836673829</v>
      </c>
      <c r="BG58" s="22">
        <f t="shared" si="7"/>
        <v>414.86041216554025</v>
      </c>
      <c r="BH58" s="62">
        <f t="shared" si="8"/>
        <v>708.19374549887357</v>
      </c>
      <c r="BI58" s="62">
        <f ca="1">AVERAGE(OFFSET($BH$3,0,0,'Données projet'!$E$11+1,1))-AVERAGE(OFFSET($H$3,0,0,'Données projet'!$E$11+1,1))</f>
        <v>363.29716504383265</v>
      </c>
      <c r="BJ58" s="62">
        <f t="shared" si="38"/>
        <v>223.12394672673923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9.375</v>
      </c>
      <c r="BY58" s="13">
        <f>IF('Données projet'!$A$114&gt;35,BY57+BX58-CG57,IF(A58&lt;'Données projet'!$A$114,$BV$205^A58,IF(A58='Données projet'!$A$114,'Données projet'!$B$114,BY57+BX58-CG57)))</f>
        <v>250.12499999999994</v>
      </c>
      <c r="BZ58" s="14">
        <f>BY58*VLOOKUP('Données projet'!$B$12,Paramètres!$A$1:$I$89,3,0)*VLOOKUP('Données projet'!$B$12,Paramètres!$A$1:$I$89,5,0)</f>
        <v>195.09749999999997</v>
      </c>
      <c r="CA58" s="14">
        <f t="shared" si="39"/>
        <v>48.66519532492584</v>
      </c>
      <c r="CB58" s="22">
        <f t="shared" si="10"/>
        <v>424.55336102424576</v>
      </c>
      <c r="CC58" s="62">
        <f t="shared" si="11"/>
        <v>717.88669435757902</v>
      </c>
      <c r="CD58" s="62">
        <f ca="1">AVERAGE(OFFSET($CC$3,0,0,'Données projet'!$E$12+1,1))-AVERAGE(OFFSET($H$3,0,0,'Données projet'!$E$12+1,1))</f>
        <v>249.25370091019835</v>
      </c>
      <c r="CE58" s="62">
        <f t="shared" si="40"/>
        <v>245.46410820099908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6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2">
        <f t="shared" si="32"/>
        <v>9.4631216842413828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9">
        <f t="shared" si="1"/>
        <v>326.40147026672037</v>
      </c>
      <c r="I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-2.8421709430404007E-14</v>
      </c>
      <c r="O59" s="14">
        <f>N59*VLOOKUP('Données projet'!$B$9,Paramètres!$A$1:$I$89,3,0)*VLOOKUP('Données projet'!$B$9,Paramètres!$A$1:$I$89,5,0)</f>
        <v>-2.5715962692629544E-14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216.22465631364315</v>
      </c>
      <c r="T59" s="62">
        <f t="shared" si="34"/>
        <v>304.27938609150095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7.6</v>
      </c>
      <c r="AI59" s="14">
        <f>IF('Données projet'!$A$62&gt;35,AI58+AH59-AQ58,IF(A59&lt;'Données projet'!$A$62,$AF$205^A59,IF(A59='Données projet'!$A$62,'Données projet'!$B$62,AI58+AH59-AQ58)))</f>
        <v>204.6</v>
      </c>
      <c r="AJ59" s="14">
        <f>AI59*VLOOKUP('Données projet'!$B$10,Paramètres!$A$1:$I$89,3,0)*VLOOKUP('Données projet'!$B$10,Paramètres!$A$1:$I$89,5,0)</f>
        <v>185.12207999999998</v>
      </c>
      <c r="AK59" s="14">
        <f t="shared" si="35"/>
        <v>46.459887003478677</v>
      </c>
      <c r="AL59" s="22">
        <f t="shared" si="4"/>
        <v>403.33859253105862</v>
      </c>
      <c r="AM59" s="62">
        <f t="shared" si="5"/>
        <v>696.67192586439194</v>
      </c>
      <c r="AN59" s="62">
        <f ca="1">AVERAGE(OFFSET($AM$3,0,0,'Données projet'!$E$10+1,1))-AVERAGE(OFFSET($H$3,0,0,'Données projet'!$E$10+1,1))</f>
        <v>336.63786714776501</v>
      </c>
      <c r="AO59" s="62">
        <f t="shared" si="36"/>
        <v>208.9883766854885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7.6</v>
      </c>
      <c r="BD59" s="13">
        <f>IF('Données projet'!$A$88&gt;35,BD58+BC59-BL58,IF(A59&lt;'Données projet'!$A$88,$BA$205^A59,IF(A59='Données projet'!$A$88,'Données projet'!$B$88,BD58+BC59-BL58)))</f>
        <v>204.6</v>
      </c>
      <c r="BE59" s="14">
        <f>BD59*VLOOKUP('Données projet'!$B$11,Paramètres!$A$1:$I$89,3,0)*VLOOKUP('Données projet'!$B$11,Paramètres!$A$1:$I$89,5,0)</f>
        <v>197.88911999999999</v>
      </c>
      <c r="BF59" s="14">
        <f t="shared" si="37"/>
        <v>49.279974103179534</v>
      </c>
      <c r="BG59" s="22">
        <f t="shared" si="7"/>
        <v>430.48617222970438</v>
      </c>
      <c r="BH59" s="62">
        <f t="shared" si="8"/>
        <v>723.81950556303764</v>
      </c>
      <c r="BI59" s="62">
        <f ca="1">AVERAGE(OFFSET($BH$3,0,0,'Données projet'!$E$11+1,1))-AVERAGE(OFFSET($H$3,0,0,'Données projet'!$E$11+1,1))</f>
        <v>363.29716504383265</v>
      </c>
      <c r="BJ59" s="62">
        <f t="shared" si="38"/>
        <v>223.12394672673923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9.375</v>
      </c>
      <c r="BY59" s="13">
        <f>IF('Données projet'!$A$114&gt;35,BY58+BX59-CG58,IF(A59&lt;'Données projet'!$A$114,$BV$205^A59,IF(A59='Données projet'!$A$114,'Données projet'!$B$114,BY58+BX59-CG58)))</f>
        <v>259.49999999999994</v>
      </c>
      <c r="BZ59" s="14">
        <f>BY59*VLOOKUP('Données projet'!$B$12,Paramètres!$A$1:$I$89,3,0)*VLOOKUP('Données projet'!$B$12,Paramètres!$A$1:$I$89,5,0)</f>
        <v>202.40999999999997</v>
      </c>
      <c r="CA59" s="14">
        <f t="shared" si="39"/>
        <v>50.273442991661867</v>
      </c>
      <c r="CB59" s="22">
        <f t="shared" si="10"/>
        <v>440.09032987714431</v>
      </c>
      <c r="CC59" s="62">
        <f t="shared" si="11"/>
        <v>733.42366321047757</v>
      </c>
      <c r="CD59" s="62">
        <f ca="1">AVERAGE(OFFSET($CC$3,0,0,'Données projet'!$E$12+1,1))-AVERAGE(OFFSET($H$3,0,0,'Données projet'!$E$12+1,1))</f>
        <v>249.25370091019835</v>
      </c>
      <c r="CE59" s="62">
        <f t="shared" si="40"/>
        <v>245.46410820099908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6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2">
        <f t="shared" si="32"/>
        <v>9.6122820667787945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9">
        <f t="shared" si="1"/>
        <v>327.61220793297304</v>
      </c>
      <c r="I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-2.8421709430404007E-14</v>
      </c>
      <c r="O60" s="14">
        <f>N60*VLOOKUP('Données projet'!$B$9,Paramètres!$A$1:$I$89,3,0)*VLOOKUP('Données projet'!$B$9,Paramètres!$A$1:$I$89,5,0)</f>
        <v>-2.5715962692629544E-14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216.22465631364315</v>
      </c>
      <c r="T60" s="62">
        <f t="shared" si="34"/>
        <v>304.27938609150095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7.6</v>
      </c>
      <c r="AI60" s="14">
        <f>IF('Données projet'!$A$62&gt;35,AI59+AH60-AQ59,IF(A60&lt;'Données projet'!$A$62,$AF$205^A60,IF(A60='Données projet'!$A$62,'Données projet'!$B$62,AI59+AH60-AQ59)))</f>
        <v>212.2</v>
      </c>
      <c r="AJ60" s="14">
        <f>AI60*VLOOKUP('Données projet'!$B$10,Paramètres!$A$1:$I$89,3,0)*VLOOKUP('Données projet'!$B$10,Paramètres!$A$1:$I$89,5,0)</f>
        <v>191.99855999999997</v>
      </c>
      <c r="AK60" s="14">
        <f t="shared" si="35"/>
        <v>47.981536645873334</v>
      </c>
      <c r="AL60" s="22">
        <f t="shared" si="4"/>
        <v>417.96533499156266</v>
      </c>
      <c r="AM60" s="62">
        <f t="shared" si="5"/>
        <v>711.29866832489597</v>
      </c>
      <c r="AN60" s="62">
        <f ca="1">AVERAGE(OFFSET($AM$3,0,0,'Données projet'!$E$10+1,1))-AVERAGE(OFFSET($H$3,0,0,'Données projet'!$E$10+1,1))</f>
        <v>336.63786714776501</v>
      </c>
      <c r="AO60" s="62">
        <f t="shared" si="36"/>
        <v>208.9883766854885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7.6</v>
      </c>
      <c r="BD60" s="13">
        <f>IF('Données projet'!$A$88&gt;35,BD59+BC60-BL59,IF(A60&lt;'Données projet'!$A$88,$BA$205^A60,IF(A60='Données projet'!$A$88,'Données projet'!$B$88,BD59+BC60-BL59)))</f>
        <v>212.2</v>
      </c>
      <c r="BE60" s="14">
        <f>BD60*VLOOKUP('Données projet'!$B$11,Paramètres!$A$1:$I$89,3,0)*VLOOKUP('Données projet'!$B$11,Paramètres!$A$1:$I$89,5,0)</f>
        <v>205.23983999999999</v>
      </c>
      <c r="BF60" s="14">
        <f t="shared" si="37"/>
        <v>50.893986960458122</v>
      </c>
      <c r="BG60" s="22">
        <f t="shared" si="7"/>
        <v>446.0997486227979</v>
      </c>
      <c r="BH60" s="62">
        <f t="shared" si="8"/>
        <v>739.43308195613122</v>
      </c>
      <c r="BI60" s="62">
        <f ca="1">AVERAGE(OFFSET($BH$3,0,0,'Données projet'!$E$11+1,1))-AVERAGE(OFFSET($H$3,0,0,'Données projet'!$E$11+1,1))</f>
        <v>363.29716504383265</v>
      </c>
      <c r="BJ60" s="62">
        <f t="shared" si="38"/>
        <v>223.12394672673923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9.375</v>
      </c>
      <c r="BY60" s="13">
        <f>IF('Données projet'!$A$114&gt;35,BY59+BX60-CG59,IF(A60&lt;'Données projet'!$A$114,$BV$205^A60,IF(A60='Données projet'!$A$114,'Données projet'!$B$114,BY59+BX60-CG59)))</f>
        <v>268.87499999999994</v>
      </c>
      <c r="BZ60" s="14">
        <f>BY60*VLOOKUP('Données projet'!$B$12,Paramètres!$A$1:$I$89,3,0)*VLOOKUP('Données projet'!$B$12,Paramètres!$A$1:$I$89,5,0)</f>
        <v>209.72249999999997</v>
      </c>
      <c r="CA60" s="14">
        <f t="shared" si="39"/>
        <v>51.874940300502296</v>
      </c>
      <c r="CB60" s="22">
        <f t="shared" si="10"/>
        <v>455.61554185670815</v>
      </c>
      <c r="CC60" s="62">
        <f t="shared" si="11"/>
        <v>748.94887519004146</v>
      </c>
      <c r="CD60" s="62">
        <f ca="1">AVERAGE(OFFSET($CC$3,0,0,'Données projet'!$E$12+1,1))-AVERAGE(OFFSET($H$3,0,0,'Données projet'!$E$12+1,1))</f>
        <v>249.25370091019835</v>
      </c>
      <c r="CE60" s="62">
        <f t="shared" si="40"/>
        <v>245.46410820099908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6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2">
        <f t="shared" si="32"/>
        <v>9.7611381424130617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9">
        <f t="shared" si="1"/>
        <v>328.82241559803606</v>
      </c>
      <c r="I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-2.8421709430404007E-14</v>
      </c>
      <c r="O61" s="14">
        <f>N61*VLOOKUP('Données projet'!$B$9,Paramètres!$A$1:$I$89,3,0)*VLOOKUP('Données projet'!$B$9,Paramètres!$A$1:$I$89,5,0)</f>
        <v>-2.5715962692629544E-14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216.22465631364315</v>
      </c>
      <c r="T61" s="62">
        <f t="shared" si="34"/>
        <v>304.27938609150095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7.6</v>
      </c>
      <c r="AI61" s="14">
        <f>IF('Données projet'!$A$62&gt;35,AI60+AH61-AQ60,IF(A61&lt;'Données projet'!$A$62,$AF$205^A61,IF(A61='Données projet'!$A$62,'Données projet'!$B$62,AI60+AH61-AQ60)))</f>
        <v>219.79999999999998</v>
      </c>
      <c r="AJ61" s="14">
        <f>AI61*VLOOKUP('Données projet'!$B$10,Paramètres!$A$1:$I$89,3,0)*VLOOKUP('Données projet'!$B$10,Paramètres!$A$1:$I$89,5,0)</f>
        <v>198.87503999999998</v>
      </c>
      <c r="AK61" s="14">
        <f t="shared" si="35"/>
        <v>49.496854461868558</v>
      </c>
      <c r="AL61" s="22">
        <f t="shared" si="4"/>
        <v>432.58104952108766</v>
      </c>
      <c r="AM61" s="62">
        <f t="shared" si="5"/>
        <v>725.91438285442098</v>
      </c>
      <c r="AN61" s="62">
        <f ca="1">AVERAGE(OFFSET($AM$3,0,0,'Données projet'!$E$10+1,1))-AVERAGE(OFFSET($H$3,0,0,'Données projet'!$E$10+1,1))</f>
        <v>336.63786714776501</v>
      </c>
      <c r="AO61" s="62">
        <f t="shared" si="36"/>
        <v>208.9883766854885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7.6</v>
      </c>
      <c r="BD61" s="13">
        <f>IF('Données projet'!$A$88&gt;35,BD60+BC61-BL60,IF(A61&lt;'Données projet'!$A$88,$BA$205^A61,IF(A61='Données projet'!$A$88,'Données projet'!$B$88,BD60+BC61-BL60)))</f>
        <v>219.79999999999998</v>
      </c>
      <c r="BE61" s="14">
        <f>BD61*VLOOKUP('Données projet'!$B$11,Paramètres!$A$1:$I$89,3,0)*VLOOKUP('Données projet'!$B$11,Paramètres!$A$1:$I$89,5,0)</f>
        <v>212.59055999999998</v>
      </c>
      <c r="BF61" s="14">
        <f t="shared" si="37"/>
        <v>52.501283653296404</v>
      </c>
      <c r="BG61" s="22">
        <f t="shared" si="7"/>
        <v>461.70162769615786</v>
      </c>
      <c r="BH61" s="62">
        <f t="shared" si="8"/>
        <v>755.03496102949111</v>
      </c>
      <c r="BI61" s="62">
        <f ca="1">AVERAGE(OFFSET($BH$3,0,0,'Données projet'!$E$11+1,1))-AVERAGE(OFFSET($H$3,0,0,'Données projet'!$E$11+1,1))</f>
        <v>363.29716504383265</v>
      </c>
      <c r="BJ61" s="62">
        <f t="shared" si="38"/>
        <v>223.12394672673923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9.375</v>
      </c>
      <c r="BY61" s="13">
        <f>IF('Données projet'!$A$114&gt;35,BY60+BX61-CG60,IF(A61&lt;'Données projet'!$A$114,$BV$205^A61,IF(A61='Données projet'!$A$114,'Données projet'!$B$114,BY60+BX61-CG60)))</f>
        <v>278.24999999999994</v>
      </c>
      <c r="BZ61" s="14">
        <f>BY61*VLOOKUP('Données projet'!$B$12,Paramètres!$A$1:$I$89,3,0)*VLOOKUP('Données projet'!$B$12,Paramètres!$A$1:$I$89,5,0)</f>
        <v>217.03499999999997</v>
      </c>
      <c r="CA61" s="14">
        <f t="shared" si="39"/>
        <v>53.469949591969474</v>
      </c>
      <c r="CB61" s="22">
        <f t="shared" si="10"/>
        <v>471.12945387268002</v>
      </c>
      <c r="CC61" s="62">
        <f t="shared" si="11"/>
        <v>764.46278720601333</v>
      </c>
      <c r="CD61" s="62">
        <f ca="1">AVERAGE(OFFSET($CC$3,0,0,'Données projet'!$E$12+1,1))-AVERAGE(OFFSET($H$3,0,0,'Données projet'!$E$12+1,1))</f>
        <v>249.25370091019835</v>
      </c>
      <c r="CE61" s="62">
        <f t="shared" si="40"/>
        <v>245.46410820099908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6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2">
        <f t="shared" si="32"/>
        <v>9.9096957632381564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9">
        <f t="shared" si="1"/>
        <v>330.03210345430642</v>
      </c>
      <c r="I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-2.8421709430404007E-14</v>
      </c>
      <c r="O62" s="14">
        <f>N62*VLOOKUP('Données projet'!$B$9,Paramètres!$A$1:$I$89,3,0)*VLOOKUP('Données projet'!$B$9,Paramètres!$A$1:$I$89,5,0)</f>
        <v>-2.5715962692629544E-14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216.22465631364315</v>
      </c>
      <c r="T62" s="62">
        <f t="shared" si="34"/>
        <v>304.27938609150095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7.6</v>
      </c>
      <c r="AI62" s="14">
        <f>IF('Données projet'!$A$62&gt;35,AI61+AH62-AQ61,IF(A62&lt;'Données projet'!$A$62,$AF$205^A62,IF(A62='Données projet'!$A$62,'Données projet'!$B$62,AI61+AH62-AQ61)))</f>
        <v>227.39999999999998</v>
      </c>
      <c r="AJ62" s="14">
        <f>AI62*VLOOKUP('Données projet'!$B$10,Paramètres!$A$1:$I$89,3,0)*VLOOKUP('Données projet'!$B$10,Paramètres!$A$1:$I$89,5,0)</f>
        <v>205.75151999999994</v>
      </c>
      <c r="AK62" s="14">
        <f t="shared" si="35"/>
        <v>51.006084477955554</v>
      </c>
      <c r="AL62" s="22">
        <f t="shared" si="4"/>
        <v>447.18616113243911</v>
      </c>
      <c r="AM62" s="62">
        <f t="shared" si="5"/>
        <v>740.51949446577237</v>
      </c>
      <c r="AN62" s="62">
        <f ca="1">AVERAGE(OFFSET($AM$3,0,0,'Données projet'!$E$10+1,1))-AVERAGE(OFFSET($H$3,0,0,'Données projet'!$E$10+1,1))</f>
        <v>336.63786714776501</v>
      </c>
      <c r="AO62" s="62">
        <f t="shared" si="36"/>
        <v>208.9883766854885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7.6</v>
      </c>
      <c r="BD62" s="13">
        <f>IF('Données projet'!$A$88&gt;35,BD61+BC62-BL61,IF(A62&lt;'Données projet'!$A$88,$BA$205^A62,IF(A62='Données projet'!$A$88,'Données projet'!$B$88,BD61+BC62-BL61)))</f>
        <v>227.39999999999998</v>
      </c>
      <c r="BE62" s="14">
        <f>BD62*VLOOKUP('Données projet'!$B$11,Paramètres!$A$1:$I$89,3,0)*VLOOKUP('Données projet'!$B$11,Paramètres!$A$1:$I$89,5,0)</f>
        <v>219.94127999999995</v>
      </c>
      <c r="BF62" s="14">
        <f t="shared" si="37"/>
        <v>54.102123020446285</v>
      </c>
      <c r="BG62" s="22">
        <f t="shared" si="7"/>
        <v>477.29226026061059</v>
      </c>
      <c r="BH62" s="62">
        <f t="shared" si="8"/>
        <v>770.6255935939439</v>
      </c>
      <c r="BI62" s="62">
        <f ca="1">AVERAGE(OFFSET($BH$3,0,0,'Données projet'!$E$11+1,1))-AVERAGE(OFFSET($H$3,0,0,'Données projet'!$E$11+1,1))</f>
        <v>363.29716504383265</v>
      </c>
      <c r="BJ62" s="62">
        <f t="shared" si="38"/>
        <v>223.12394672673923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9.375</v>
      </c>
      <c r="BY62" s="13">
        <f>IF('Données projet'!$A$114&gt;35,BY61+BX62-CG61,IF(A62&lt;'Données projet'!$A$114,$BV$205^A62,IF(A62='Données projet'!$A$114,'Données projet'!$B$114,BY61+BX62-CG61)))</f>
        <v>287.62499999999994</v>
      </c>
      <c r="BZ62" s="14">
        <f>BY62*VLOOKUP('Données projet'!$B$12,Paramètres!$A$1:$I$89,3,0)*VLOOKUP('Données projet'!$B$12,Paramètres!$A$1:$I$89,5,0)</f>
        <v>224.34749999999997</v>
      </c>
      <c r="CA62" s="14">
        <f t="shared" si="39"/>
        <v>55.058714525680479</v>
      </c>
      <c r="CB62" s="22">
        <f t="shared" si="10"/>
        <v>486.63249029889352</v>
      </c>
      <c r="CC62" s="62">
        <f t="shared" si="11"/>
        <v>779.96582363222683</v>
      </c>
      <c r="CD62" s="62">
        <f ca="1">AVERAGE(OFFSET($CC$3,0,0,'Données projet'!$E$12+1,1))-AVERAGE(OFFSET($H$3,0,0,'Données projet'!$E$12+1,1))</f>
        <v>249.25370091019835</v>
      </c>
      <c r="CE62" s="62">
        <f t="shared" si="40"/>
        <v>245.46410820099908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6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2">
        <f t="shared" si="32"/>
        <v>10.05796057160342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9">
        <f t="shared" si="1"/>
        <v>331.24128132887591</v>
      </c>
      <c r="I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-2.8421709430404007E-14</v>
      </c>
      <c r="O63" s="14">
        <f>N63*VLOOKUP('Données projet'!$B$9,Paramètres!$A$1:$I$89,3,0)*VLOOKUP('Données projet'!$B$9,Paramètres!$A$1:$I$89,5,0)</f>
        <v>-2.5715962692629544E-14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216.22465631364315</v>
      </c>
      <c r="T63" s="62">
        <f t="shared" si="34"/>
        <v>304.27938609150095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235</v>
      </c>
      <c r="AG63" s="13">
        <f>VLOOKUP(A63,'Données projet'!$A$61:$I$81,9,0)</f>
        <v>7.6</v>
      </c>
      <c r="AH63" s="13">
        <f t="array" ref="AH63">INDEX(AG:AG,MIN(IF(ISNUMBER(AG63:AG259),ROW(AG63:AG259),"")))</f>
        <v>7.6</v>
      </c>
      <c r="AI63" s="14">
        <f>IF('Données projet'!$A$62&gt;35,AI62+AH63-AQ62,IF(A63&lt;'Données projet'!$A$62,$AF$205^A63,IF(A63='Données projet'!$A$62,'Données projet'!$B$62,AI62+AH63-AQ62)))</f>
        <v>234.99999999999997</v>
      </c>
      <c r="AJ63" s="14">
        <f>AI63*VLOOKUP('Données projet'!$B$10,Paramètres!$A$1:$I$89,3,0)*VLOOKUP('Données projet'!$B$10,Paramètres!$A$1:$I$89,5,0)</f>
        <v>212.62799999999999</v>
      </c>
      <c r="AK63" s="14">
        <f t="shared" si="35"/>
        <v>52.509453483719035</v>
      </c>
      <c r="AL63" s="22">
        <f t="shared" si="4"/>
        <v>461.78106481747727</v>
      </c>
      <c r="AM63" s="62">
        <f t="shared" si="5"/>
        <v>755.11439815081053</v>
      </c>
      <c r="AN63" s="62">
        <f ca="1">AVERAGE(OFFSET($AM$3,0,0,'Données projet'!$E$10+1,1))-AVERAGE(OFFSET($H$3,0,0,'Données projet'!$E$10+1,1))</f>
        <v>336.63786714776501</v>
      </c>
      <c r="AO63" s="62">
        <f t="shared" si="36"/>
        <v>208.9883766854885</v>
      </c>
      <c r="AP63" s="16">
        <f>IF(ISNA(VLOOKUP(A63,'Données projet'!$A$61:$I$81,3,0)),0,VLOOKUP(A63,'Données projet'!$A$61:$I$81,3,0))</f>
        <v>4</v>
      </c>
      <c r="AQ63" s="16">
        <f>IF(ISNA(VLOOKUP(A63,'Données projet'!$A$61:$I$81,4,0)),0,VLOOKUP(A63,'Données projet'!$A$61:$I$81,4,0))</f>
        <v>42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235</v>
      </c>
      <c r="BB63" s="13">
        <f>VLOOKUP(A63,'Données projet'!$A$87:$I$107,9,0)</f>
        <v>7.6</v>
      </c>
      <c r="BC63" s="13">
        <f t="array" ref="BC63">INDEX(BB:BB,MIN(IF(ISNUMBER(BB63:BB259),ROW(BB63:BB259),"")))</f>
        <v>7.6</v>
      </c>
      <c r="BD63" s="13">
        <f>IF('Données projet'!$A$88&gt;35,BD62+BC63-BL62,IF(A63&lt;'Données projet'!$A$88,$BA$205^A63,IF(A63='Données projet'!$A$88,'Données projet'!$B$88,BD62+BC63-BL62)))</f>
        <v>234.99999999999997</v>
      </c>
      <c r="BE63" s="14">
        <f>BD63*VLOOKUP('Données projet'!$B$11,Paramètres!$A$1:$I$89,3,0)*VLOOKUP('Données projet'!$B$11,Paramètres!$A$1:$I$89,5,0)</f>
        <v>227.292</v>
      </c>
      <c r="BF63" s="14">
        <f t="shared" si="37"/>
        <v>55.6967456174837</v>
      </c>
      <c r="BG63" s="22">
        <f t="shared" si="7"/>
        <v>492.87206528378402</v>
      </c>
      <c r="BH63" s="62">
        <f t="shared" si="8"/>
        <v>786.20539861711734</v>
      </c>
      <c r="BI63" s="62">
        <f ca="1">AVERAGE(OFFSET($BH$3,0,0,'Données projet'!$E$11+1,1))-AVERAGE(OFFSET($H$3,0,0,'Données projet'!$E$11+1,1))</f>
        <v>363.29716504383265</v>
      </c>
      <c r="BJ63" s="62">
        <f t="shared" si="38"/>
        <v>223.12394672673923</v>
      </c>
      <c r="BK63" s="16">
        <f>IF(ISNA(VLOOKUP(A63,'Données projet'!$A$87:$I$107,3,0)),0,VLOOKUP(A63,'Données projet'!$A$87:$I$107,3,0))</f>
        <v>4</v>
      </c>
      <c r="BL63" s="16">
        <f>IF(ISNA(VLOOKUP(A63,'Données projet'!$A$87:$I$107,4,0)),0,VLOOKUP(A63,'Données projet'!$A$87:$I$107,4,0))</f>
        <v>42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297</v>
      </c>
      <c r="BW63" s="13">
        <f>VLOOKUP(A63,'Données projet'!$A$113:$I$133,9,0)</f>
        <v>9.375</v>
      </c>
      <c r="BX63" s="13">
        <f t="array" ref="BX63">INDEX(BW:BW,MIN(IF(ISNUMBER(BW63:BW259),ROW(BW63:BW259),"")))</f>
        <v>9.375</v>
      </c>
      <c r="BY63" s="13">
        <f>IF('Données projet'!$A$114&gt;35,BY62+BX63-CG62,IF(A63&lt;'Données projet'!$A$114,$BV$205^A63,IF(A63='Données projet'!$A$114,'Données projet'!$B$114,BY62+BX63-CG62)))</f>
        <v>296.99999999999994</v>
      </c>
      <c r="BZ63" s="14">
        <f>BY63*VLOOKUP('Données projet'!$B$12,Paramètres!$A$1:$I$89,3,0)*VLOOKUP('Données projet'!$B$12,Paramètres!$A$1:$I$89,5,0)</f>
        <v>231.65999999999997</v>
      </c>
      <c r="CA63" s="14">
        <f t="shared" si="39"/>
        <v>56.641461975682766</v>
      </c>
      <c r="CB63" s="22">
        <f t="shared" si="10"/>
        <v>502.12504627431412</v>
      </c>
      <c r="CC63" s="62">
        <f t="shared" si="11"/>
        <v>795.45837960764743</v>
      </c>
      <c r="CD63" s="62">
        <f ca="1">AVERAGE(OFFSET($CC$3,0,0,'Données projet'!$E$12+1,1))-AVERAGE(OFFSET($H$3,0,0,'Données projet'!$E$12+1,1))</f>
        <v>249.25370091019835</v>
      </c>
      <c r="CE63" s="62">
        <f t="shared" si="40"/>
        <v>245.46410820099908</v>
      </c>
      <c r="CF63" s="16">
        <f>IF(ISNA(VLOOKUP(A63,'Données projet'!$A$113:$I$133,3,0)),0,VLOOKUP(A63,'Données projet'!$A$113:$I$133,3,0))</f>
        <v>6</v>
      </c>
      <c r="CG63" s="16">
        <f>IF(ISNA(VLOOKUP(A63,'Données projet'!$A$113:$I$133,4,0)),0,VLOOKUP(A63,'Données projet'!$A$113:$I$133,4,0))</f>
        <v>47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6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2">
        <f t="shared" si="32"/>
        <v>10.205938010999123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9">
        <f t="shared" si="1"/>
        <v>332.44995870249011</v>
      </c>
      <c r="I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-2.8421709430404007E-14</v>
      </c>
      <c r="O64" s="14">
        <f>N64*VLOOKUP('Données projet'!$B$9,Paramètres!$A$1:$I$89,3,0)*VLOOKUP('Données projet'!$B$9,Paramètres!$A$1:$I$89,5,0)</f>
        <v>-2.5715962692629544E-14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216.22465631364315</v>
      </c>
      <c r="T64" s="62">
        <f t="shared" si="34"/>
        <v>304.27938609150095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200.19999999999996</v>
      </c>
      <c r="AJ64" s="14">
        <f>AI64*VLOOKUP('Données projet'!$B$10,Paramètres!$A$1:$I$89,3,0)*VLOOKUP('Données projet'!$B$10,Paramètres!$A$1:$I$89,5,0)</f>
        <v>181.14095999999995</v>
      </c>
      <c r="AK64" s="14">
        <f t="shared" si="35"/>
        <v>45.575935320610945</v>
      </c>
      <c r="AL64" s="22">
        <f t="shared" si="4"/>
        <v>394.86525935006392</v>
      </c>
      <c r="AM64" s="62">
        <f t="shared" si="5"/>
        <v>688.19859268339724</v>
      </c>
      <c r="AN64" s="62">
        <f ca="1">AVERAGE(OFFSET($AM$3,0,0,'Données projet'!$E$10+1,1))-AVERAGE(OFFSET($H$3,0,0,'Données projet'!$E$10+1,1))</f>
        <v>336.63786714776501</v>
      </c>
      <c r="AO64" s="62">
        <f t="shared" si="36"/>
        <v>208.9883766854885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7.2</v>
      </c>
      <c r="BD64" s="13">
        <f>IF('Données projet'!$A$88&gt;35,BD63+BC64-BL63,IF(A64&lt;'Données projet'!$A$88,$BA$205^A64,IF(A64='Données projet'!$A$88,'Données projet'!$B$88,BD63+BC64-BL63)))</f>
        <v>200.19999999999996</v>
      </c>
      <c r="BE64" s="14">
        <f>BD64*VLOOKUP('Données projet'!$B$11,Paramètres!$A$1:$I$89,3,0)*VLOOKUP('Données projet'!$B$11,Paramètres!$A$1:$I$89,5,0)</f>
        <v>193.63343999999998</v>
      </c>
      <c r="BF64" s="14">
        <f t="shared" si="37"/>
        <v>48.342367086681229</v>
      </c>
      <c r="BG64" s="22">
        <f t="shared" si="7"/>
        <v>421.44119734263637</v>
      </c>
      <c r="BH64" s="62">
        <f t="shared" si="8"/>
        <v>714.77453067596969</v>
      </c>
      <c r="BI64" s="62">
        <f ca="1">AVERAGE(OFFSET($BH$3,0,0,'Données projet'!$E$11+1,1))-AVERAGE(OFFSET($H$3,0,0,'Données projet'!$E$11+1,1))</f>
        <v>363.29716504383265</v>
      </c>
      <c r="BJ64" s="62">
        <f t="shared" si="38"/>
        <v>223.12394672673923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8.6666666666666661</v>
      </c>
      <c r="BY64" s="13">
        <f>IF('Données projet'!$A$114&gt;35,BY63+BX64-CG63,IF(A64&lt;'Données projet'!$A$114,$BV$205^A64,IF(A64='Données projet'!$A$114,'Données projet'!$B$114,BY63+BX64-CG63)))</f>
        <v>258.66666666666663</v>
      </c>
      <c r="BZ64" s="14">
        <f>BY64*VLOOKUP('Données projet'!$B$12,Paramètres!$A$1:$I$89,3,0)*VLOOKUP('Données projet'!$B$12,Paramètres!$A$1:$I$89,5,0)</f>
        <v>201.76</v>
      </c>
      <c r="CA64" s="14">
        <f t="shared" si="39"/>
        <v>50.130765000424212</v>
      </c>
      <c r="CB64" s="22">
        <f t="shared" si="10"/>
        <v>438.70974904240546</v>
      </c>
      <c r="CC64" s="62">
        <f t="shared" si="11"/>
        <v>732.04308237573878</v>
      </c>
      <c r="CD64" s="62">
        <f ca="1">AVERAGE(OFFSET($CC$3,0,0,'Données projet'!$E$12+1,1))-AVERAGE(OFFSET($H$3,0,0,'Données projet'!$E$12+1,1))</f>
        <v>249.25370091019835</v>
      </c>
      <c r="CE64" s="62">
        <f t="shared" si="40"/>
        <v>245.46410820099908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6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2">
        <f t="shared" si="32"/>
        <v>10.353633336208009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9">
        <f t="shared" si="1"/>
        <v>333.65814472722889</v>
      </c>
      <c r="I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-2.8421709430404007E-14</v>
      </c>
      <c r="O65" s="14">
        <f>N65*VLOOKUP('Données projet'!$B$9,Paramètres!$A$1:$I$89,3,0)*VLOOKUP('Données projet'!$B$9,Paramètres!$A$1:$I$89,5,0)</f>
        <v>-2.5715962692629544E-14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216.22465631364315</v>
      </c>
      <c r="T65" s="62">
        <f t="shared" si="34"/>
        <v>304.27938609150095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207.39999999999995</v>
      </c>
      <c r="AJ65" s="14">
        <f>AI65*VLOOKUP('Données projet'!$B$10,Paramètres!$A$1:$I$89,3,0)*VLOOKUP('Données projet'!$B$10,Paramètres!$A$1:$I$89,5,0)</f>
        <v>187.65551999999994</v>
      </c>
      <c r="AK65" s="14">
        <f t="shared" si="35"/>
        <v>47.021247649900147</v>
      </c>
      <c r="AL65" s="22">
        <f t="shared" si="4"/>
        <v>408.72870365690932</v>
      </c>
      <c r="AM65" s="62">
        <f t="shared" si="5"/>
        <v>702.06203699024263</v>
      </c>
      <c r="AN65" s="62">
        <f ca="1">AVERAGE(OFFSET($AM$3,0,0,'Données projet'!$E$10+1,1))-AVERAGE(OFFSET($H$3,0,0,'Données projet'!$E$10+1,1))</f>
        <v>336.63786714776501</v>
      </c>
      <c r="AO65" s="62">
        <f t="shared" si="36"/>
        <v>208.9883766854885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7.2</v>
      </c>
      <c r="BD65" s="13">
        <f>IF('Données projet'!$A$88&gt;35,BD64+BC65-BL64,IF(A65&lt;'Données projet'!$A$88,$BA$205^A65,IF(A65='Données projet'!$A$88,'Données projet'!$B$88,BD64+BC65-BL64)))</f>
        <v>207.39999999999995</v>
      </c>
      <c r="BE65" s="14">
        <f>BD65*VLOOKUP('Données projet'!$B$11,Paramètres!$A$1:$I$89,3,0)*VLOOKUP('Données projet'!$B$11,Paramètres!$A$1:$I$89,5,0)</f>
        <v>200.59727999999996</v>
      </c>
      <c r="BF65" s="14">
        <f t="shared" si="37"/>
        <v>49.875409002022977</v>
      </c>
      <c r="BG65" s="22">
        <f t="shared" si="7"/>
        <v>436.23993334518991</v>
      </c>
      <c r="BH65" s="62">
        <f t="shared" si="8"/>
        <v>729.57326667852317</v>
      </c>
      <c r="BI65" s="62">
        <f ca="1">AVERAGE(OFFSET($BH$3,0,0,'Données projet'!$E$11+1,1))-AVERAGE(OFFSET($H$3,0,0,'Données projet'!$E$11+1,1))</f>
        <v>363.29716504383265</v>
      </c>
      <c r="BJ65" s="62">
        <f t="shared" si="38"/>
        <v>223.12394672673923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8.6666666666666661</v>
      </c>
      <c r="BY65" s="13">
        <f>IF('Données projet'!$A$114&gt;35,BY64+BX65-CG64,IF(A65&lt;'Données projet'!$A$114,$BV$205^A65,IF(A65='Données projet'!$A$114,'Données projet'!$B$114,BY64+BX65-CG64)))</f>
        <v>267.33333333333331</v>
      </c>
      <c r="BZ65" s="14">
        <f>BY65*VLOOKUP('Données projet'!$B$12,Paramètres!$A$1:$I$89,3,0)*VLOOKUP('Données projet'!$B$12,Paramètres!$A$1:$I$89,5,0)</f>
        <v>208.51999999999998</v>
      </c>
      <c r="CA65" s="14">
        <f t="shared" si="39"/>
        <v>51.612035456318509</v>
      </c>
      <c r="CB65" s="22">
        <f t="shared" si="10"/>
        <v>453.06329508642131</v>
      </c>
      <c r="CC65" s="62">
        <f t="shared" si="11"/>
        <v>746.39662841975462</v>
      </c>
      <c r="CD65" s="62">
        <f ca="1">AVERAGE(OFFSET($CC$3,0,0,'Données projet'!$E$12+1,1))-AVERAGE(OFFSET($H$3,0,0,'Données projet'!$E$12+1,1))</f>
        <v>249.25370091019835</v>
      </c>
      <c r="CE65" s="62">
        <f t="shared" si="40"/>
        <v>245.46410820099908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6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2">
        <f t="shared" si="32"/>
        <v>10.501051622783336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9">
        <f t="shared" si="1"/>
        <v>334.86584824301428</v>
      </c>
      <c r="I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-2.8421709430404007E-14</v>
      </c>
      <c r="O66" s="14">
        <f>N66*VLOOKUP('Données projet'!$B$9,Paramètres!$A$1:$I$89,3,0)*VLOOKUP('Données projet'!$B$9,Paramètres!$A$1:$I$89,5,0)</f>
        <v>-2.5715962692629544E-14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216.22465631364315</v>
      </c>
      <c r="T66" s="62">
        <f t="shared" si="34"/>
        <v>304.27938609150095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214.59999999999994</v>
      </c>
      <c r="AJ66" s="14">
        <f>AI66*VLOOKUP('Données projet'!$B$10,Paramètres!$A$1:$I$89,3,0)*VLOOKUP('Données projet'!$B$10,Paramètres!$A$1:$I$89,5,0)</f>
        <v>194.17007999999996</v>
      </c>
      <c r="AK66" s="14">
        <f t="shared" si="35"/>
        <v>48.460730182351035</v>
      </c>
      <c r="AL66" s="22">
        <f t="shared" si="4"/>
        <v>422.5819944009279</v>
      </c>
      <c r="AM66" s="62">
        <f t="shared" si="5"/>
        <v>715.91532773426115</v>
      </c>
      <c r="AN66" s="62">
        <f ca="1">AVERAGE(OFFSET($AM$3,0,0,'Données projet'!$E$10+1,1))-AVERAGE(OFFSET($H$3,0,0,'Données projet'!$E$10+1,1))</f>
        <v>336.63786714776501</v>
      </c>
      <c r="AO66" s="62">
        <f t="shared" si="36"/>
        <v>208.9883766854885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7.2</v>
      </c>
      <c r="BD66" s="13">
        <f>IF('Données projet'!$A$88&gt;35,BD65+BC66-BL65,IF(A66&lt;'Données projet'!$A$88,$BA$205^A66,IF(A66='Données projet'!$A$88,'Données projet'!$B$88,BD65+BC66-BL65)))</f>
        <v>214.59999999999994</v>
      </c>
      <c r="BE66" s="14">
        <f>BD66*VLOOKUP('Données projet'!$B$11,Paramètres!$A$1:$I$89,3,0)*VLOOKUP('Données projet'!$B$11,Paramètres!$A$1:$I$89,5,0)</f>
        <v>207.56111999999996</v>
      </c>
      <c r="BF66" s="14">
        <f t="shared" si="37"/>
        <v>51.40226725537714</v>
      </c>
      <c r="BG66" s="22">
        <f t="shared" si="7"/>
        <v>451.02789946978169</v>
      </c>
      <c r="BH66" s="62">
        <f t="shared" si="8"/>
        <v>744.36123280311494</v>
      </c>
      <c r="BI66" s="62">
        <f ca="1">AVERAGE(OFFSET($BH$3,0,0,'Données projet'!$E$11+1,1))-AVERAGE(OFFSET($H$3,0,0,'Données projet'!$E$11+1,1))</f>
        <v>363.29716504383265</v>
      </c>
      <c r="BJ66" s="62">
        <f t="shared" si="38"/>
        <v>223.12394672673923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8.6666666666666661</v>
      </c>
      <c r="BY66" s="13">
        <f>IF('Données projet'!$A$114&gt;35,BY65+BX66-CG65,IF(A66&lt;'Données projet'!$A$114,$BV$205^A66,IF(A66='Données projet'!$A$114,'Données projet'!$B$114,BY65+BX66-CG65)))</f>
        <v>276</v>
      </c>
      <c r="BZ66" s="14">
        <f>BY66*VLOOKUP('Données projet'!$B$12,Paramètres!$A$1:$I$89,3,0)*VLOOKUP('Données projet'!$B$12,Paramètres!$A$1:$I$89,5,0)</f>
        <v>215.28</v>
      </c>
      <c r="CA66" s="14">
        <f t="shared" si="39"/>
        <v>53.087725740853138</v>
      </c>
      <c r="CB66" s="22">
        <f t="shared" si="10"/>
        <v>467.40712233198587</v>
      </c>
      <c r="CC66" s="62">
        <f t="shared" si="11"/>
        <v>760.74045566531913</v>
      </c>
      <c r="CD66" s="62">
        <f ca="1">AVERAGE(OFFSET($CC$3,0,0,'Données projet'!$E$12+1,1))-AVERAGE(OFFSET($H$3,0,0,'Données projet'!$E$12+1,1))</f>
        <v>249.25370091019835</v>
      </c>
      <c r="CE66" s="62">
        <f t="shared" si="40"/>
        <v>245.46410820099908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6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2">
        <f t="shared" si="32"/>
        <v>10.648197775908036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9">
        <f t="shared" si="1"/>
        <v>336.07307779303983</v>
      </c>
      <c r="I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-2.8421709430404007E-14</v>
      </c>
      <c r="O67" s="14">
        <f>N67*VLOOKUP('Données projet'!$B$9,Paramètres!$A$1:$I$89,3,0)*VLOOKUP('Données projet'!$B$9,Paramètres!$A$1:$I$89,5,0)</f>
        <v>-2.5715962692629544E-14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216.22465631364315</v>
      </c>
      <c r="T67" s="62">
        <f t="shared" si="34"/>
        <v>304.27938609150095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221.79999999999993</v>
      </c>
      <c r="AJ67" s="14">
        <f>AI67*VLOOKUP('Données projet'!$B$10,Paramètres!$A$1:$I$89,3,0)*VLOOKUP('Données projet'!$B$10,Paramètres!$A$1:$I$89,5,0)</f>
        <v>200.68463999999992</v>
      </c>
      <c r="AK67" s="14">
        <f t="shared" si="35"/>
        <v>49.894600936700193</v>
      </c>
      <c r="AL67" s="22">
        <f t="shared" si="4"/>
        <v>436.42551129808606</v>
      </c>
      <c r="AM67" s="62">
        <f t="shared" si="5"/>
        <v>729.75884463141938</v>
      </c>
      <c r="AN67" s="62">
        <f ca="1">AVERAGE(OFFSET($AM$3,0,0,'Données projet'!$E$10+1,1))-AVERAGE(OFFSET($H$3,0,0,'Données projet'!$E$10+1,1))</f>
        <v>336.63786714776501</v>
      </c>
      <c r="AO67" s="62">
        <f t="shared" si="36"/>
        <v>208.9883766854885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7.2</v>
      </c>
      <c r="BD67" s="13">
        <f>IF('Données projet'!$A$88&gt;35,BD66+BC67-BL66,IF(A67&lt;'Données projet'!$A$88,$BA$205^A67,IF(A67='Données projet'!$A$88,'Données projet'!$B$88,BD66+BC67-BL66)))</f>
        <v>221.79999999999993</v>
      </c>
      <c r="BE67" s="14">
        <f>BD67*VLOOKUP('Données projet'!$B$11,Paramètres!$A$1:$I$89,3,0)*VLOOKUP('Données projet'!$B$11,Paramètres!$A$1:$I$89,5,0)</f>
        <v>214.52495999999994</v>
      </c>
      <c r="BF67" s="14">
        <f t="shared" si="37"/>
        <v>52.923173099085716</v>
      </c>
      <c r="BG67" s="22">
        <f t="shared" si="7"/>
        <v>465.80549848090754</v>
      </c>
      <c r="BH67" s="62">
        <f t="shared" si="8"/>
        <v>759.1388318142408</v>
      </c>
      <c r="BI67" s="62">
        <f ca="1">AVERAGE(OFFSET($BH$3,0,0,'Données projet'!$E$11+1,1))-AVERAGE(OFFSET($H$3,0,0,'Données projet'!$E$11+1,1))</f>
        <v>363.29716504383265</v>
      </c>
      <c r="BJ67" s="62">
        <f t="shared" si="38"/>
        <v>223.12394672673923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8.6666666666666661</v>
      </c>
      <c r="BY67" s="13">
        <f>IF('Données projet'!$A$114&gt;35,BY66+BX67-CG66,IF(A67&lt;'Données projet'!$A$114,$BV$205^A67,IF(A67='Données projet'!$A$114,'Données projet'!$B$114,BY66+BX67-CG66)))</f>
        <v>284.66666666666669</v>
      </c>
      <c r="BZ67" s="14">
        <f>BY67*VLOOKUP('Données projet'!$B$12,Paramètres!$A$1:$I$89,3,0)*VLOOKUP('Données projet'!$B$12,Paramètres!$A$1:$I$89,5,0)</f>
        <v>222.04000000000002</v>
      </c>
      <c r="CA67" s="14">
        <f t="shared" si="39"/>
        <v>54.558031180803596</v>
      </c>
      <c r="CB67" s="22">
        <f t="shared" si="10"/>
        <v>481.74157097323291</v>
      </c>
      <c r="CC67" s="62">
        <f t="shared" si="11"/>
        <v>775.07490430656617</v>
      </c>
      <c r="CD67" s="62">
        <f ca="1">AVERAGE(OFFSET($CC$3,0,0,'Données projet'!$E$12+1,1))-AVERAGE(OFFSET($H$3,0,0,'Données projet'!$E$12+1,1))</f>
        <v>249.25370091019835</v>
      </c>
      <c r="CE67" s="62">
        <f t="shared" si="40"/>
        <v>245.46410820099908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6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2">
        <f t="shared" si="32"/>
        <v>10.795076538684501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9">
        <f t="shared" ref="H68:H131" si="56">(B68+E68+F68)*44/12+(C68+D68)*0.475*44/12</f>
        <v>337.27984163820884</v>
      </c>
      <c r="I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-2.8421709430404007E-14</v>
      </c>
      <c r="O68" s="14">
        <f>N68*VLOOKUP('Données projet'!$B$9,Paramètres!$A$1:$I$89,3,0)*VLOOKUP('Données projet'!$B$9,Paramètres!$A$1:$I$89,5,0)</f>
        <v>-2.5715962692629544E-14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216.22465631364315</v>
      </c>
      <c r="T68" s="62">
        <f t="shared" si="34"/>
        <v>304.27938609150095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229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228.99999999999991</v>
      </c>
      <c r="AJ68" s="14">
        <f>AI68*VLOOKUP('Données projet'!$B$10,Paramètres!$A$1:$I$89,3,0)*VLOOKUP('Données projet'!$B$10,Paramètres!$A$1:$I$89,5,0)</f>
        <v>207.19919999999991</v>
      </c>
      <c r="AK68" s="14">
        <f t="shared" si="35"/>
        <v>51.3230629736655</v>
      </c>
      <c r="AL68" s="22">
        <f t="shared" ref="AL68:AL131" si="58">(AJ68+AK68)*0.475*44/12</f>
        <v>450.25960801246725</v>
      </c>
      <c r="AM68" s="62">
        <f t="shared" ref="AM68:AM131" si="59">AL68+(AD68+AE68)*44/12</f>
        <v>743.59294134580057</v>
      </c>
      <c r="AN68" s="62">
        <f ca="1">AVERAGE(OFFSET($AM$3,0,0,'Données projet'!$E$10+1,1))-AVERAGE(OFFSET($H$3,0,0,'Données projet'!$E$10+1,1))</f>
        <v>336.63786714776501</v>
      </c>
      <c r="AO68" s="62">
        <f t="shared" si="36"/>
        <v>208.9883766854885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229</v>
      </c>
      <c r="BB68" s="13">
        <f>VLOOKUP(A68,'Données projet'!$A$87:$I$107,9,0)</f>
        <v>7.2</v>
      </c>
      <c r="BC68" s="13">
        <f t="array" ref="BC68">INDEX(BB:BB,MIN(IF(ISNUMBER(BB68:BB264),ROW(BB68:BB264),"")))</f>
        <v>7.2</v>
      </c>
      <c r="BD68" s="13">
        <f>IF('Données projet'!$A$88&gt;35,BD67+BC68-BL67,IF(A68&lt;'Données projet'!$A$88,$BA$205^A68,IF(A68='Données projet'!$A$88,'Données projet'!$B$88,BD67+BC68-BL67)))</f>
        <v>228.99999999999991</v>
      </c>
      <c r="BE68" s="14">
        <f>BD68*VLOOKUP('Données projet'!$B$11,Paramètres!$A$1:$I$89,3,0)*VLOOKUP('Données projet'!$B$11,Paramètres!$A$1:$I$89,5,0)</f>
        <v>221.48879999999991</v>
      </c>
      <c r="BF68" s="14">
        <f t="shared" si="37"/>
        <v>54.43834191952984</v>
      </c>
      <c r="BG68" s="22">
        <f t="shared" ref="BG68:BG131" si="61">(BE68+BF68)*0.475*44/12</f>
        <v>480.57310550984766</v>
      </c>
      <c r="BH68" s="62">
        <f t="shared" ref="BH68:BH131" si="62">BG68+(AY68+AZ68)*44/12</f>
        <v>773.90643884318092</v>
      </c>
      <c r="BI68" s="62">
        <f ca="1">AVERAGE(OFFSET($BH$3,0,0,'Données projet'!$E$11+1,1))-AVERAGE(OFFSET($H$3,0,0,'Données projet'!$E$11+1,1))</f>
        <v>363.29716504383265</v>
      </c>
      <c r="BJ68" s="62">
        <f t="shared" si="38"/>
        <v>223.12394672673923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8.6666666666666661</v>
      </c>
      <c r="BY68" s="13">
        <f>IF('Données projet'!$A$114&gt;35,BY67+BX68-CG67,IF(A68&lt;'Données projet'!$A$114,$BV$205^A68,IF(A68='Données projet'!$A$114,'Données projet'!$B$114,BY67+BX68-CG67)))</f>
        <v>293.33333333333337</v>
      </c>
      <c r="BZ68" s="14">
        <f>BY68*VLOOKUP('Données projet'!$B$12,Paramètres!$A$1:$I$89,3,0)*VLOOKUP('Données projet'!$B$12,Paramètres!$A$1:$I$89,5,0)</f>
        <v>228.80000000000004</v>
      </c>
      <c r="CA68" s="14">
        <f t="shared" si="39"/>
        <v>56.023134533701196</v>
      </c>
      <c r="CB68" s="22">
        <f t="shared" ref="CB68:CB131" si="64">(BZ68+CA68)*0.475*44/12</f>
        <v>496.06695931286299</v>
      </c>
      <c r="CC68" s="62">
        <f t="shared" ref="CC68:CC131" si="65">CB68+(BT68+BU68)*44/12</f>
        <v>789.40029264619625</v>
      </c>
      <c r="CD68" s="62">
        <f ca="1">AVERAGE(OFFSET($CC$3,0,0,'Données projet'!$E$12+1,1))-AVERAGE(OFFSET($H$3,0,0,'Données projet'!$E$12+1,1))</f>
        <v>249.25370091019835</v>
      </c>
      <c r="CE68" s="62">
        <f t="shared" si="40"/>
        <v>245.46410820099908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6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2">
        <f t="shared" ref="D69:D132" si="86">IFERROR(EXP(-1.0587+0.8836*LN(C69)+0.284),0)</f>
        <v>10.941692499899732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9">
        <f t="shared" si="56"/>
        <v>338.48614777065865</v>
      </c>
      <c r="I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-2.8421709430404007E-14</v>
      </c>
      <c r="O69" s="14">
        <f>N69*VLOOKUP('Données projet'!$B$9,Paramètres!$A$1:$I$89,3,0)*VLOOKUP('Données projet'!$B$9,Paramètres!$A$1:$I$89,5,0)</f>
        <v>-2.5715962692629544E-14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216.22465631364315</v>
      </c>
      <c r="T69" s="62">
        <f t="shared" ref="T69:T132" si="88">$T$3</f>
        <v>304.27938609150095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235.79999999999993</v>
      </c>
      <c r="AJ69" s="14">
        <f>AI69*VLOOKUP('Données projet'!$B$10,Paramètres!$A$1:$I$89,3,0)*VLOOKUP('Données projet'!$B$10,Paramètres!$A$1:$I$89,5,0)</f>
        <v>213.35183999999992</v>
      </c>
      <c r="AK69" s="14">
        <f t="shared" ref="AK69:AK132" si="89">EXP(-1.0587+0.8836*LN(AJ69)+0.284)</f>
        <v>52.667370665417188</v>
      </c>
      <c r="AL69" s="22">
        <f t="shared" si="58"/>
        <v>463.31679190893482</v>
      </c>
      <c r="AM69" s="62">
        <f t="shared" si="59"/>
        <v>756.65012524226813</v>
      </c>
      <c r="AN69" s="62">
        <f ca="1">AVERAGE(OFFSET($AM$3,0,0,'Données projet'!$E$10+1,1))-AVERAGE(OFFSET($H$3,0,0,'Données projet'!$E$10+1,1))</f>
        <v>336.63786714776501</v>
      </c>
      <c r="AO69" s="62">
        <f t="shared" ref="AO69:AO132" si="90">$AO$3</f>
        <v>208.9883766854885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6.8</v>
      </c>
      <c r="BD69" s="13">
        <f>IF('Données projet'!$A$88&gt;35,BD68+BC69-BL68,IF(A69&lt;'Données projet'!$A$88,$BA$205^A69,IF(A69='Données projet'!$A$88,'Données projet'!$B$88,BD68+BC69-BL68)))</f>
        <v>235.79999999999993</v>
      </c>
      <c r="BE69" s="14">
        <f>BD69*VLOOKUP('Données projet'!$B$11,Paramètres!$A$1:$I$89,3,0)*VLOOKUP('Données projet'!$B$11,Paramètres!$A$1:$I$89,5,0)</f>
        <v>228.06575999999993</v>
      </c>
      <c r="BF69" s="14">
        <f t="shared" ref="BF69:BF132" si="91">EXP(-1.0587+0.8836*LN(BE69)+0.284)</f>
        <v>55.864248276798108</v>
      </c>
      <c r="BG69" s="22">
        <f t="shared" si="61"/>
        <v>494.51143108208981</v>
      </c>
      <c r="BH69" s="62">
        <f t="shared" si="62"/>
        <v>787.84476441542313</v>
      </c>
      <c r="BI69" s="62">
        <f ca="1">AVERAGE(OFFSET($BH$3,0,0,'Données projet'!$E$11+1,1))-AVERAGE(OFFSET($H$3,0,0,'Données projet'!$E$11+1,1))</f>
        <v>363.29716504383265</v>
      </c>
      <c r="BJ69" s="62">
        <f t="shared" ref="BJ69:BJ132" si="92">$BJ$3</f>
        <v>223.12394672673923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8.6666666666666661</v>
      </c>
      <c r="BY69" s="13">
        <f>IF('Données projet'!$A$114&gt;35,BY68+BX69-CG68,IF(A69&lt;'Données projet'!$A$114,$BV$205^A69,IF(A69='Données projet'!$A$114,'Données projet'!$B$114,BY68+BX69-CG68)))</f>
        <v>302.00000000000006</v>
      </c>
      <c r="BZ69" s="14">
        <f>BY69*VLOOKUP('Données projet'!$B$12,Paramètres!$A$1:$I$89,3,0)*VLOOKUP('Données projet'!$B$12,Paramètres!$A$1:$I$89,5,0)</f>
        <v>235.56000000000006</v>
      </c>
      <c r="CA69" s="14">
        <f t="shared" ref="CA69:CA132" si="93">EXP(-1.0587+0.8836*LN(BZ69)+0.284)</f>
        <v>57.483207143847771</v>
      </c>
      <c r="CB69" s="22">
        <f t="shared" si="64"/>
        <v>510.38358577553487</v>
      </c>
      <c r="CC69" s="62">
        <f t="shared" si="65"/>
        <v>803.71691910886818</v>
      </c>
      <c r="CD69" s="62">
        <f ca="1">AVERAGE(OFFSET($CC$3,0,0,'Données projet'!$E$12+1,1))-AVERAGE(OFFSET($H$3,0,0,'Données projet'!$E$12+1,1))</f>
        <v>249.25370091019835</v>
      </c>
      <c r="CE69" s="62">
        <f t="shared" ref="CE69:CE132" si="94">$CE$3</f>
        <v>245.46410820099908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6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2">
        <f t="shared" si="86"/>
        <v>11.088050101306514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9">
        <f t="shared" si="56"/>
        <v>339.69200392644217</v>
      </c>
      <c r="I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-2.8421709430404007E-14</v>
      </c>
      <c r="O70" s="14">
        <f>N70*VLOOKUP('Données projet'!$B$9,Paramètres!$A$1:$I$89,3,0)*VLOOKUP('Données projet'!$B$9,Paramètres!$A$1:$I$89,5,0)</f>
        <v>-2.5715962692629544E-14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216.22465631364315</v>
      </c>
      <c r="T70" s="62">
        <f t="shared" si="88"/>
        <v>304.27938609150095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242.59999999999994</v>
      </c>
      <c r="AJ70" s="14">
        <f>AI70*VLOOKUP('Données projet'!$B$10,Paramètres!$A$1:$I$89,3,0)*VLOOKUP('Données projet'!$B$10,Paramètres!$A$1:$I$89,5,0)</f>
        <v>219.50447999999992</v>
      </c>
      <c r="AK70" s="14">
        <f t="shared" si="89"/>
        <v>54.007172767040167</v>
      </c>
      <c r="AL70" s="22">
        <f t="shared" si="58"/>
        <v>476.36612856926143</v>
      </c>
      <c r="AM70" s="62">
        <f t="shared" si="59"/>
        <v>769.69946190259475</v>
      </c>
      <c r="AN70" s="62">
        <f ca="1">AVERAGE(OFFSET($AM$3,0,0,'Données projet'!$E$10+1,1))-AVERAGE(OFFSET($H$3,0,0,'Données projet'!$E$10+1,1))</f>
        <v>336.63786714776501</v>
      </c>
      <c r="AO70" s="62">
        <f t="shared" si="90"/>
        <v>208.9883766854885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6.8</v>
      </c>
      <c r="BD70" s="13">
        <f>IF('Données projet'!$A$88&gt;35,BD69+BC70-BL69,IF(A70&lt;'Données projet'!$A$88,$BA$205^A70,IF(A70='Données projet'!$A$88,'Données projet'!$B$88,BD69+BC70-BL69)))</f>
        <v>242.59999999999994</v>
      </c>
      <c r="BE70" s="14">
        <f>BD70*VLOOKUP('Données projet'!$B$11,Paramètres!$A$1:$I$89,3,0)*VLOOKUP('Données projet'!$B$11,Paramètres!$A$1:$I$89,5,0)</f>
        <v>234.64271999999994</v>
      </c>
      <c r="BF70" s="14">
        <f t="shared" si="91"/>
        <v>57.285375557336316</v>
      </c>
      <c r="BG70" s="22">
        <f t="shared" si="61"/>
        <v>508.44143309569387</v>
      </c>
      <c r="BH70" s="62">
        <f t="shared" si="62"/>
        <v>801.77476642902718</v>
      </c>
      <c r="BI70" s="62">
        <f ca="1">AVERAGE(OFFSET($BH$3,0,0,'Données projet'!$E$11+1,1))-AVERAGE(OFFSET($H$3,0,0,'Données projet'!$E$11+1,1))</f>
        <v>363.29716504383265</v>
      </c>
      <c r="BJ70" s="62">
        <f t="shared" si="92"/>
        <v>223.12394672673923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8.6666666666666661</v>
      </c>
      <c r="BY70" s="13">
        <f>IF('Données projet'!$A$114&gt;35,BY69+BX70-CG69,IF(A70&lt;'Données projet'!$A$114,$BV$205^A70,IF(A70='Données projet'!$A$114,'Données projet'!$B$114,BY69+BX70-CG69)))</f>
        <v>310.66666666666674</v>
      </c>
      <c r="BZ70" s="14">
        <f>BY70*VLOOKUP('Données projet'!$B$12,Paramètres!$A$1:$I$89,3,0)*VLOOKUP('Données projet'!$B$12,Paramètres!$A$1:$I$89,5,0)</f>
        <v>242.32000000000008</v>
      </c>
      <c r="CA70" s="14">
        <f t="shared" si="93"/>
        <v>58.938409961900909</v>
      </c>
      <c r="CB70" s="22">
        <f t="shared" si="64"/>
        <v>524.69173068364421</v>
      </c>
      <c r="CC70" s="62">
        <f t="shared" si="65"/>
        <v>818.02506401697747</v>
      </c>
      <c r="CD70" s="62">
        <f ca="1">AVERAGE(OFFSET($CC$3,0,0,'Données projet'!$E$12+1,1))-AVERAGE(OFFSET($H$3,0,0,'Données projet'!$E$12+1,1))</f>
        <v>249.25370091019835</v>
      </c>
      <c r="CE70" s="62">
        <f t="shared" si="94"/>
        <v>245.46410820099908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6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2">
        <f t="shared" si="86"/>
        <v>11.234153644457548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9">
        <f t="shared" si="56"/>
        <v>340.89741759743021</v>
      </c>
      <c r="I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-2.8421709430404007E-14</v>
      </c>
      <c r="O71" s="14">
        <f>N71*VLOOKUP('Données projet'!$B$9,Paramètres!$A$1:$I$89,3,0)*VLOOKUP('Données projet'!$B$9,Paramètres!$A$1:$I$89,5,0)</f>
        <v>-2.5715962692629544E-14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216.22465631364315</v>
      </c>
      <c r="T71" s="62">
        <f t="shared" si="88"/>
        <v>304.27938609150095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249.39999999999995</v>
      </c>
      <c r="AJ71" s="14">
        <f>AI71*VLOOKUP('Données projet'!$B$10,Paramètres!$A$1:$I$89,3,0)*VLOOKUP('Données projet'!$B$10,Paramètres!$A$1:$I$89,5,0)</f>
        <v>225.65711999999994</v>
      </c>
      <c r="AK71" s="14">
        <f t="shared" si="89"/>
        <v>55.342610076561513</v>
      </c>
      <c r="AL71" s="22">
        <f t="shared" si="58"/>
        <v>489.40786321667775</v>
      </c>
      <c r="AM71" s="62">
        <f t="shared" si="59"/>
        <v>782.74119655001107</v>
      </c>
      <c r="AN71" s="62">
        <f ca="1">AVERAGE(OFFSET($AM$3,0,0,'Données projet'!$E$10+1,1))-AVERAGE(OFFSET($H$3,0,0,'Données projet'!$E$10+1,1))</f>
        <v>336.63786714776501</v>
      </c>
      <c r="AO71" s="62">
        <f t="shared" si="90"/>
        <v>208.9883766854885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6.8</v>
      </c>
      <c r="BD71" s="13">
        <f>IF('Données projet'!$A$88&gt;35,BD70+BC71-BL70,IF(A71&lt;'Données projet'!$A$88,$BA$205^A71,IF(A71='Données projet'!$A$88,'Données projet'!$B$88,BD70+BC71-BL70)))</f>
        <v>249.39999999999995</v>
      </c>
      <c r="BE71" s="14">
        <f>BD71*VLOOKUP('Données projet'!$B$11,Paramètres!$A$1:$I$89,3,0)*VLOOKUP('Données projet'!$B$11,Paramètres!$A$1:$I$89,5,0)</f>
        <v>241.21967999999995</v>
      </c>
      <c r="BF71" s="14">
        <f t="shared" si="91"/>
        <v>58.701873105526744</v>
      </c>
      <c r="BG71" s="22">
        <f t="shared" si="61"/>
        <v>522.36337165879229</v>
      </c>
      <c r="BH71" s="62">
        <f t="shared" si="62"/>
        <v>815.69670499212566</v>
      </c>
      <c r="BI71" s="62">
        <f ca="1">AVERAGE(OFFSET($BH$3,0,0,'Données projet'!$E$11+1,1))-AVERAGE(OFFSET($H$3,0,0,'Données projet'!$E$11+1,1))</f>
        <v>363.29716504383265</v>
      </c>
      <c r="BJ71" s="62">
        <f t="shared" si="92"/>
        <v>223.12394672673923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8.6666666666666661</v>
      </c>
      <c r="BY71" s="13">
        <f>IF('Données projet'!$A$114&gt;35,BY70+BX71-CG70,IF(A71&lt;'Données projet'!$A$114,$BV$205^A71,IF(A71='Données projet'!$A$114,'Données projet'!$B$114,BY70+BX71-CG70)))</f>
        <v>319.33333333333343</v>
      </c>
      <c r="BZ71" s="14">
        <f>BY71*VLOOKUP('Données projet'!$B$12,Paramètres!$A$1:$I$89,3,0)*VLOOKUP('Données projet'!$B$12,Paramètres!$A$1:$I$89,5,0)</f>
        <v>249.08000000000007</v>
      </c>
      <c r="CA71" s="14">
        <f t="shared" si="93"/>
        <v>60.388894447487807</v>
      </c>
      <c r="CB71" s="22">
        <f t="shared" si="64"/>
        <v>538.99165782937473</v>
      </c>
      <c r="CC71" s="62">
        <f t="shared" si="65"/>
        <v>832.3249911627081</v>
      </c>
      <c r="CD71" s="62">
        <f ca="1">AVERAGE(OFFSET($CC$3,0,0,'Données projet'!$E$12+1,1))-AVERAGE(OFFSET($H$3,0,0,'Données projet'!$E$12+1,1))</f>
        <v>249.25370091019835</v>
      </c>
      <c r="CE71" s="62">
        <f t="shared" si="94"/>
        <v>245.46410820099908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6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2">
        <f t="shared" si="86"/>
        <v>11.380007297126165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9">
        <f t="shared" si="56"/>
        <v>342.10239604249472</v>
      </c>
      <c r="I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-2.8421709430404007E-14</v>
      </c>
      <c r="O72" s="14">
        <f>N72*VLOOKUP('Données projet'!$B$9,Paramètres!$A$1:$I$89,3,0)*VLOOKUP('Données projet'!$B$9,Paramètres!$A$1:$I$89,5,0)</f>
        <v>-2.5715962692629544E-14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216.22465631364315</v>
      </c>
      <c r="T72" s="62">
        <f t="shared" si="88"/>
        <v>304.27938609150095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256.19999999999993</v>
      </c>
      <c r="AJ72" s="14">
        <f>AI72*VLOOKUP('Données projet'!$B$10,Paramètres!$A$1:$I$89,3,0)*VLOOKUP('Données projet'!$B$10,Paramètres!$A$1:$I$89,5,0)</f>
        <v>231.80975999999993</v>
      </c>
      <c r="AK72" s="14">
        <f t="shared" si="89"/>
        <v>56.673815277159328</v>
      </c>
      <c r="AL72" s="22">
        <f t="shared" si="58"/>
        <v>502.44222694105241</v>
      </c>
      <c r="AM72" s="62">
        <f t="shared" si="59"/>
        <v>795.77556027438573</v>
      </c>
      <c r="AN72" s="62">
        <f ca="1">AVERAGE(OFFSET($AM$3,0,0,'Données projet'!$E$10+1,1))-AVERAGE(OFFSET($H$3,0,0,'Données projet'!$E$10+1,1))</f>
        <v>336.63786714776501</v>
      </c>
      <c r="AO72" s="62">
        <f t="shared" si="90"/>
        <v>208.9883766854885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6.8</v>
      </c>
      <c r="BD72" s="13">
        <f>IF('Données projet'!$A$88&gt;35,BD71+BC72-BL71,IF(A72&lt;'Données projet'!$A$88,$BA$205^A72,IF(A72='Données projet'!$A$88,'Données projet'!$B$88,BD71+BC72-BL71)))</f>
        <v>256.19999999999993</v>
      </c>
      <c r="BE72" s="14">
        <f>BD72*VLOOKUP('Données projet'!$B$11,Paramètres!$A$1:$I$89,3,0)*VLOOKUP('Données projet'!$B$11,Paramètres!$A$1:$I$89,5,0)</f>
        <v>247.79663999999997</v>
      </c>
      <c r="BF72" s="14">
        <f t="shared" si="91"/>
        <v>60.113881658336368</v>
      </c>
      <c r="BG72" s="22">
        <f t="shared" si="61"/>
        <v>536.27749188826908</v>
      </c>
      <c r="BH72" s="62">
        <f t="shared" si="62"/>
        <v>829.61082522160245</v>
      </c>
      <c r="BI72" s="62">
        <f ca="1">AVERAGE(OFFSET($BH$3,0,0,'Données projet'!$E$11+1,1))-AVERAGE(OFFSET($H$3,0,0,'Données projet'!$E$11+1,1))</f>
        <v>363.29716504383265</v>
      </c>
      <c r="BJ72" s="62">
        <f t="shared" si="92"/>
        <v>223.12394672673923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>
        <f>VLOOKUP(A72,'Données projet'!$A$113:$I$133,2,0)</f>
        <v>328</v>
      </c>
      <c r="BW72" s="13">
        <f>VLOOKUP(A72,'Données projet'!$A$113:$I$133,9,0)</f>
        <v>8.6666666666666661</v>
      </c>
      <c r="BX72" s="13">
        <f t="array" ref="BX72">INDEX(BW:BW,MIN(IF(ISNUMBER(BW72:BW268),ROW(BW72:BW268),"")))</f>
        <v>8.6666666666666661</v>
      </c>
      <c r="BY72" s="13">
        <f>IF('Données projet'!$A$114&gt;35,BY71+BX72-CG71,IF(A72&lt;'Données projet'!$A$114,$BV$205^A72,IF(A72='Données projet'!$A$114,'Données projet'!$B$114,BY71+BX72-CG71)))</f>
        <v>328.00000000000011</v>
      </c>
      <c r="BZ72" s="14">
        <f>BY72*VLOOKUP('Données projet'!$B$12,Paramètres!$A$1:$I$89,3,0)*VLOOKUP('Données projet'!$B$12,Paramètres!$A$1:$I$89,5,0)</f>
        <v>255.84000000000009</v>
      </c>
      <c r="CA72" s="14">
        <f t="shared" si="93"/>
        <v>61.834803371075836</v>
      </c>
      <c r="CB72" s="22">
        <f t="shared" si="64"/>
        <v>553.28361587129064</v>
      </c>
      <c r="CC72" s="62">
        <f t="shared" si="65"/>
        <v>846.61694920462401</v>
      </c>
      <c r="CD72" s="62">
        <f ca="1">AVERAGE(OFFSET($CC$3,0,0,'Données projet'!$E$12+1,1))-AVERAGE(OFFSET($H$3,0,0,'Données projet'!$E$12+1,1))</f>
        <v>249.25370091019835</v>
      </c>
      <c r="CE72" s="62">
        <f t="shared" si="94"/>
        <v>245.46410820099908</v>
      </c>
      <c r="CF72" s="16">
        <f>IF(ISNA(VLOOKUP(A72,'Données projet'!$A$113:$I$133,3,0)),0,VLOOKUP(A72,'Données projet'!$A$113:$I$133,3,0))</f>
        <v>7</v>
      </c>
      <c r="CG72" s="16">
        <f>IF(ISNA(VLOOKUP(A72,'Données projet'!$A$113:$I$133,4,0)),0,VLOOKUP(A72,'Données projet'!$A$113:$I$133,4,0))</f>
        <v>328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6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2">
        <f t="shared" si="86"/>
        <v>11.525615099344252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9">
        <f t="shared" si="56"/>
        <v>343.30694629802451</v>
      </c>
      <c r="I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-2.8421709430404007E-14</v>
      </c>
      <c r="O73" s="14">
        <f>N73*VLOOKUP('Données projet'!$B$9,Paramètres!$A$1:$I$89,3,0)*VLOOKUP('Données projet'!$B$9,Paramètres!$A$1:$I$89,5,0)</f>
        <v>-2.5715962692629544E-14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216.22465631364315</v>
      </c>
      <c r="T73" s="62">
        <f t="shared" si="88"/>
        <v>304.27938609150095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263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262.99999999999994</v>
      </c>
      <c r="AJ73" s="14">
        <f>AI73*VLOOKUP('Données projet'!$B$10,Paramètres!$A$1:$I$89,3,0)*VLOOKUP('Données projet'!$B$10,Paramètres!$A$1:$I$89,5,0)</f>
        <v>237.96239999999995</v>
      </c>
      <c r="AK73" s="14">
        <f t="shared" si="89"/>
        <v>58.00091360766335</v>
      </c>
      <c r="AL73" s="22">
        <f t="shared" si="58"/>
        <v>515.4694378666801</v>
      </c>
      <c r="AM73" s="62">
        <f t="shared" si="59"/>
        <v>808.80277120001347</v>
      </c>
      <c r="AN73" s="62">
        <f ca="1">AVERAGE(OFFSET($AM$3,0,0,'Données projet'!$E$10+1,1))-AVERAGE(OFFSET($H$3,0,0,'Données projet'!$E$10+1,1))</f>
        <v>336.63786714776501</v>
      </c>
      <c r="AO73" s="62">
        <f t="shared" si="90"/>
        <v>208.9883766854885</v>
      </c>
      <c r="AP73" s="16">
        <f>IF(ISNA(VLOOKUP(A73,'Données projet'!$A$61:$I$81,3,0)),0,VLOOKUP(A73,'Données projet'!$A$61:$I$81,3,0))</f>
        <v>5</v>
      </c>
      <c r="AQ73" s="16">
        <f>IF(ISNA(VLOOKUP(A73,'Données projet'!$A$61:$I$81,4,0)),0,VLOOKUP(A73,'Données projet'!$A$61:$I$81,4,0))</f>
        <v>42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263</v>
      </c>
      <c r="BB73" s="13">
        <f>VLOOKUP(A73,'Données projet'!$A$87:$I$107,9,0)</f>
        <v>6.8</v>
      </c>
      <c r="BC73" s="13">
        <f t="array" ref="BC73">INDEX(BB:BB,MIN(IF(ISNUMBER(BB73:BB269),ROW(BB73:BB269),"")))</f>
        <v>6.8</v>
      </c>
      <c r="BD73" s="13">
        <f>IF('Données projet'!$A$88&gt;35,BD72+BC73-BL72,IF(A73&lt;'Données projet'!$A$88,$BA$205^A73,IF(A73='Données projet'!$A$88,'Données projet'!$B$88,BD72+BC73-BL72)))</f>
        <v>262.99999999999994</v>
      </c>
      <c r="BE73" s="14">
        <f>BD73*VLOOKUP('Données projet'!$B$11,Paramètres!$A$1:$I$89,3,0)*VLOOKUP('Données projet'!$B$11,Paramètres!$A$1:$I$89,5,0)</f>
        <v>254.37359999999998</v>
      </c>
      <c r="BF73" s="14">
        <f t="shared" si="91"/>
        <v>61.521534056516209</v>
      </c>
      <c r="BG73" s="22">
        <f t="shared" si="61"/>
        <v>550.1840251484324</v>
      </c>
      <c r="BH73" s="62">
        <f t="shared" si="62"/>
        <v>843.51735848176577</v>
      </c>
      <c r="BI73" s="62">
        <f ca="1">AVERAGE(OFFSET($BH$3,0,0,'Données projet'!$E$11+1,1))-AVERAGE(OFFSET($H$3,0,0,'Données projet'!$E$11+1,1))</f>
        <v>363.29716504383265</v>
      </c>
      <c r="BJ73" s="62">
        <f t="shared" si="92"/>
        <v>223.12394672673923</v>
      </c>
      <c r="BK73" s="16">
        <f>IF(ISNA(VLOOKUP(A73,'Données projet'!$A$87:$I$107,3,0)),0,VLOOKUP(A73,'Données projet'!$A$87:$I$107,3,0))</f>
        <v>5</v>
      </c>
      <c r="BL73" s="16">
        <f>IF(ISNA(VLOOKUP(A73,'Données projet'!$A$87:$I$107,4,0)),0,VLOOKUP(A73,'Données projet'!$A$87:$I$107,4,0))</f>
        <v>42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1.1368683772161603E-13</v>
      </c>
      <c r="BZ73" s="14">
        <f>BY73*VLOOKUP('Données projet'!$B$12,Paramètres!$A$1:$I$89,3,0)*VLOOKUP('Données projet'!$B$12,Paramètres!$A$1:$I$89,5,0)</f>
        <v>8.8675733422860506E-14</v>
      </c>
      <c r="CA73" s="14">
        <f t="shared" si="93"/>
        <v>1.3509285393066301E-12</v>
      </c>
      <c r="CB73" s="22">
        <f t="shared" si="64"/>
        <v>2.5073107750038623E-12</v>
      </c>
      <c r="CC73" s="62">
        <f t="shared" si="65"/>
        <v>293.33333333333582</v>
      </c>
      <c r="CD73" s="62">
        <f ca="1">AVERAGE(OFFSET($CC$3,0,0,'Données projet'!$E$12+1,1))-AVERAGE(OFFSET($H$3,0,0,'Données projet'!$E$12+1,1))</f>
        <v>249.25370091019835</v>
      </c>
      <c r="CE73" s="62">
        <f t="shared" si="94"/>
        <v>245.46410820099908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6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2">
        <f t="shared" si="86"/>
        <v>11.670980969085333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9">
        <f t="shared" si="56"/>
        <v>344.51107518782362</v>
      </c>
      <c r="I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-2.8421709430404007E-14</v>
      </c>
      <c r="O74" s="14">
        <f>N74*VLOOKUP('Données projet'!$B$9,Paramètres!$A$1:$I$89,3,0)*VLOOKUP('Données projet'!$B$9,Paramètres!$A$1:$I$89,5,0)</f>
        <v>-2.5715962692629544E-14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216.22465631364315</v>
      </c>
      <c r="T74" s="62">
        <f t="shared" si="88"/>
        <v>304.27938609150095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6.2</v>
      </c>
      <c r="AI74" s="14">
        <f>IF('Données projet'!$A$62&gt;35,AI73+AH74-AQ73,IF(A74&lt;'Données projet'!$A$62,$AF$205^A74,IF(A74='Données projet'!$A$62,'Données projet'!$B$62,AI73+AH74-AQ73)))</f>
        <v>227.19999999999993</v>
      </c>
      <c r="AJ74" s="14">
        <f>AI74*VLOOKUP('Données projet'!$B$10,Paramètres!$A$1:$I$89,3,0)*VLOOKUP('Données projet'!$B$10,Paramètres!$A$1:$I$89,5,0)</f>
        <v>205.57055999999994</v>
      </c>
      <c r="AK74" s="14">
        <f t="shared" si="89"/>
        <v>50.966443946767392</v>
      </c>
      <c r="AL74" s="22">
        <f t="shared" si="58"/>
        <v>446.80194854061978</v>
      </c>
      <c r="AM74" s="62">
        <f t="shared" si="59"/>
        <v>740.13528187395309</v>
      </c>
      <c r="AN74" s="62">
        <f ca="1">AVERAGE(OFFSET($AM$3,0,0,'Données projet'!$E$10+1,1))-AVERAGE(OFFSET($H$3,0,0,'Données projet'!$E$10+1,1))</f>
        <v>336.63786714776501</v>
      </c>
      <c r="AO74" s="62">
        <f t="shared" si="90"/>
        <v>208.9883766854885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6.2</v>
      </c>
      <c r="BD74" s="13">
        <f>IF('Données projet'!$A$88&gt;35,BD73+BC74-BL73,IF(A74&lt;'Données projet'!$A$88,$BA$205^A74,IF(A74='Données projet'!$A$88,'Données projet'!$B$88,BD73+BC74-BL73)))</f>
        <v>227.19999999999993</v>
      </c>
      <c r="BE74" s="14">
        <f>BD74*VLOOKUP('Données projet'!$B$11,Paramètres!$A$1:$I$89,3,0)*VLOOKUP('Données projet'!$B$11,Paramètres!$A$1:$I$89,5,0)</f>
        <v>219.74783999999994</v>
      </c>
      <c r="BF74" s="14">
        <f t="shared" si="91"/>
        <v>54.060076332940561</v>
      </c>
      <c r="BG74" s="22">
        <f t="shared" si="61"/>
        <v>476.88212094653812</v>
      </c>
      <c r="BH74" s="62">
        <f t="shared" si="62"/>
        <v>770.21545427987144</v>
      </c>
      <c r="BI74" s="62">
        <f ca="1">AVERAGE(OFFSET($BH$3,0,0,'Données projet'!$E$11+1,1))-AVERAGE(OFFSET($H$3,0,0,'Données projet'!$E$11+1,1))</f>
        <v>363.29716504383265</v>
      </c>
      <c r="BJ74" s="62">
        <f t="shared" si="92"/>
        <v>223.12394672673923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1.1368683772161603E-13</v>
      </c>
      <c r="BZ74" s="14">
        <f>BY74*VLOOKUP('Données projet'!$B$12,Paramètres!$A$1:$I$89,3,0)*VLOOKUP('Données projet'!$B$12,Paramètres!$A$1:$I$89,5,0)</f>
        <v>8.8675733422860506E-14</v>
      </c>
      <c r="CA74" s="14">
        <f t="shared" si="93"/>
        <v>1.3509285393066301E-12</v>
      </c>
      <c r="CB74" s="22">
        <f t="shared" si="64"/>
        <v>2.5073107750038623E-12</v>
      </c>
      <c r="CC74" s="62">
        <f t="shared" si="65"/>
        <v>293.33333333333582</v>
      </c>
      <c r="CD74" s="62">
        <f ca="1">AVERAGE(OFFSET($CC$3,0,0,'Données projet'!$E$12+1,1))-AVERAGE(OFFSET($H$3,0,0,'Données projet'!$E$12+1,1))</f>
        <v>249.25370091019835</v>
      </c>
      <c r="CE74" s="62">
        <f t="shared" si="94"/>
        <v>245.46410820099908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6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2">
        <f t="shared" si="86"/>
        <v>11.816108707618389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9">
        <f t="shared" si="56"/>
        <v>345.71478933243532</v>
      </c>
      <c r="I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-2.8421709430404007E-14</v>
      </c>
      <c r="O75" s="14">
        <f>N75*VLOOKUP('Données projet'!$B$9,Paramètres!$A$1:$I$89,3,0)*VLOOKUP('Données projet'!$B$9,Paramètres!$A$1:$I$89,5,0)</f>
        <v>-2.5715962692629544E-14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216.22465631364315</v>
      </c>
      <c r="T75" s="62">
        <f t="shared" si="88"/>
        <v>304.27938609150095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6.2</v>
      </c>
      <c r="AI75" s="14">
        <f>IF('Données projet'!$A$62&gt;35,AI74+AH75-AQ74,IF(A75&lt;'Données projet'!$A$62,$AF$205^A75,IF(A75='Données projet'!$A$62,'Données projet'!$B$62,AI74+AH75-AQ74)))</f>
        <v>233.39999999999992</v>
      </c>
      <c r="AJ75" s="14">
        <f>AI75*VLOOKUP('Données projet'!$B$10,Paramètres!$A$1:$I$89,3,0)*VLOOKUP('Données projet'!$B$10,Paramètres!$A$1:$I$89,5,0)</f>
        <v>211.18031999999994</v>
      </c>
      <c r="AK75" s="14">
        <f t="shared" si="89"/>
        <v>52.193431117443019</v>
      </c>
      <c r="AL75" s="22">
        <f t="shared" si="58"/>
        <v>458.70928319621316</v>
      </c>
      <c r="AM75" s="62">
        <f t="shared" si="59"/>
        <v>752.04261652954642</v>
      </c>
      <c r="AN75" s="62">
        <f ca="1">AVERAGE(OFFSET($AM$3,0,0,'Données projet'!$E$10+1,1))-AVERAGE(OFFSET($H$3,0,0,'Données projet'!$E$10+1,1))</f>
        <v>336.63786714776501</v>
      </c>
      <c r="AO75" s="62">
        <f t="shared" si="90"/>
        <v>208.9883766854885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6.2</v>
      </c>
      <c r="BD75" s="13">
        <f>IF('Données projet'!$A$88&gt;35,BD74+BC75-BL74,IF(A75&lt;'Données projet'!$A$88,$BA$205^A75,IF(A75='Données projet'!$A$88,'Données projet'!$B$88,BD74+BC75-BL74)))</f>
        <v>233.39999999999992</v>
      </c>
      <c r="BE75" s="14">
        <f>BD75*VLOOKUP('Données projet'!$B$11,Paramètres!$A$1:$I$89,3,0)*VLOOKUP('Données projet'!$B$11,Paramètres!$A$1:$I$89,5,0)</f>
        <v>225.74447999999992</v>
      </c>
      <c r="BF75" s="14">
        <f t="shared" si="91"/>
        <v>55.36154088431374</v>
      </c>
      <c r="BG75" s="22">
        <f t="shared" si="61"/>
        <v>489.59298637351299</v>
      </c>
      <c r="BH75" s="62">
        <f t="shared" si="62"/>
        <v>782.92631970684624</v>
      </c>
      <c r="BI75" s="62">
        <f ca="1">AVERAGE(OFFSET($BH$3,0,0,'Données projet'!$E$11+1,1))-AVERAGE(OFFSET($H$3,0,0,'Données projet'!$E$11+1,1))</f>
        <v>363.29716504383265</v>
      </c>
      <c r="BJ75" s="62">
        <f t="shared" si="92"/>
        <v>223.12394672673923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1.1368683772161603E-13</v>
      </c>
      <c r="BZ75" s="14">
        <f>BY75*VLOOKUP('Données projet'!$B$12,Paramètres!$A$1:$I$89,3,0)*VLOOKUP('Données projet'!$B$12,Paramètres!$A$1:$I$89,5,0)</f>
        <v>8.8675733422860506E-14</v>
      </c>
      <c r="CA75" s="14">
        <f t="shared" si="93"/>
        <v>1.3509285393066301E-12</v>
      </c>
      <c r="CB75" s="22">
        <f t="shared" si="64"/>
        <v>2.5073107750038623E-12</v>
      </c>
      <c r="CC75" s="62">
        <f t="shared" si="65"/>
        <v>293.33333333333582</v>
      </c>
      <c r="CD75" s="62">
        <f ca="1">AVERAGE(OFFSET($CC$3,0,0,'Données projet'!$E$12+1,1))-AVERAGE(OFFSET($H$3,0,0,'Données projet'!$E$12+1,1))</f>
        <v>249.25370091019835</v>
      </c>
      <c r="CE75" s="62">
        <f t="shared" si="94"/>
        <v>245.46410820099908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6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2">
        <f t="shared" si="86"/>
        <v>11.961002004555786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9">
        <f t="shared" si="56"/>
        <v>346.9180951579346</v>
      </c>
      <c r="I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-2.8421709430404007E-14</v>
      </c>
      <c r="O76" s="14">
        <f>N76*VLOOKUP('Données projet'!$B$9,Paramètres!$A$1:$I$89,3,0)*VLOOKUP('Données projet'!$B$9,Paramètres!$A$1:$I$89,5,0)</f>
        <v>-2.5715962692629544E-14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216.22465631364315</v>
      </c>
      <c r="T76" s="62">
        <f t="shared" si="88"/>
        <v>304.27938609150095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6.2</v>
      </c>
      <c r="AI76" s="14">
        <f>IF('Données projet'!$A$62&gt;35,AI75+AH76-AQ75,IF(A76&lt;'Données projet'!$A$62,$AF$205^A76,IF(A76='Données projet'!$A$62,'Données projet'!$B$62,AI75+AH76-AQ75)))</f>
        <v>239.59999999999991</v>
      </c>
      <c r="AJ76" s="14">
        <f>AI76*VLOOKUP('Données projet'!$B$10,Paramètres!$A$1:$I$89,3,0)*VLOOKUP('Données projet'!$B$10,Paramètres!$A$1:$I$89,5,0)</f>
        <v>216.7900799999999</v>
      </c>
      <c r="AK76" s="14">
        <f t="shared" si="89"/>
        <v>53.416629794462551</v>
      </c>
      <c r="AL76" s="22">
        <f t="shared" si="58"/>
        <v>470.61001955868869</v>
      </c>
      <c r="AM76" s="62">
        <f t="shared" si="59"/>
        <v>763.94335289202195</v>
      </c>
      <c r="AN76" s="62">
        <f ca="1">AVERAGE(OFFSET($AM$3,0,0,'Données projet'!$E$10+1,1))-AVERAGE(OFFSET($H$3,0,0,'Données projet'!$E$10+1,1))</f>
        <v>336.63786714776501</v>
      </c>
      <c r="AO76" s="62">
        <f t="shared" si="90"/>
        <v>208.9883766854885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6.2</v>
      </c>
      <c r="BD76" s="13">
        <f>IF('Données projet'!$A$88&gt;35,BD75+BC76-BL75,IF(A76&lt;'Données projet'!$A$88,$BA$205^A76,IF(A76='Données projet'!$A$88,'Données projet'!$B$88,BD75+BC76-BL75)))</f>
        <v>239.59999999999991</v>
      </c>
      <c r="BE76" s="14">
        <f>BD76*VLOOKUP('Données projet'!$B$11,Paramètres!$A$1:$I$89,3,0)*VLOOKUP('Données projet'!$B$11,Paramètres!$A$1:$I$89,5,0)</f>
        <v>231.74111999999991</v>
      </c>
      <c r="BF76" s="14">
        <f t="shared" si="91"/>
        <v>56.658986982752438</v>
      </c>
      <c r="BG76" s="22">
        <f t="shared" si="61"/>
        <v>502.29685299496032</v>
      </c>
      <c r="BH76" s="62">
        <f t="shared" si="62"/>
        <v>795.63018632829358</v>
      </c>
      <c r="BI76" s="62">
        <f ca="1">AVERAGE(OFFSET($BH$3,0,0,'Données projet'!$E$11+1,1))-AVERAGE(OFFSET($H$3,0,0,'Données projet'!$E$11+1,1))</f>
        <v>363.29716504383265</v>
      </c>
      <c r="BJ76" s="62">
        <f t="shared" si="92"/>
        <v>223.12394672673923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1.1368683772161603E-13</v>
      </c>
      <c r="BZ76" s="14">
        <f>BY76*VLOOKUP('Données projet'!$B$12,Paramètres!$A$1:$I$89,3,0)*VLOOKUP('Données projet'!$B$12,Paramètres!$A$1:$I$89,5,0)</f>
        <v>8.8675733422860506E-14</v>
      </c>
      <c r="CA76" s="14">
        <f t="shared" si="93"/>
        <v>1.3509285393066301E-12</v>
      </c>
      <c r="CB76" s="22">
        <f t="shared" si="64"/>
        <v>2.5073107750038623E-12</v>
      </c>
      <c r="CC76" s="62">
        <f t="shared" si="65"/>
        <v>293.33333333333582</v>
      </c>
      <c r="CD76" s="62">
        <f ca="1">AVERAGE(OFFSET($CC$3,0,0,'Données projet'!$E$12+1,1))-AVERAGE(OFFSET($H$3,0,0,'Données projet'!$E$12+1,1))</f>
        <v>249.25370091019835</v>
      </c>
      <c r="CE76" s="62">
        <f t="shared" si="94"/>
        <v>245.46410820099908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6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2">
        <f t="shared" si="86"/>
        <v>12.105664442616701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9">
        <f t="shared" si="56"/>
        <v>348.12099890422405</v>
      </c>
      <c r="I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-2.8421709430404007E-14</v>
      </c>
      <c r="O77" s="14">
        <f>N77*VLOOKUP('Données projet'!$B$9,Paramètres!$A$1:$I$89,3,0)*VLOOKUP('Données projet'!$B$9,Paramètres!$A$1:$I$89,5,0)</f>
        <v>-2.5715962692629544E-14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216.22465631364315</v>
      </c>
      <c r="T77" s="62">
        <f t="shared" si="88"/>
        <v>304.27938609150095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6.2</v>
      </c>
      <c r="AI77" s="14">
        <f>IF('Données projet'!$A$62&gt;35,AI76+AH77-AQ76,IF(A77&lt;'Données projet'!$A$62,$AF$205^A77,IF(A77='Données projet'!$A$62,'Données projet'!$B$62,AI76+AH77-AQ76)))</f>
        <v>245.7999999999999</v>
      </c>
      <c r="AJ77" s="14">
        <f>AI77*VLOOKUP('Données projet'!$B$10,Paramètres!$A$1:$I$89,3,0)*VLOOKUP('Données projet'!$B$10,Paramètres!$A$1:$I$89,5,0)</f>
        <v>222.3998399999999</v>
      </c>
      <c r="AK77" s="14">
        <f t="shared" si="89"/>
        <v>54.636149281681448</v>
      </c>
      <c r="AL77" s="22">
        <f t="shared" si="58"/>
        <v>482.50434799892832</v>
      </c>
      <c r="AM77" s="62">
        <f t="shared" si="59"/>
        <v>775.83768133226158</v>
      </c>
      <c r="AN77" s="62">
        <f ca="1">AVERAGE(OFFSET($AM$3,0,0,'Données projet'!$E$10+1,1))-AVERAGE(OFFSET($H$3,0,0,'Données projet'!$E$10+1,1))</f>
        <v>336.63786714776501</v>
      </c>
      <c r="AO77" s="62">
        <f t="shared" si="90"/>
        <v>208.9883766854885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6.2</v>
      </c>
      <c r="BD77" s="13">
        <f>IF('Données projet'!$A$88&gt;35,BD76+BC77-BL76,IF(A77&lt;'Données projet'!$A$88,$BA$205^A77,IF(A77='Données projet'!$A$88,'Données projet'!$B$88,BD76+BC77-BL76)))</f>
        <v>245.7999999999999</v>
      </c>
      <c r="BE77" s="14">
        <f>BD77*VLOOKUP('Données projet'!$B$11,Paramètres!$A$1:$I$89,3,0)*VLOOKUP('Données projet'!$B$11,Paramètres!$A$1:$I$89,5,0)</f>
        <v>237.73775999999989</v>
      </c>
      <c r="BF77" s="14">
        <f t="shared" si="91"/>
        <v>57.952530566790166</v>
      </c>
      <c r="BG77" s="22">
        <f t="shared" si="61"/>
        <v>514.99392273715932</v>
      </c>
      <c r="BH77" s="62">
        <f t="shared" si="62"/>
        <v>808.32725607049269</v>
      </c>
      <c r="BI77" s="62">
        <f ca="1">AVERAGE(OFFSET($BH$3,0,0,'Données projet'!$E$11+1,1))-AVERAGE(OFFSET($H$3,0,0,'Données projet'!$E$11+1,1))</f>
        <v>363.29716504383265</v>
      </c>
      <c r="BJ77" s="62">
        <f t="shared" si="92"/>
        <v>223.12394672673923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1.1368683772161603E-13</v>
      </c>
      <c r="BZ77" s="14">
        <f>BY77*VLOOKUP('Données projet'!$B$12,Paramètres!$A$1:$I$89,3,0)*VLOOKUP('Données projet'!$B$12,Paramètres!$A$1:$I$89,5,0)</f>
        <v>8.8675733422860506E-14</v>
      </c>
      <c r="CA77" s="14">
        <f t="shared" si="93"/>
        <v>1.3509285393066301E-12</v>
      </c>
      <c r="CB77" s="22">
        <f t="shared" si="64"/>
        <v>2.5073107750038623E-12</v>
      </c>
      <c r="CC77" s="62">
        <f t="shared" si="65"/>
        <v>293.33333333333582</v>
      </c>
      <c r="CD77" s="62">
        <f ca="1">AVERAGE(OFFSET($CC$3,0,0,'Données projet'!$E$12+1,1))-AVERAGE(OFFSET($H$3,0,0,'Données projet'!$E$12+1,1))</f>
        <v>249.25370091019835</v>
      </c>
      <c r="CE77" s="62">
        <f t="shared" si="94"/>
        <v>245.46410820099908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6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2">
        <f t="shared" si="86"/>
        <v>12.250099502125838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9">
        <f t="shared" si="56"/>
        <v>349.32350663286911</v>
      </c>
      <c r="I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-2.8421709430404007E-14</v>
      </c>
      <c r="O78" s="14">
        <f>N78*VLOOKUP('Données projet'!$B$9,Paramètres!$A$1:$I$89,3,0)*VLOOKUP('Données projet'!$B$9,Paramètres!$A$1:$I$89,5,0)</f>
        <v>-2.5715962692629544E-14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216.22465631364315</v>
      </c>
      <c r="T78" s="62">
        <f t="shared" si="88"/>
        <v>304.27938609150095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252</v>
      </c>
      <c r="AG78" s="13">
        <f>VLOOKUP(A78,'Données projet'!$A$61:$I$81,9,0)</f>
        <v>6.2</v>
      </c>
      <c r="AH78" s="13">
        <f t="array" ref="AH78">INDEX(AG:AG,MIN(IF(ISNUMBER(AG78:AG274),ROW(AG78:AG274),"")))</f>
        <v>6.2</v>
      </c>
      <c r="AI78" s="14">
        <f>IF('Données projet'!$A$62&gt;35,AI77+AH78-AQ77,IF(A78&lt;'Données projet'!$A$62,$AF$205^A78,IF(A78='Données projet'!$A$62,'Données projet'!$B$62,AI77+AH78-AQ77)))</f>
        <v>251.99999999999989</v>
      </c>
      <c r="AJ78" s="14">
        <f>AI78*VLOOKUP('Données projet'!$B$10,Paramètres!$A$1:$I$89,3,0)*VLOOKUP('Données projet'!$B$10,Paramètres!$A$1:$I$89,5,0)</f>
        <v>228.00959999999986</v>
      </c>
      <c r="AK78" s="14">
        <f t="shared" si="89"/>
        <v>55.852093054619779</v>
      </c>
      <c r="AL78" s="22">
        <f t="shared" si="58"/>
        <v>494.39244873679587</v>
      </c>
      <c r="AM78" s="62">
        <f t="shared" si="59"/>
        <v>787.72578207012918</v>
      </c>
      <c r="AN78" s="62">
        <f ca="1">AVERAGE(OFFSET($AM$3,0,0,'Données projet'!$E$10+1,1))-AVERAGE(OFFSET($H$3,0,0,'Données projet'!$E$10+1,1))</f>
        <v>336.63786714776501</v>
      </c>
      <c r="AO78" s="62">
        <f t="shared" si="90"/>
        <v>208.9883766854885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252</v>
      </c>
      <c r="BB78" s="13">
        <f>VLOOKUP(A78,'Données projet'!$A$87:$I$107,9,0)</f>
        <v>6.2</v>
      </c>
      <c r="BC78" s="13">
        <f t="array" ref="BC78">INDEX(BB:BB,MIN(IF(ISNUMBER(BB78:BB274),ROW(BB78:BB274),"")))</f>
        <v>6.2</v>
      </c>
      <c r="BD78" s="13">
        <f>IF('Données projet'!$A$88&gt;35,BD77+BC78-BL77,IF(A78&lt;'Données projet'!$A$88,$BA$205^A78,IF(A78='Données projet'!$A$88,'Données projet'!$B$88,BD77+BC78-BL77)))</f>
        <v>251.99999999999989</v>
      </c>
      <c r="BE78" s="14">
        <f>BD78*VLOOKUP('Données projet'!$B$11,Paramètres!$A$1:$I$89,3,0)*VLOOKUP('Données projet'!$B$11,Paramètres!$A$1:$I$89,5,0)</f>
        <v>243.73439999999988</v>
      </c>
      <c r="BF78" s="14">
        <f t="shared" si="91"/>
        <v>59.242281392848767</v>
      </c>
      <c r="BG78" s="22">
        <f t="shared" si="61"/>
        <v>527.68438675921141</v>
      </c>
      <c r="BH78" s="62">
        <f t="shared" si="62"/>
        <v>821.01772009254478</v>
      </c>
      <c r="BI78" s="62">
        <f ca="1">AVERAGE(OFFSET($BH$3,0,0,'Données projet'!$E$11+1,1))-AVERAGE(OFFSET($H$3,0,0,'Données projet'!$E$11+1,1))</f>
        <v>363.29716504383265</v>
      </c>
      <c r="BJ78" s="62">
        <f t="shared" si="92"/>
        <v>223.12394672673923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1.1368683772161603E-13</v>
      </c>
      <c r="BZ78" s="14">
        <f>BY78*VLOOKUP('Données projet'!$B$12,Paramètres!$A$1:$I$89,3,0)*VLOOKUP('Données projet'!$B$12,Paramètres!$A$1:$I$89,5,0)</f>
        <v>8.8675733422860506E-14</v>
      </c>
      <c r="CA78" s="14">
        <f t="shared" si="93"/>
        <v>1.3509285393066301E-12</v>
      </c>
      <c r="CB78" s="22">
        <f t="shared" si="64"/>
        <v>2.5073107750038623E-12</v>
      </c>
      <c r="CC78" s="62">
        <f t="shared" si="65"/>
        <v>293.33333333333582</v>
      </c>
      <c r="CD78" s="62">
        <f ca="1">AVERAGE(OFFSET($CC$3,0,0,'Données projet'!$E$12+1,1))-AVERAGE(OFFSET($H$3,0,0,'Données projet'!$E$12+1,1))</f>
        <v>249.25370091019835</v>
      </c>
      <c r="CE78" s="62">
        <f t="shared" si="94"/>
        <v>245.46410820099908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6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2">
        <f t="shared" si="86"/>
        <v>12.394310565265254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9">
        <f t="shared" si="56"/>
        <v>350.5256242345036</v>
      </c>
      <c r="I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-2.8421709430404007E-14</v>
      </c>
      <c r="O79" s="14">
        <f>N79*VLOOKUP('Données projet'!$B$9,Paramètres!$A$1:$I$89,3,0)*VLOOKUP('Données projet'!$B$9,Paramètres!$A$1:$I$89,5,0)</f>
        <v>-2.5715962692629544E-14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216.22465631364315</v>
      </c>
      <c r="T79" s="62">
        <f t="shared" si="88"/>
        <v>304.27938609150095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6</v>
      </c>
      <c r="AI79" s="14">
        <f>IF('Données projet'!$A$62&gt;35,AI78+AH79-AQ78,IF(A79&lt;'Données projet'!$A$62,$AF$205^A79,IF(A79='Données projet'!$A$62,'Données projet'!$B$62,AI78+AH79-AQ78)))</f>
        <v>257.99999999999989</v>
      </c>
      <c r="AJ79" s="14">
        <f>AI79*VLOOKUP('Données projet'!$B$10,Paramètres!$A$1:$I$89,3,0)*VLOOKUP('Données projet'!$B$10,Paramètres!$A$1:$I$89,5,0)</f>
        <v>233.43839999999989</v>
      </c>
      <c r="AK79" s="14">
        <f t="shared" si="89"/>
        <v>57.025500710931624</v>
      </c>
      <c r="AL79" s="22">
        <f t="shared" si="58"/>
        <v>505.89129373820577</v>
      </c>
      <c r="AM79" s="62">
        <f t="shared" si="59"/>
        <v>799.22462707153909</v>
      </c>
      <c r="AN79" s="62">
        <f ca="1">AVERAGE(OFFSET($AM$3,0,0,'Données projet'!$E$10+1,1))-AVERAGE(OFFSET($H$3,0,0,'Données projet'!$E$10+1,1))</f>
        <v>336.63786714776501</v>
      </c>
      <c r="AO79" s="62">
        <f t="shared" si="90"/>
        <v>208.9883766854885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6</v>
      </c>
      <c r="BD79" s="13">
        <f>IF('Données projet'!$A$88&gt;35,BD78+BC79-BL78,IF(A79&lt;'Données projet'!$A$88,$BA$205^A79,IF(A79='Données projet'!$A$88,'Données projet'!$B$88,BD78+BC79-BL78)))</f>
        <v>257.99999999999989</v>
      </c>
      <c r="BE79" s="14">
        <f>BD79*VLOOKUP('Données projet'!$B$11,Paramètres!$A$1:$I$89,3,0)*VLOOKUP('Données projet'!$B$11,Paramètres!$A$1:$I$89,5,0)</f>
        <v>249.53759999999988</v>
      </c>
      <c r="BF79" s="14">
        <f t="shared" si="91"/>
        <v>60.486914185674671</v>
      </c>
      <c r="BG79" s="22">
        <f t="shared" si="61"/>
        <v>539.95936220671649</v>
      </c>
      <c r="BH79" s="62">
        <f t="shared" si="62"/>
        <v>833.29269554004986</v>
      </c>
      <c r="BI79" s="62">
        <f ca="1">AVERAGE(OFFSET($BH$3,0,0,'Données projet'!$E$11+1,1))-AVERAGE(OFFSET($H$3,0,0,'Données projet'!$E$11+1,1))</f>
        <v>363.29716504383265</v>
      </c>
      <c r="BJ79" s="62">
        <f t="shared" si="92"/>
        <v>223.12394672673923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1.1368683772161603E-13</v>
      </c>
      <c r="BZ79" s="14">
        <f>BY79*VLOOKUP('Données projet'!$B$12,Paramètres!$A$1:$I$89,3,0)*VLOOKUP('Données projet'!$B$12,Paramètres!$A$1:$I$89,5,0)</f>
        <v>8.8675733422860506E-14</v>
      </c>
      <c r="CA79" s="14">
        <f t="shared" si="93"/>
        <v>1.3509285393066301E-12</v>
      </c>
      <c r="CB79" s="22">
        <f t="shared" si="64"/>
        <v>2.5073107750038623E-12</v>
      </c>
      <c r="CC79" s="62">
        <f t="shared" si="65"/>
        <v>293.33333333333582</v>
      </c>
      <c r="CD79" s="62">
        <f ca="1">AVERAGE(OFFSET($CC$3,0,0,'Données projet'!$E$12+1,1))-AVERAGE(OFFSET($H$3,0,0,'Données projet'!$E$12+1,1))</f>
        <v>249.25370091019835</v>
      </c>
      <c r="CE79" s="62">
        <f t="shared" si="94"/>
        <v>245.46410820099908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6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2">
        <f t="shared" si="86"/>
        <v>12.538300920096166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9">
        <f t="shared" si="56"/>
        <v>351.72735743583411</v>
      </c>
      <c r="I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-2.8421709430404007E-14</v>
      </c>
      <c r="O80" s="14">
        <f>N80*VLOOKUP('Données projet'!$B$9,Paramètres!$A$1:$I$89,3,0)*VLOOKUP('Données projet'!$B$9,Paramètres!$A$1:$I$89,5,0)</f>
        <v>-2.5715962692629544E-14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216.22465631364315</v>
      </c>
      <c r="T80" s="62">
        <f t="shared" si="88"/>
        <v>304.27938609150095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6</v>
      </c>
      <c r="AI80" s="14">
        <f>IF('Données projet'!$A$62&gt;35,AI79+AH80-AQ79,IF(A80&lt;'Données projet'!$A$62,$AF$205^A80,IF(A80='Données projet'!$A$62,'Données projet'!$B$62,AI79+AH80-AQ79)))</f>
        <v>263.99999999999989</v>
      </c>
      <c r="AJ80" s="14">
        <f>AI80*VLOOKUP('Données projet'!$B$10,Paramètres!$A$1:$I$89,3,0)*VLOOKUP('Données projet'!$B$10,Paramètres!$A$1:$I$89,5,0)</f>
        <v>238.86719999999988</v>
      </c>
      <c r="AK80" s="14">
        <f t="shared" si="89"/>
        <v>58.195735973104156</v>
      </c>
      <c r="AL80" s="22">
        <f t="shared" si="58"/>
        <v>517.38461348648957</v>
      </c>
      <c r="AM80" s="62">
        <f t="shared" si="59"/>
        <v>810.71794681982283</v>
      </c>
      <c r="AN80" s="62">
        <f ca="1">AVERAGE(OFFSET($AM$3,0,0,'Données projet'!$E$10+1,1))-AVERAGE(OFFSET($H$3,0,0,'Données projet'!$E$10+1,1))</f>
        <v>336.63786714776501</v>
      </c>
      <c r="AO80" s="62">
        <f t="shared" si="90"/>
        <v>208.9883766854885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6</v>
      </c>
      <c r="BD80" s="13">
        <f>IF('Données projet'!$A$88&gt;35,BD79+BC80-BL79,IF(A80&lt;'Données projet'!$A$88,$BA$205^A80,IF(A80='Données projet'!$A$88,'Données projet'!$B$88,BD79+BC80-BL79)))</f>
        <v>263.99999999999989</v>
      </c>
      <c r="BE80" s="14">
        <f>BD80*VLOOKUP('Données projet'!$B$11,Paramètres!$A$1:$I$89,3,0)*VLOOKUP('Données projet'!$B$11,Paramètres!$A$1:$I$89,5,0)</f>
        <v>255.34079999999989</v>
      </c>
      <c r="BF80" s="14">
        <f t="shared" si="91"/>
        <v>61.728182021951895</v>
      </c>
      <c r="BG80" s="22">
        <f t="shared" si="61"/>
        <v>552.22847702156594</v>
      </c>
      <c r="BH80" s="62">
        <f t="shared" si="62"/>
        <v>845.56181035489931</v>
      </c>
      <c r="BI80" s="62">
        <f ca="1">AVERAGE(OFFSET($BH$3,0,0,'Données projet'!$E$11+1,1))-AVERAGE(OFFSET($H$3,0,0,'Données projet'!$E$11+1,1))</f>
        <v>363.29716504383265</v>
      </c>
      <c r="BJ80" s="62">
        <f t="shared" si="92"/>
        <v>223.12394672673923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1.1368683772161603E-13</v>
      </c>
      <c r="BZ80" s="14">
        <f>BY80*VLOOKUP('Données projet'!$B$12,Paramètres!$A$1:$I$89,3,0)*VLOOKUP('Données projet'!$B$12,Paramètres!$A$1:$I$89,5,0)</f>
        <v>8.8675733422860506E-14</v>
      </c>
      <c r="CA80" s="14">
        <f t="shared" si="93"/>
        <v>1.3509285393066301E-12</v>
      </c>
      <c r="CB80" s="22">
        <f t="shared" si="64"/>
        <v>2.5073107750038623E-12</v>
      </c>
      <c r="CC80" s="62">
        <f t="shared" si="65"/>
        <v>293.33333333333582</v>
      </c>
      <c r="CD80" s="62">
        <f ca="1">AVERAGE(OFFSET($CC$3,0,0,'Données projet'!$E$12+1,1))-AVERAGE(OFFSET($H$3,0,0,'Données projet'!$E$12+1,1))</f>
        <v>249.25370091019835</v>
      </c>
      <c r="CE80" s="62">
        <f t="shared" si="94"/>
        <v>245.46410820099908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6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2">
        <f t="shared" si="86"/>
        <v>12.682073764365757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9">
        <f t="shared" si="56"/>
        <v>352.92871180627031</v>
      </c>
      <c r="I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-2.8421709430404007E-14</v>
      </c>
      <c r="O81" s="14">
        <f>N81*VLOOKUP('Données projet'!$B$9,Paramètres!$A$1:$I$89,3,0)*VLOOKUP('Données projet'!$B$9,Paramètres!$A$1:$I$89,5,0)</f>
        <v>-2.5715962692629544E-14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216.22465631364315</v>
      </c>
      <c r="T81" s="62">
        <f t="shared" si="88"/>
        <v>304.27938609150095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6</v>
      </c>
      <c r="AI81" s="14">
        <f>IF('Données projet'!$A$62&gt;35,AI80+AH81-AQ80,IF(A81&lt;'Données projet'!$A$62,$AF$205^A81,IF(A81='Données projet'!$A$62,'Données projet'!$B$62,AI80+AH81-AQ80)))</f>
        <v>269.99999999999989</v>
      </c>
      <c r="AJ81" s="14">
        <f>AI81*VLOOKUP('Données projet'!$B$10,Paramètres!$A$1:$I$89,3,0)*VLOOKUP('Données projet'!$B$10,Paramètres!$A$1:$I$89,5,0)</f>
        <v>244.29599999999991</v>
      </c>
      <c r="AK81" s="14">
        <f t="shared" si="89"/>
        <v>59.362879241040318</v>
      </c>
      <c r="AL81" s="22">
        <f t="shared" si="58"/>
        <v>528.87254801147833</v>
      </c>
      <c r="AM81" s="62">
        <f t="shared" si="59"/>
        <v>822.20588134481159</v>
      </c>
      <c r="AN81" s="62">
        <f ca="1">AVERAGE(OFFSET($AM$3,0,0,'Données projet'!$E$10+1,1))-AVERAGE(OFFSET($H$3,0,0,'Données projet'!$E$10+1,1))</f>
        <v>336.63786714776501</v>
      </c>
      <c r="AO81" s="62">
        <f t="shared" si="90"/>
        <v>208.9883766854885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6</v>
      </c>
      <c r="BD81" s="13">
        <f>IF('Données projet'!$A$88&gt;35,BD80+BC81-BL80,IF(A81&lt;'Données projet'!$A$88,$BA$205^A81,IF(A81='Données projet'!$A$88,'Données projet'!$B$88,BD80+BC81-BL80)))</f>
        <v>269.99999999999989</v>
      </c>
      <c r="BE81" s="14">
        <f>BD81*VLOOKUP('Données projet'!$B$11,Paramètres!$A$1:$I$89,3,0)*VLOOKUP('Données projet'!$B$11,Paramètres!$A$1:$I$89,5,0)</f>
        <v>261.14399999999989</v>
      </c>
      <c r="BF81" s="14">
        <f t="shared" si="91"/>
        <v>62.966170181808813</v>
      </c>
      <c r="BG81" s="22">
        <f t="shared" si="61"/>
        <v>564.49187973331675</v>
      </c>
      <c r="BH81" s="62">
        <f t="shared" si="62"/>
        <v>857.82521306665012</v>
      </c>
      <c r="BI81" s="62">
        <f ca="1">AVERAGE(OFFSET($BH$3,0,0,'Données projet'!$E$11+1,1))-AVERAGE(OFFSET($H$3,0,0,'Données projet'!$E$11+1,1))</f>
        <v>363.29716504383265</v>
      </c>
      <c r="BJ81" s="62">
        <f t="shared" si="92"/>
        <v>223.12394672673923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1.1368683772161603E-13</v>
      </c>
      <c r="BZ81" s="14">
        <f>BY81*VLOOKUP('Données projet'!$B$12,Paramètres!$A$1:$I$89,3,0)*VLOOKUP('Données projet'!$B$12,Paramètres!$A$1:$I$89,5,0)</f>
        <v>8.8675733422860506E-14</v>
      </c>
      <c r="CA81" s="14">
        <f t="shared" si="93"/>
        <v>1.3509285393066301E-12</v>
      </c>
      <c r="CB81" s="22">
        <f t="shared" si="64"/>
        <v>2.5073107750038623E-12</v>
      </c>
      <c r="CC81" s="62">
        <f t="shared" si="65"/>
        <v>293.33333333333582</v>
      </c>
      <c r="CD81" s="62">
        <f ca="1">AVERAGE(OFFSET($CC$3,0,0,'Données projet'!$E$12+1,1))-AVERAGE(OFFSET($H$3,0,0,'Données projet'!$E$12+1,1))</f>
        <v>249.25370091019835</v>
      </c>
      <c r="CE81" s="62">
        <f t="shared" si="94"/>
        <v>245.46410820099908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6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2">
        <f t="shared" si="86"/>
        <v>12.82563220911333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9">
        <f t="shared" si="56"/>
        <v>354.12969276420569</v>
      </c>
      <c r="I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-2.8421709430404007E-14</v>
      </c>
      <c r="O82" s="14">
        <f>N82*VLOOKUP('Données projet'!$B$9,Paramètres!$A$1:$I$89,3,0)*VLOOKUP('Données projet'!$B$9,Paramètres!$A$1:$I$89,5,0)</f>
        <v>-2.5715962692629544E-14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216.22465631364315</v>
      </c>
      <c r="T82" s="62">
        <f t="shared" si="88"/>
        <v>304.27938609150095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6</v>
      </c>
      <c r="AI82" s="14">
        <f>IF('Données projet'!$A$62&gt;35,AI81+AH82-AQ81,IF(A82&lt;'Données projet'!$A$62,$AF$205^A82,IF(A82='Données projet'!$A$62,'Données projet'!$B$62,AI81+AH82-AQ81)))</f>
        <v>275.99999999999989</v>
      </c>
      <c r="AJ82" s="14">
        <f>AI82*VLOOKUP('Données projet'!$B$10,Paramètres!$A$1:$I$89,3,0)*VLOOKUP('Données projet'!$B$10,Paramètres!$A$1:$I$89,5,0)</f>
        <v>249.7247999999999</v>
      </c>
      <c r="AK82" s="14">
        <f t="shared" si="89"/>
        <v>60.527007137298092</v>
      </c>
      <c r="AL82" s="22">
        <f t="shared" si="58"/>
        <v>540.35523076412733</v>
      </c>
      <c r="AM82" s="62">
        <f t="shared" si="59"/>
        <v>833.68856409746058</v>
      </c>
      <c r="AN82" s="62">
        <f ca="1">AVERAGE(OFFSET($AM$3,0,0,'Données projet'!$E$10+1,1))-AVERAGE(OFFSET($H$3,0,0,'Données projet'!$E$10+1,1))</f>
        <v>336.63786714776501</v>
      </c>
      <c r="AO82" s="62">
        <f t="shared" si="90"/>
        <v>208.9883766854885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6</v>
      </c>
      <c r="BD82" s="13">
        <f>IF('Données projet'!$A$88&gt;35,BD81+BC82-BL81,IF(A82&lt;'Données projet'!$A$88,$BA$205^A82,IF(A82='Données projet'!$A$88,'Données projet'!$B$88,BD81+BC82-BL81)))</f>
        <v>275.99999999999989</v>
      </c>
      <c r="BE82" s="14">
        <f>BD82*VLOOKUP('Données projet'!$B$11,Paramètres!$A$1:$I$89,3,0)*VLOOKUP('Données projet'!$B$11,Paramètres!$A$1:$I$89,5,0)</f>
        <v>266.9471999999999</v>
      </c>
      <c r="BF82" s="14">
        <f t="shared" si="91"/>
        <v>64.200959938746379</v>
      </c>
      <c r="BG82" s="22">
        <f t="shared" si="61"/>
        <v>576.74971189331643</v>
      </c>
      <c r="BH82" s="62">
        <f t="shared" si="62"/>
        <v>870.0830452266498</v>
      </c>
      <c r="BI82" s="62">
        <f ca="1">AVERAGE(OFFSET($BH$3,0,0,'Données projet'!$E$11+1,1))-AVERAGE(OFFSET($H$3,0,0,'Données projet'!$E$11+1,1))</f>
        <v>363.29716504383265</v>
      </c>
      <c r="BJ82" s="62">
        <f t="shared" si="92"/>
        <v>223.12394672673923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1.1368683772161603E-13</v>
      </c>
      <c r="BZ82" s="14">
        <f>BY82*VLOOKUP('Données projet'!$B$12,Paramètres!$A$1:$I$89,3,0)*VLOOKUP('Données projet'!$B$12,Paramètres!$A$1:$I$89,5,0)</f>
        <v>8.8675733422860506E-14</v>
      </c>
      <c r="CA82" s="14">
        <f t="shared" si="93"/>
        <v>1.3509285393066301E-12</v>
      </c>
      <c r="CB82" s="22">
        <f t="shared" si="64"/>
        <v>2.5073107750038623E-12</v>
      </c>
      <c r="CC82" s="62">
        <f t="shared" si="65"/>
        <v>293.33333333333582</v>
      </c>
      <c r="CD82" s="62">
        <f ca="1">AVERAGE(OFFSET($CC$3,0,0,'Données projet'!$E$12+1,1))-AVERAGE(OFFSET($H$3,0,0,'Données projet'!$E$12+1,1))</f>
        <v>249.25370091019835</v>
      </c>
      <c r="CE82" s="62">
        <f t="shared" si="94"/>
        <v>245.46410820099908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6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2">
        <f t="shared" si="86"/>
        <v>12.968979282088567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9">
        <f t="shared" si="56"/>
        <v>355.33030558297088</v>
      </c>
      <c r="I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-2.8421709430404007E-14</v>
      </c>
      <c r="O83" s="14">
        <f>N83*VLOOKUP('Données projet'!$B$9,Paramètres!$A$1:$I$89,3,0)*VLOOKUP('Données projet'!$B$9,Paramètres!$A$1:$I$89,5,0)</f>
        <v>-2.5715962692629544E-14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216.22465631364315</v>
      </c>
      <c r="T83" s="62">
        <f t="shared" si="88"/>
        <v>304.27938609150095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282</v>
      </c>
      <c r="AG83" s="13">
        <f>VLOOKUP(A83,'Données projet'!$A$61:$I$81,9,0)</f>
        <v>6</v>
      </c>
      <c r="AH83" s="13">
        <f t="array" ref="AH83">INDEX(AG:AG,MIN(IF(ISNUMBER(AG83:AG279),ROW(AG83:AG279),"")))</f>
        <v>6</v>
      </c>
      <c r="AI83" s="14">
        <f>IF('Données projet'!$A$62&gt;35,AI82+AH83-AQ82,IF(A83&lt;'Données projet'!$A$62,$AF$205^A83,IF(A83='Données projet'!$A$62,'Données projet'!$B$62,AI82+AH83-AQ82)))</f>
        <v>281.99999999999989</v>
      </c>
      <c r="AJ83" s="14">
        <f>AI83*VLOOKUP('Données projet'!$B$10,Paramètres!$A$1:$I$89,3,0)*VLOOKUP('Données projet'!$B$10,Paramètres!$A$1:$I$89,5,0)</f>
        <v>255.15359999999987</v>
      </c>
      <c r="AK83" s="14">
        <f t="shared" si="89"/>
        <v>61.688192762754376</v>
      </c>
      <c r="AL83" s="22">
        <f t="shared" si="58"/>
        <v>551.83278906179692</v>
      </c>
      <c r="AM83" s="62">
        <f t="shared" si="59"/>
        <v>845.16612239513029</v>
      </c>
      <c r="AN83" s="62">
        <f ca="1">AVERAGE(OFFSET($AM$3,0,0,'Données projet'!$E$10+1,1))-AVERAGE(OFFSET($H$3,0,0,'Données projet'!$E$10+1,1))</f>
        <v>336.63786714776501</v>
      </c>
      <c r="AO83" s="62">
        <f t="shared" si="90"/>
        <v>208.9883766854885</v>
      </c>
      <c r="AP83" s="16">
        <f>IF(ISNA(VLOOKUP(A83,'Données projet'!$A$61:$I$81,3,0)),0,VLOOKUP(A83,'Données projet'!$A$61:$I$81,3,0))</f>
        <v>6</v>
      </c>
      <c r="AQ83" s="16">
        <f>IF(ISNA(VLOOKUP(A83,'Données projet'!$A$61:$I$81,4,0)),0,VLOOKUP(A83,'Données projet'!$A$61:$I$81,4,0))</f>
        <v>42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282</v>
      </c>
      <c r="BB83" s="13">
        <f>VLOOKUP(A83,'Données projet'!$A$87:$I$107,9,0)</f>
        <v>6</v>
      </c>
      <c r="BC83" s="13">
        <f t="array" ref="BC83">INDEX(BB:BB,MIN(IF(ISNUMBER(BB83:BB279),ROW(BB83:BB279),"")))</f>
        <v>6</v>
      </c>
      <c r="BD83" s="13">
        <f>IF('Données projet'!$A$88&gt;35,BD82+BC83-BL82,IF(A83&lt;'Données projet'!$A$88,$BA$205^A83,IF(A83='Données projet'!$A$88,'Données projet'!$B$88,BD82+BC83-BL82)))</f>
        <v>281.99999999999989</v>
      </c>
      <c r="BE83" s="14">
        <f>BD83*VLOOKUP('Données projet'!$B$11,Paramètres!$A$1:$I$89,3,0)*VLOOKUP('Données projet'!$B$11,Paramètres!$A$1:$I$89,5,0)</f>
        <v>272.7503999999999</v>
      </c>
      <c r="BF83" s="14">
        <f t="shared" si="91"/>
        <v>65.432628830820633</v>
      </c>
      <c r="BG83" s="22">
        <f t="shared" si="61"/>
        <v>589.00210854701243</v>
      </c>
      <c r="BH83" s="62">
        <f t="shared" si="62"/>
        <v>882.3354418803458</v>
      </c>
      <c r="BI83" s="62">
        <f ca="1">AVERAGE(OFFSET($BH$3,0,0,'Données projet'!$E$11+1,1))-AVERAGE(OFFSET($H$3,0,0,'Données projet'!$E$11+1,1))</f>
        <v>363.29716504383265</v>
      </c>
      <c r="BJ83" s="62">
        <f t="shared" si="92"/>
        <v>223.12394672673923</v>
      </c>
      <c r="BK83" s="16">
        <f>IF(ISNA(VLOOKUP(A83,'Données projet'!$A$87:$I$107,3,0)),0,VLOOKUP(A83,'Données projet'!$A$87:$I$107,3,0))</f>
        <v>6</v>
      </c>
      <c r="BL83" s="23">
        <f>IF(ISNA(VLOOKUP(A83,'Données projet'!$A$87:$I$107,4,0)),0,VLOOKUP(A83,'Données projet'!$A$87:$I$107,4,0))</f>
        <v>42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1.1368683772161603E-13</v>
      </c>
      <c r="BZ83" s="14">
        <f>BY83*VLOOKUP('Données projet'!$B$12,Paramètres!$A$1:$I$89,3,0)*VLOOKUP('Données projet'!$B$12,Paramètres!$A$1:$I$89,5,0)</f>
        <v>8.8675733422860506E-14</v>
      </c>
      <c r="CA83" s="14">
        <f t="shared" si="93"/>
        <v>1.3509285393066301E-12</v>
      </c>
      <c r="CB83" s="22">
        <f t="shared" si="64"/>
        <v>2.5073107750038623E-12</v>
      </c>
      <c r="CC83" s="62">
        <f t="shared" si="65"/>
        <v>293.33333333333582</v>
      </c>
      <c r="CD83" s="62">
        <f ca="1">AVERAGE(OFFSET($CC$3,0,0,'Données projet'!$E$12+1,1))-AVERAGE(OFFSET($H$3,0,0,'Données projet'!$E$12+1,1))</f>
        <v>249.25370091019835</v>
      </c>
      <c r="CE83" s="62">
        <f t="shared" si="94"/>
        <v>245.46410820099908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6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2">
        <f t="shared" si="86"/>
        <v>13.112117930994097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9">
        <f t="shared" si="56"/>
        <v>356.53055539648136</v>
      </c>
      <c r="I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-2.8421709430404007E-14</v>
      </c>
      <c r="O84" s="14">
        <f>N84*VLOOKUP('Données projet'!$B$9,Paramètres!$A$1:$I$89,3,0)*VLOOKUP('Données projet'!$B$9,Paramètres!$A$1:$I$89,5,0)</f>
        <v>-2.5715962692629544E-14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216.22465631364315</v>
      </c>
      <c r="T84" s="62">
        <f t="shared" si="88"/>
        <v>304.27938609150095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5.6</v>
      </c>
      <c r="AI84" s="14">
        <f>IF('Données projet'!$A$62&gt;35,AI83+AH84-AQ83,IF(A84&lt;'Données projet'!$A$62,$AF$205^A84,IF(A84='Données projet'!$A$62,'Données projet'!$B$62,AI83+AH84-AQ83)))</f>
        <v>245.59999999999991</v>
      </c>
      <c r="AJ84" s="14">
        <f>AI84*VLOOKUP('Données projet'!$B$10,Paramètres!$A$1:$I$89,3,0)*VLOOKUP('Données projet'!$B$10,Paramètres!$A$1:$I$89,5,0)</f>
        <v>222.21887999999993</v>
      </c>
      <c r="AK84" s="14">
        <f t="shared" si="89"/>
        <v>54.596866296848852</v>
      </c>
      <c r="AL84" s="22">
        <f t="shared" si="58"/>
        <v>482.12075813367829</v>
      </c>
      <c r="AM84" s="62">
        <f t="shared" si="59"/>
        <v>775.45409146701161</v>
      </c>
      <c r="AN84" s="62">
        <f ca="1">AVERAGE(OFFSET($AM$3,0,0,'Données projet'!$E$10+1,1))-AVERAGE(OFFSET($H$3,0,0,'Données projet'!$E$10+1,1))</f>
        <v>336.63786714776501</v>
      </c>
      <c r="AO84" s="62">
        <f t="shared" si="90"/>
        <v>208.9883766854885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5.6</v>
      </c>
      <c r="BD84" s="13">
        <f>IF('Données projet'!$A$88&gt;35,BD83+BC84-BL83,IF(A84&lt;'Données projet'!$A$88,$BA$205^A84,IF(A84='Données projet'!$A$88,'Données projet'!$B$88,BD83+BC84-BL83)))</f>
        <v>245.59999999999991</v>
      </c>
      <c r="BE84" s="14">
        <f>BD84*VLOOKUP('Données projet'!$B$11,Paramètres!$A$1:$I$89,3,0)*VLOOKUP('Données projet'!$B$11,Paramètres!$A$1:$I$89,5,0)</f>
        <v>237.54431999999991</v>
      </c>
      <c r="BF84" s="14">
        <f t="shared" si="91"/>
        <v>57.910863128487989</v>
      </c>
      <c r="BG84" s="22">
        <f t="shared" si="61"/>
        <v>514.58444394878302</v>
      </c>
      <c r="BH84" s="62">
        <f t="shared" si="62"/>
        <v>807.91777728211628</v>
      </c>
      <c r="BI84" s="62">
        <f ca="1">AVERAGE(OFFSET($BH$3,0,0,'Données projet'!$E$11+1,1))-AVERAGE(OFFSET($H$3,0,0,'Données projet'!$E$11+1,1))</f>
        <v>363.29716504383265</v>
      </c>
      <c r="BJ84" s="62">
        <f t="shared" si="92"/>
        <v>223.12394672673923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1.1368683772161603E-13</v>
      </c>
      <c r="BZ84" s="14">
        <f>BY84*VLOOKUP('Données projet'!$B$12,Paramètres!$A$1:$I$89,3,0)*VLOOKUP('Données projet'!$B$12,Paramètres!$A$1:$I$89,5,0)</f>
        <v>8.8675733422860506E-14</v>
      </c>
      <c r="CA84" s="14">
        <f t="shared" si="93"/>
        <v>1.3509285393066301E-12</v>
      </c>
      <c r="CB84" s="22">
        <f t="shared" si="64"/>
        <v>2.5073107750038623E-12</v>
      </c>
      <c r="CC84" s="62">
        <f t="shared" si="65"/>
        <v>293.33333333333582</v>
      </c>
      <c r="CD84" s="62">
        <f ca="1">AVERAGE(OFFSET($CC$3,0,0,'Données projet'!$E$12+1,1))-AVERAGE(OFFSET($H$3,0,0,'Données projet'!$E$12+1,1))</f>
        <v>249.25370091019835</v>
      </c>
      <c r="CE84" s="62">
        <f t="shared" si="94"/>
        <v>245.46410820099908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6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2">
        <f t="shared" si="86"/>
        <v>13.255051026563269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9">
        <f t="shared" si="56"/>
        <v>357.73044720459762</v>
      </c>
      <c r="I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-2.8421709430404007E-14</v>
      </c>
      <c r="O85" s="14">
        <f>N85*VLOOKUP('Données projet'!$B$9,Paramètres!$A$1:$I$89,3,0)*VLOOKUP('Données projet'!$B$9,Paramètres!$A$1:$I$89,5,0)</f>
        <v>-2.5715962692629544E-14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216.22465631364315</v>
      </c>
      <c r="T85" s="62">
        <f t="shared" si="88"/>
        <v>304.27938609150095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5.6</v>
      </c>
      <c r="AI85" s="14">
        <f>IF('Données projet'!$A$62&gt;35,AI84+AH85-AQ84,IF(A85&lt;'Données projet'!$A$62,$AF$205^A85,IF(A85='Données projet'!$A$62,'Données projet'!$B$62,AI84+AH85-AQ84)))</f>
        <v>251.1999999999999</v>
      </c>
      <c r="AJ85" s="14">
        <f>AI85*VLOOKUP('Données projet'!$B$10,Paramètres!$A$1:$I$89,3,0)*VLOOKUP('Données projet'!$B$10,Paramètres!$A$1:$I$89,5,0)</f>
        <v>227.28575999999993</v>
      </c>
      <c r="AK85" s="14">
        <f t="shared" si="89"/>
        <v>55.695394520076327</v>
      </c>
      <c r="AL85" s="22">
        <f t="shared" si="58"/>
        <v>492.85884412246605</v>
      </c>
      <c r="AM85" s="62">
        <f t="shared" si="59"/>
        <v>786.19217745579931</v>
      </c>
      <c r="AN85" s="62">
        <f ca="1">AVERAGE(OFFSET($AM$3,0,0,'Données projet'!$E$10+1,1))-AVERAGE(OFFSET($H$3,0,0,'Données projet'!$E$10+1,1))</f>
        <v>336.63786714776501</v>
      </c>
      <c r="AO85" s="62">
        <f t="shared" si="90"/>
        <v>208.9883766854885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5.6</v>
      </c>
      <c r="BD85" s="13">
        <f>IF('Données projet'!$A$88&gt;35,BD84+BC85-BL84,IF(A85&lt;'Données projet'!$A$88,$BA$205^A85,IF(A85='Données projet'!$A$88,'Données projet'!$B$88,BD84+BC85-BL84)))</f>
        <v>251.1999999999999</v>
      </c>
      <c r="BE85" s="14">
        <f>BD85*VLOOKUP('Données projet'!$B$11,Paramètres!$A$1:$I$89,3,0)*VLOOKUP('Données projet'!$B$11,Paramètres!$A$1:$I$89,5,0)</f>
        <v>242.96063999999993</v>
      </c>
      <c r="BF85" s="14">
        <f t="shared" si="91"/>
        <v>59.076071351835715</v>
      </c>
      <c r="BG85" s="22">
        <f t="shared" si="61"/>
        <v>526.04727227111368</v>
      </c>
      <c r="BH85" s="62">
        <f t="shared" si="62"/>
        <v>819.38060560444706</v>
      </c>
      <c r="BI85" s="62">
        <f ca="1">AVERAGE(OFFSET($BH$3,0,0,'Données projet'!$E$11+1,1))-AVERAGE(OFFSET($H$3,0,0,'Données projet'!$E$11+1,1))</f>
        <v>363.29716504383265</v>
      </c>
      <c r="BJ85" s="62">
        <f t="shared" si="92"/>
        <v>223.12394672673923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1.1368683772161603E-13</v>
      </c>
      <c r="BZ85" s="14">
        <f>BY85*VLOOKUP('Données projet'!$B$12,Paramètres!$A$1:$I$89,3,0)*VLOOKUP('Données projet'!$B$12,Paramètres!$A$1:$I$89,5,0)</f>
        <v>8.8675733422860506E-14</v>
      </c>
      <c r="CA85" s="14">
        <f t="shared" si="93"/>
        <v>1.3509285393066301E-12</v>
      </c>
      <c r="CB85" s="22">
        <f t="shared" si="64"/>
        <v>2.5073107750038623E-12</v>
      </c>
      <c r="CC85" s="62">
        <f t="shared" si="65"/>
        <v>293.33333333333582</v>
      </c>
      <c r="CD85" s="62">
        <f ca="1">AVERAGE(OFFSET($CC$3,0,0,'Données projet'!$E$12+1,1))-AVERAGE(OFFSET($H$3,0,0,'Données projet'!$E$12+1,1))</f>
        <v>249.25370091019835</v>
      </c>
      <c r="CE85" s="62">
        <f t="shared" si="94"/>
        <v>245.46410820099908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6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2">
        <f t="shared" si="86"/>
        <v>13.397781365483624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9">
        <f t="shared" si="56"/>
        <v>358.92998587821728</v>
      </c>
      <c r="I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-2.8421709430404007E-14</v>
      </c>
      <c r="O86" s="14">
        <f>N86*VLOOKUP('Données projet'!$B$9,Paramètres!$A$1:$I$89,3,0)*VLOOKUP('Données projet'!$B$9,Paramètres!$A$1:$I$89,5,0)</f>
        <v>-2.5715962692629544E-14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216.22465631364315</v>
      </c>
      <c r="T86" s="62">
        <f t="shared" si="88"/>
        <v>304.27938609150095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5.6</v>
      </c>
      <c r="AI86" s="14">
        <f>IF('Données projet'!$A$62&gt;35,AI85+AH86-AQ85,IF(A86&lt;'Données projet'!$A$62,$AF$205^A86,IF(A86='Données projet'!$A$62,'Données projet'!$B$62,AI85+AH86-AQ85)))</f>
        <v>256.7999999999999</v>
      </c>
      <c r="AJ86" s="14">
        <f>AI86*VLOOKUP('Données projet'!$B$10,Paramètres!$A$1:$I$89,3,0)*VLOOKUP('Données projet'!$B$10,Paramètres!$A$1:$I$89,5,0)</f>
        <v>232.35263999999989</v>
      </c>
      <c r="AK86" s="14">
        <f t="shared" si="89"/>
        <v>56.791075613550255</v>
      </c>
      <c r="AL86" s="22">
        <f t="shared" si="58"/>
        <v>503.59197136026643</v>
      </c>
      <c r="AM86" s="62">
        <f t="shared" si="59"/>
        <v>796.92530469359974</v>
      </c>
      <c r="AN86" s="62">
        <f ca="1">AVERAGE(OFFSET($AM$3,0,0,'Données projet'!$E$10+1,1))-AVERAGE(OFFSET($H$3,0,0,'Données projet'!$E$10+1,1))</f>
        <v>336.63786714776501</v>
      </c>
      <c r="AO86" s="62">
        <f t="shared" si="90"/>
        <v>208.9883766854885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5.6</v>
      </c>
      <c r="BD86" s="13">
        <f>IF('Données projet'!$A$88&gt;35,BD85+BC86-BL85,IF(A86&lt;'Données projet'!$A$88,$BA$205^A86,IF(A86='Données projet'!$A$88,'Données projet'!$B$88,BD85+BC86-BL85)))</f>
        <v>256.7999999999999</v>
      </c>
      <c r="BE86" s="14">
        <f>BD86*VLOOKUP('Données projet'!$B$11,Paramètres!$A$1:$I$89,3,0)*VLOOKUP('Données projet'!$B$11,Paramètres!$A$1:$I$89,5,0)</f>
        <v>248.37695999999988</v>
      </c>
      <c r="BF86" s="14">
        <f t="shared" si="91"/>
        <v>60.238259626372319</v>
      </c>
      <c r="BG86" s="22">
        <f t="shared" si="61"/>
        <v>537.50484084926495</v>
      </c>
      <c r="BH86" s="62">
        <f t="shared" si="62"/>
        <v>830.83817418259832</v>
      </c>
      <c r="BI86" s="62">
        <f ca="1">AVERAGE(OFFSET($BH$3,0,0,'Données projet'!$E$11+1,1))-AVERAGE(OFFSET($H$3,0,0,'Données projet'!$E$11+1,1))</f>
        <v>363.29716504383265</v>
      </c>
      <c r="BJ86" s="62">
        <f t="shared" si="92"/>
        <v>223.12394672673923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1.1368683772161603E-13</v>
      </c>
      <c r="BZ86" s="14">
        <f>BY86*VLOOKUP('Données projet'!$B$12,Paramètres!$A$1:$I$89,3,0)*VLOOKUP('Données projet'!$B$12,Paramètres!$A$1:$I$89,5,0)</f>
        <v>8.8675733422860506E-14</v>
      </c>
      <c r="CA86" s="14">
        <f t="shared" si="93"/>
        <v>1.3509285393066301E-12</v>
      </c>
      <c r="CB86" s="22">
        <f t="shared" si="64"/>
        <v>2.5073107750038623E-12</v>
      </c>
      <c r="CC86" s="62">
        <f t="shared" si="65"/>
        <v>293.33333333333582</v>
      </c>
      <c r="CD86" s="62">
        <f ca="1">AVERAGE(OFFSET($CC$3,0,0,'Données projet'!$E$12+1,1))-AVERAGE(OFFSET($H$3,0,0,'Données projet'!$E$12+1,1))</f>
        <v>249.25370091019835</v>
      </c>
      <c r="CE86" s="62">
        <f t="shared" si="94"/>
        <v>245.46410820099908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6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2">
        <f t="shared" si="86"/>
        <v>13.540311673175388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9">
        <f t="shared" si="56"/>
        <v>360.12917616411374</v>
      </c>
      <c r="I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-2.8421709430404007E-14</v>
      </c>
      <c r="O87" s="14">
        <f>N87*VLOOKUP('Données projet'!$B$9,Paramètres!$A$1:$I$89,3,0)*VLOOKUP('Données projet'!$B$9,Paramètres!$A$1:$I$89,5,0)</f>
        <v>-2.5715962692629544E-14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216.22465631364315</v>
      </c>
      <c r="T87" s="62">
        <f t="shared" si="88"/>
        <v>304.27938609150095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5.6</v>
      </c>
      <c r="AI87" s="14">
        <f>IF('Données projet'!$A$62&gt;35,AI86+AH87-AQ86,IF(A87&lt;'Données projet'!$A$62,$AF$205^A87,IF(A87='Données projet'!$A$62,'Données projet'!$B$62,AI86+AH87-AQ86)))</f>
        <v>262.39999999999992</v>
      </c>
      <c r="AJ87" s="14">
        <f>AI87*VLOOKUP('Données projet'!$B$10,Paramètres!$A$1:$I$89,3,0)*VLOOKUP('Données projet'!$B$10,Paramètres!$A$1:$I$89,5,0)</f>
        <v>237.41951999999992</v>
      </c>
      <c r="AK87" s="14">
        <f t="shared" si="89"/>
        <v>57.883978814320919</v>
      </c>
      <c r="AL87" s="22">
        <f t="shared" si="58"/>
        <v>514.32026043494204</v>
      </c>
      <c r="AM87" s="62">
        <f t="shared" si="59"/>
        <v>807.65359376827541</v>
      </c>
      <c r="AN87" s="62">
        <f ca="1">AVERAGE(OFFSET($AM$3,0,0,'Données projet'!$E$10+1,1))-AVERAGE(OFFSET($H$3,0,0,'Données projet'!$E$10+1,1))</f>
        <v>336.63786714776501</v>
      </c>
      <c r="AO87" s="62">
        <f t="shared" si="90"/>
        <v>208.9883766854885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5.6</v>
      </c>
      <c r="BD87" s="13">
        <f>IF('Données projet'!$A$88&gt;35,BD86+BC87-BL86,IF(A87&lt;'Données projet'!$A$88,$BA$205^A87,IF(A87='Données projet'!$A$88,'Données projet'!$B$88,BD86+BC87-BL86)))</f>
        <v>262.39999999999992</v>
      </c>
      <c r="BE87" s="14">
        <f>BD87*VLOOKUP('Données projet'!$B$11,Paramètres!$A$1:$I$89,3,0)*VLOOKUP('Données projet'!$B$11,Paramètres!$A$1:$I$89,5,0)</f>
        <v>253.79327999999995</v>
      </c>
      <c r="BF87" s="14">
        <f t="shared" si="91"/>
        <v>61.39750139179521</v>
      </c>
      <c r="BG87" s="22">
        <f t="shared" si="61"/>
        <v>548.95727759070985</v>
      </c>
      <c r="BH87" s="62">
        <f t="shared" si="62"/>
        <v>842.29061092404322</v>
      </c>
      <c r="BI87" s="62">
        <f ca="1">AVERAGE(OFFSET($BH$3,0,0,'Données projet'!$E$11+1,1))-AVERAGE(OFFSET($H$3,0,0,'Données projet'!$E$11+1,1))</f>
        <v>363.29716504383265</v>
      </c>
      <c r="BJ87" s="62">
        <f t="shared" si="92"/>
        <v>223.12394672673923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1.1368683772161603E-13</v>
      </c>
      <c r="BZ87" s="14">
        <f>BY87*VLOOKUP('Données projet'!$B$12,Paramètres!$A$1:$I$89,3,0)*VLOOKUP('Données projet'!$B$12,Paramètres!$A$1:$I$89,5,0)</f>
        <v>8.8675733422860506E-14</v>
      </c>
      <c r="CA87" s="14">
        <f t="shared" si="93"/>
        <v>1.3509285393066301E-12</v>
      </c>
      <c r="CB87" s="22">
        <f t="shared" si="64"/>
        <v>2.5073107750038623E-12</v>
      </c>
      <c r="CC87" s="62">
        <f t="shared" si="65"/>
        <v>293.33333333333582</v>
      </c>
      <c r="CD87" s="62">
        <f ca="1">AVERAGE(OFFSET($CC$3,0,0,'Données projet'!$E$12+1,1))-AVERAGE(OFFSET($H$3,0,0,'Données projet'!$E$12+1,1))</f>
        <v>249.25370091019835</v>
      </c>
      <c r="CE87" s="62">
        <f t="shared" si="94"/>
        <v>245.46410820099908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6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2">
        <f t="shared" si="86"/>
        <v>13.68264460643392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9">
        <f t="shared" si="56"/>
        <v>361.32802268953901</v>
      </c>
      <c r="I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-2.8421709430404007E-14</v>
      </c>
      <c r="O88" s="14">
        <f>N88*VLOOKUP('Données projet'!$B$9,Paramètres!$A$1:$I$89,3,0)*VLOOKUP('Données projet'!$B$9,Paramètres!$A$1:$I$89,5,0)</f>
        <v>-2.5715962692629544E-14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216.22465631364315</v>
      </c>
      <c r="T88" s="62">
        <f t="shared" si="88"/>
        <v>304.27938609150095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5.6</v>
      </c>
      <c r="AI88" s="14">
        <f>IF('Données projet'!$A$62&gt;35,AI87+AH88-AQ87,IF(A88&lt;'Données projet'!$A$62,$AF$205^A88,IF(A88='Données projet'!$A$62,'Données projet'!$B$62,AI87+AH88-AQ87)))</f>
        <v>267.99999999999994</v>
      </c>
      <c r="AJ88" s="14">
        <f>AI88*VLOOKUP('Données projet'!$B$10,Paramètres!$A$1:$I$89,3,0)*VLOOKUP('Données projet'!$B$10,Paramètres!$A$1:$I$89,5,0)</f>
        <v>242.48639999999995</v>
      </c>
      <c r="AK88" s="14">
        <f t="shared" si="89"/>
        <v>58.974170235372419</v>
      </c>
      <c r="AL88" s="22">
        <f t="shared" si="58"/>
        <v>525.04382649327351</v>
      </c>
      <c r="AM88" s="62">
        <f t="shared" si="59"/>
        <v>818.37715982660688</v>
      </c>
      <c r="AN88" s="62">
        <f ca="1">AVERAGE(OFFSET($AM$3,0,0,'Données projet'!$E$10+1,1))-AVERAGE(OFFSET($H$3,0,0,'Données projet'!$E$10+1,1))</f>
        <v>336.63786714776501</v>
      </c>
      <c r="AO88" s="62">
        <f t="shared" si="90"/>
        <v>208.9883766854885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5.6</v>
      </c>
      <c r="BD88" s="13">
        <f>IF('Données projet'!$A$88&gt;35,BD87+BC88-BL87,IF(A88&lt;'Données projet'!$A$88,$BA$205^A88,IF(A88='Données projet'!$A$88,'Données projet'!$B$88,BD87+BC88-BL87)))</f>
        <v>267.99999999999994</v>
      </c>
      <c r="BE88" s="14">
        <f>BD88*VLOOKUP('Données projet'!$B$11,Paramètres!$A$1:$I$89,3,0)*VLOOKUP('Données projet'!$B$11,Paramètres!$A$1:$I$89,5,0)</f>
        <v>259.20959999999997</v>
      </c>
      <c r="BF88" s="14">
        <f t="shared" si="91"/>
        <v>62.553866774106702</v>
      </c>
      <c r="BG88" s="22">
        <f t="shared" si="61"/>
        <v>560.40470463156907</v>
      </c>
      <c r="BH88" s="62">
        <f t="shared" si="62"/>
        <v>853.73803796490233</v>
      </c>
      <c r="BI88" s="62">
        <f ca="1">AVERAGE(OFFSET($BH$3,0,0,'Données projet'!$E$11+1,1))-AVERAGE(OFFSET($H$3,0,0,'Données projet'!$E$11+1,1))</f>
        <v>363.29716504383265</v>
      </c>
      <c r="BJ88" s="62">
        <f t="shared" si="92"/>
        <v>223.12394672673923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1.1368683772161603E-13</v>
      </c>
      <c r="BZ88" s="14">
        <f>BY88*VLOOKUP('Données projet'!$B$12,Paramètres!$A$1:$I$89,3,0)*VLOOKUP('Données projet'!$B$12,Paramètres!$A$1:$I$89,5,0)</f>
        <v>8.8675733422860506E-14</v>
      </c>
      <c r="CA88" s="14">
        <f t="shared" si="93"/>
        <v>1.3509285393066301E-12</v>
      </c>
      <c r="CB88" s="22">
        <f t="shared" si="64"/>
        <v>2.5073107750038623E-12</v>
      </c>
      <c r="CC88" s="62">
        <f t="shared" si="65"/>
        <v>293.33333333333582</v>
      </c>
      <c r="CD88" s="62">
        <f ca="1">AVERAGE(OFFSET($CC$3,0,0,'Données projet'!$E$12+1,1))-AVERAGE(OFFSET($H$3,0,0,'Données projet'!$E$12+1,1))</f>
        <v>249.25370091019835</v>
      </c>
      <c r="CE88" s="62">
        <f t="shared" si="94"/>
        <v>245.46410820099908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6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2">
        <f t="shared" si="86"/>
        <v>13.824782755944199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9">
        <f t="shared" si="56"/>
        <v>362.52652996660277</v>
      </c>
      <c r="I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-2.8421709430404007E-14</v>
      </c>
      <c r="O89" s="14">
        <f>N89*VLOOKUP('Données projet'!$B$9,Paramètres!$A$1:$I$89,3,0)*VLOOKUP('Données projet'!$B$9,Paramètres!$A$1:$I$89,5,0)</f>
        <v>-2.5715962692629544E-14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216.22465631364315</v>
      </c>
      <c r="T89" s="62">
        <f t="shared" si="88"/>
        <v>304.27938609150095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5.6</v>
      </c>
      <c r="AI89" s="14">
        <f>IF('Données projet'!$A$62&gt;35,AI88+AH89-AQ88,IF(A89&lt;'Données projet'!$A$62,$AF$205^A89,IF(A89='Données projet'!$A$62,'Données projet'!$B$62,AI88+AH89-AQ88)))</f>
        <v>273.59999999999997</v>
      </c>
      <c r="AJ89" s="14">
        <f>AI89*VLOOKUP('Données projet'!$B$10,Paramètres!$A$1:$I$89,3,0)*VLOOKUP('Données projet'!$B$10,Paramètres!$A$1:$I$89,5,0)</f>
        <v>247.55327999999994</v>
      </c>
      <c r="AK89" s="14">
        <f t="shared" si="89"/>
        <v>60.061713068870255</v>
      </c>
      <c r="AL89" s="22">
        <f t="shared" si="58"/>
        <v>535.76277959494894</v>
      </c>
      <c r="AM89" s="62">
        <f t="shared" si="59"/>
        <v>829.09611292828231</v>
      </c>
      <c r="AN89" s="62">
        <f ca="1">AVERAGE(OFFSET($AM$3,0,0,'Données projet'!$E$10+1,1))-AVERAGE(OFFSET($H$3,0,0,'Données projet'!$E$10+1,1))</f>
        <v>336.63786714776501</v>
      </c>
      <c r="AO89" s="62">
        <f t="shared" si="90"/>
        <v>208.9883766854885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5.6</v>
      </c>
      <c r="BD89" s="13">
        <f>IF('Données projet'!$A$88&gt;35,BD88+BC89-BL88,IF(A89&lt;'Données projet'!$A$88,$BA$205^A89,IF(A89='Données projet'!$A$88,'Données projet'!$B$88,BD88+BC89-BL88)))</f>
        <v>273.59999999999997</v>
      </c>
      <c r="BE89" s="14">
        <f>BD89*VLOOKUP('Données projet'!$B$11,Paramètres!$A$1:$I$89,3,0)*VLOOKUP('Données projet'!$B$11,Paramètres!$A$1:$I$89,5,0)</f>
        <v>264.62591999999995</v>
      </c>
      <c r="BF89" s="14">
        <f t="shared" si="91"/>
        <v>63.707422801198604</v>
      </c>
      <c r="BG89" s="22">
        <f t="shared" si="61"/>
        <v>571.84723871208746</v>
      </c>
      <c r="BH89" s="62">
        <f t="shared" si="62"/>
        <v>865.18057204542083</v>
      </c>
      <c r="BI89" s="62">
        <f ca="1">AVERAGE(OFFSET($BH$3,0,0,'Données projet'!$E$11+1,1))-AVERAGE(OFFSET($H$3,0,0,'Données projet'!$E$11+1,1))</f>
        <v>363.29716504383265</v>
      </c>
      <c r="BJ89" s="62">
        <f t="shared" si="92"/>
        <v>223.12394672673923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1.1368683772161603E-13</v>
      </c>
      <c r="BZ89" s="14">
        <f>BY89*VLOOKUP('Données projet'!$B$12,Paramètres!$A$1:$I$89,3,0)*VLOOKUP('Données projet'!$B$12,Paramètres!$A$1:$I$89,5,0)</f>
        <v>8.8675733422860506E-14</v>
      </c>
      <c r="CA89" s="14">
        <f t="shared" si="93"/>
        <v>1.3509285393066301E-12</v>
      </c>
      <c r="CB89" s="22">
        <f t="shared" si="64"/>
        <v>2.5073107750038623E-12</v>
      </c>
      <c r="CC89" s="62">
        <f t="shared" si="65"/>
        <v>293.33333333333582</v>
      </c>
      <c r="CD89" s="62">
        <f ca="1">AVERAGE(OFFSET($CC$3,0,0,'Données projet'!$E$12+1,1))-AVERAGE(OFFSET($H$3,0,0,'Données projet'!$E$12+1,1))</f>
        <v>249.25370091019835</v>
      </c>
      <c r="CE89" s="62">
        <f t="shared" si="94"/>
        <v>245.46410820099908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6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2">
        <f t="shared" si="86"/>
        <v>13.966728648675151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9">
        <f t="shared" si="56"/>
        <v>363.72470239644252</v>
      </c>
      <c r="I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-2.8421709430404007E-14</v>
      </c>
      <c r="O90" s="14">
        <f>N90*VLOOKUP('Données projet'!$B$9,Paramètres!$A$1:$I$89,3,0)*VLOOKUP('Données projet'!$B$9,Paramètres!$A$1:$I$89,5,0)</f>
        <v>-2.5715962692629544E-14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216.22465631364315</v>
      </c>
      <c r="T90" s="62">
        <f t="shared" si="88"/>
        <v>304.27938609150095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5.6</v>
      </c>
      <c r="AI90" s="14">
        <f>IF('Données projet'!$A$62&gt;35,AI89+AH90-AQ89,IF(A90&lt;'Données projet'!$A$62,$AF$205^A90,IF(A90='Données projet'!$A$62,'Données projet'!$B$62,AI89+AH90-AQ89)))</f>
        <v>279.2</v>
      </c>
      <c r="AJ90" s="14">
        <f>AI90*VLOOKUP('Données projet'!$B$10,Paramètres!$A$1:$I$89,3,0)*VLOOKUP('Données projet'!$B$10,Paramètres!$A$1:$I$89,5,0)</f>
        <v>252.62015999999997</v>
      </c>
      <c r="AK90" s="14">
        <f t="shared" si="89"/>
        <v>61.14666777229877</v>
      </c>
      <c r="AL90" s="22">
        <f t="shared" si="58"/>
        <v>546.47722503675357</v>
      </c>
      <c r="AM90" s="62">
        <f t="shared" si="59"/>
        <v>839.81055837008694</v>
      </c>
      <c r="AN90" s="62">
        <f ca="1">AVERAGE(OFFSET($AM$3,0,0,'Données projet'!$E$10+1,1))-AVERAGE(OFFSET($H$3,0,0,'Données projet'!$E$10+1,1))</f>
        <v>336.63786714776501</v>
      </c>
      <c r="AO90" s="62">
        <f t="shared" si="90"/>
        <v>208.9883766854885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5.6</v>
      </c>
      <c r="BD90" s="13">
        <f>IF('Données projet'!$A$88&gt;35,BD89+BC90-BL89,IF(A90&lt;'Données projet'!$A$88,$BA$205^A90,IF(A90='Données projet'!$A$88,'Données projet'!$B$88,BD89+BC90-BL89)))</f>
        <v>279.2</v>
      </c>
      <c r="BE90" s="14">
        <f>BD90*VLOOKUP('Données projet'!$B$11,Paramètres!$A$1:$I$89,3,0)*VLOOKUP('Données projet'!$B$11,Paramètres!$A$1:$I$89,5,0)</f>
        <v>270.04223999999999</v>
      </c>
      <c r="BF90" s="14">
        <f t="shared" si="91"/>
        <v>64.858233600288145</v>
      </c>
      <c r="BG90" s="22">
        <f t="shared" si="61"/>
        <v>583.28499152050188</v>
      </c>
      <c r="BH90" s="62">
        <f t="shared" si="62"/>
        <v>876.61832485383525</v>
      </c>
      <c r="BI90" s="62">
        <f ca="1">AVERAGE(OFFSET($BH$3,0,0,'Données projet'!$E$11+1,1))-AVERAGE(OFFSET($H$3,0,0,'Données projet'!$E$11+1,1))</f>
        <v>363.29716504383265</v>
      </c>
      <c r="BJ90" s="62">
        <f t="shared" si="92"/>
        <v>223.12394672673923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1.1368683772161603E-13</v>
      </c>
      <c r="BZ90" s="14">
        <f>BY90*VLOOKUP('Données projet'!$B$12,Paramètres!$A$1:$I$89,3,0)*VLOOKUP('Données projet'!$B$12,Paramètres!$A$1:$I$89,5,0)</f>
        <v>8.8675733422860506E-14</v>
      </c>
      <c r="CA90" s="14">
        <f t="shared" si="93"/>
        <v>1.3509285393066301E-12</v>
      </c>
      <c r="CB90" s="22">
        <f t="shared" si="64"/>
        <v>2.5073107750038623E-12</v>
      </c>
      <c r="CC90" s="62">
        <f t="shared" si="65"/>
        <v>293.33333333333582</v>
      </c>
      <c r="CD90" s="62">
        <f ca="1">AVERAGE(OFFSET($CC$3,0,0,'Données projet'!$E$12+1,1))-AVERAGE(OFFSET($H$3,0,0,'Données projet'!$E$12+1,1))</f>
        <v>249.25370091019835</v>
      </c>
      <c r="CE90" s="62">
        <f t="shared" si="94"/>
        <v>245.46410820099908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6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2">
        <f t="shared" si="86"/>
        <v>14.10848475016061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9">
        <f t="shared" si="56"/>
        <v>364.92254427319637</v>
      </c>
      <c r="I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-2.8421709430404007E-14</v>
      </c>
      <c r="O91" s="14">
        <f>N91*VLOOKUP('Données projet'!$B$9,Paramètres!$A$1:$I$89,3,0)*VLOOKUP('Données projet'!$B$9,Paramètres!$A$1:$I$89,5,0)</f>
        <v>-2.5715962692629544E-14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216.22465631364315</v>
      </c>
      <c r="T91" s="62">
        <f t="shared" si="88"/>
        <v>304.27938609150095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5.6</v>
      </c>
      <c r="AI91" s="14">
        <f>IF('Données projet'!$A$62&gt;35,AI90+AH91-AQ90,IF(A91&lt;'Données projet'!$A$62,$AF$205^A91,IF(A91='Données projet'!$A$62,'Données projet'!$B$62,AI90+AH91-AQ90)))</f>
        <v>284.8</v>
      </c>
      <c r="AJ91" s="14">
        <f>AI91*VLOOKUP('Données projet'!$B$10,Paramètres!$A$1:$I$89,3,0)*VLOOKUP('Données projet'!$B$10,Paramètres!$A$1:$I$89,5,0)</f>
        <v>257.68704000000002</v>
      </c>
      <c r="AK91" s="14">
        <f t="shared" si="89"/>
        <v>62.229092239243343</v>
      </c>
      <c r="AL91" s="22">
        <f t="shared" si="58"/>
        <v>557.18726365001555</v>
      </c>
      <c r="AM91" s="62">
        <f t="shared" si="59"/>
        <v>850.52059698334892</v>
      </c>
      <c r="AN91" s="62">
        <f ca="1">AVERAGE(OFFSET($AM$3,0,0,'Données projet'!$E$10+1,1))-AVERAGE(OFFSET($H$3,0,0,'Données projet'!$E$10+1,1))</f>
        <v>336.63786714776501</v>
      </c>
      <c r="AO91" s="62">
        <f t="shared" si="90"/>
        <v>208.9883766854885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5.6</v>
      </c>
      <c r="BD91" s="13">
        <f>IF('Données projet'!$A$88&gt;35,BD90+BC91-BL90,IF(A91&lt;'Données projet'!$A$88,$BA$205^A91,IF(A91='Données projet'!$A$88,'Données projet'!$B$88,BD90+BC91-BL90)))</f>
        <v>284.8</v>
      </c>
      <c r="BE91" s="14">
        <f>BD91*VLOOKUP('Données projet'!$B$11,Paramètres!$A$1:$I$89,3,0)*VLOOKUP('Données projet'!$B$11,Paramètres!$A$1:$I$89,5,0)</f>
        <v>275.45855999999998</v>
      </c>
      <c r="BF91" s="14">
        <f t="shared" si="91"/>
        <v>66.006360579066197</v>
      </c>
      <c r="BG91" s="22">
        <f t="shared" si="61"/>
        <v>594.71807000854017</v>
      </c>
      <c r="BH91" s="62">
        <f t="shared" si="62"/>
        <v>888.05140334187354</v>
      </c>
      <c r="BI91" s="62">
        <f ca="1">AVERAGE(OFFSET($BH$3,0,0,'Données projet'!$E$11+1,1))-AVERAGE(OFFSET($H$3,0,0,'Données projet'!$E$11+1,1))</f>
        <v>363.29716504383265</v>
      </c>
      <c r="BJ91" s="62">
        <f t="shared" si="92"/>
        <v>223.12394672673923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1.1368683772161603E-13</v>
      </c>
      <c r="BZ91" s="14">
        <f>BY91*VLOOKUP('Données projet'!$B$12,Paramètres!$A$1:$I$89,3,0)*VLOOKUP('Données projet'!$B$12,Paramètres!$A$1:$I$89,5,0)</f>
        <v>8.8675733422860506E-14</v>
      </c>
      <c r="CA91" s="14">
        <f t="shared" si="93"/>
        <v>1.3509285393066301E-12</v>
      </c>
      <c r="CB91" s="22">
        <f t="shared" si="64"/>
        <v>2.5073107750038623E-12</v>
      </c>
      <c r="CC91" s="62">
        <f t="shared" si="65"/>
        <v>293.33333333333582</v>
      </c>
      <c r="CD91" s="62">
        <f ca="1">AVERAGE(OFFSET($CC$3,0,0,'Données projet'!$E$12+1,1))-AVERAGE(OFFSET($H$3,0,0,'Données projet'!$E$12+1,1))</f>
        <v>249.25370091019835</v>
      </c>
      <c r="CE91" s="62">
        <f t="shared" si="94"/>
        <v>245.46410820099908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6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2">
        <f t="shared" si="86"/>
        <v>14.250053466673728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9">
        <f t="shared" si="56"/>
        <v>366.12005978779001</v>
      </c>
      <c r="I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-2.8421709430404007E-14</v>
      </c>
      <c r="O92" s="14">
        <f>N92*VLOOKUP('Données projet'!$B$9,Paramètres!$A$1:$I$89,3,0)*VLOOKUP('Données projet'!$B$9,Paramètres!$A$1:$I$89,5,0)</f>
        <v>-2.5715962692629544E-14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216.22465631364315</v>
      </c>
      <c r="T92" s="62">
        <f t="shared" si="88"/>
        <v>304.27938609150095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5.6</v>
      </c>
      <c r="AI92" s="14">
        <f>IF('Données projet'!$A$62&gt;35,AI91+AH92-AQ91,IF(A92&lt;'Données projet'!$A$62,$AF$205^A92,IF(A92='Données projet'!$A$62,'Données projet'!$B$62,AI91+AH92-AQ91)))</f>
        <v>290.40000000000003</v>
      </c>
      <c r="AJ92" s="14">
        <f>AI92*VLOOKUP('Données projet'!$B$10,Paramètres!$A$1:$I$89,3,0)*VLOOKUP('Données projet'!$B$10,Paramètres!$A$1:$I$89,5,0)</f>
        <v>262.75392000000005</v>
      </c>
      <c r="AK92" s="14">
        <f t="shared" si="89"/>
        <v>63.309041956360382</v>
      </c>
      <c r="AL92" s="22">
        <f t="shared" si="58"/>
        <v>567.89299207399438</v>
      </c>
      <c r="AM92" s="62">
        <f t="shared" si="59"/>
        <v>861.22632540732775</v>
      </c>
      <c r="AN92" s="62">
        <f ca="1">AVERAGE(OFFSET($AM$3,0,0,'Données projet'!$E$10+1,1))-AVERAGE(OFFSET($H$3,0,0,'Données projet'!$E$10+1,1))</f>
        <v>336.63786714776501</v>
      </c>
      <c r="AO92" s="62">
        <f t="shared" si="90"/>
        <v>208.9883766854885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5.6</v>
      </c>
      <c r="BD92" s="13">
        <f>IF('Données projet'!$A$88&gt;35,BD91+BC92-BL91,IF(A92&lt;'Données projet'!$A$88,$BA$205^A92,IF(A92='Données projet'!$A$88,'Données projet'!$B$88,BD91+BC92-BL91)))</f>
        <v>290.40000000000003</v>
      </c>
      <c r="BE92" s="14">
        <f>BD92*VLOOKUP('Données projet'!$B$11,Paramètres!$A$1:$I$89,3,0)*VLOOKUP('Données projet'!$B$11,Paramètres!$A$1:$I$89,5,0)</f>
        <v>280.87488000000008</v>
      </c>
      <c r="BF92" s="14">
        <f t="shared" si="91"/>
        <v>67.151862592195855</v>
      </c>
      <c r="BG92" s="22">
        <f t="shared" si="61"/>
        <v>606.14657668140785</v>
      </c>
      <c r="BH92" s="62">
        <f t="shared" si="62"/>
        <v>899.47991001474111</v>
      </c>
      <c r="BI92" s="62">
        <f ca="1">AVERAGE(OFFSET($BH$3,0,0,'Données projet'!$E$11+1,1))-AVERAGE(OFFSET($H$3,0,0,'Données projet'!$E$11+1,1))</f>
        <v>363.29716504383265</v>
      </c>
      <c r="BJ92" s="62">
        <f t="shared" si="92"/>
        <v>223.12394672673923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1.1368683772161603E-13</v>
      </c>
      <c r="BZ92" s="14">
        <f>BY92*VLOOKUP('Données projet'!$B$12,Paramètres!$A$1:$I$89,3,0)*VLOOKUP('Données projet'!$B$12,Paramètres!$A$1:$I$89,5,0)</f>
        <v>8.8675733422860506E-14</v>
      </c>
      <c r="CA92" s="14">
        <f t="shared" si="93"/>
        <v>1.3509285393066301E-12</v>
      </c>
      <c r="CB92" s="22">
        <f t="shared" si="64"/>
        <v>2.5073107750038623E-12</v>
      </c>
      <c r="CC92" s="62">
        <f t="shared" si="65"/>
        <v>293.33333333333582</v>
      </c>
      <c r="CD92" s="62">
        <f ca="1">AVERAGE(OFFSET($CC$3,0,0,'Données projet'!$E$12+1,1))-AVERAGE(OFFSET($H$3,0,0,'Données projet'!$E$12+1,1))</f>
        <v>249.25370091019835</v>
      </c>
      <c r="CE92" s="62">
        <f t="shared" si="94"/>
        <v>245.46410820099908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6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2">
        <f t="shared" si="86"/>
        <v>14.391437147300854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9">
        <f t="shared" si="56"/>
        <v>367.31725303154894</v>
      </c>
      <c r="I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-2.8421709430404007E-14</v>
      </c>
      <c r="O93" s="14">
        <f>N93*VLOOKUP('Données projet'!$B$9,Paramètres!$A$1:$I$89,3,0)*VLOOKUP('Données projet'!$B$9,Paramètres!$A$1:$I$89,5,0)</f>
        <v>-2.5715962692629544E-14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216.22465631364315</v>
      </c>
      <c r="T93" s="62">
        <f t="shared" si="88"/>
        <v>304.27938609150095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296</v>
      </c>
      <c r="AG93" s="13">
        <f>VLOOKUP(A93,'Données projet'!$A$61:$I$81,9,0)</f>
        <v>5.6</v>
      </c>
      <c r="AH93" s="13">
        <f t="array" ref="AH93">INDEX(AG:AG,MIN(IF(ISNUMBER(AG93:AG289),ROW(AG93:AG289),"")))</f>
        <v>5.6</v>
      </c>
      <c r="AI93" s="14">
        <f>IF('Données projet'!$A$62&gt;35,AI92+AH93-AQ92,IF(A93&lt;'Données projet'!$A$62,$AF$205^A93,IF(A93='Données projet'!$A$62,'Données projet'!$B$62,AI92+AH93-AQ92)))</f>
        <v>296.00000000000006</v>
      </c>
      <c r="AJ93" s="14">
        <f>AI93*VLOOKUP('Données projet'!$B$10,Paramètres!$A$1:$I$89,3,0)*VLOOKUP('Données projet'!$B$10,Paramètres!$A$1:$I$89,5,0)</f>
        <v>267.82080000000008</v>
      </c>
      <c r="AK93" s="14">
        <f t="shared" si="89"/>
        <v>64.386570147897373</v>
      </c>
      <c r="AL93" s="22">
        <f t="shared" si="58"/>
        <v>578.59450300758806</v>
      </c>
      <c r="AM93" s="62">
        <f t="shared" si="59"/>
        <v>871.92783634092143</v>
      </c>
      <c r="AN93" s="62">
        <f ca="1">AVERAGE(OFFSET($AM$3,0,0,'Données projet'!$E$10+1,1))-AVERAGE(OFFSET($H$3,0,0,'Données projet'!$E$10+1,1))</f>
        <v>336.63786714776501</v>
      </c>
      <c r="AO93" s="62">
        <f t="shared" si="90"/>
        <v>208.9883766854885</v>
      </c>
      <c r="AP93" s="16">
        <f>IF(ISNA(VLOOKUP(A93,'Données projet'!$A$61:$I$81,3,0)),0,VLOOKUP(A93,'Données projet'!$A$61:$I$81,3,0))</f>
        <v>7</v>
      </c>
      <c r="AQ93" s="16">
        <f>IF(ISNA(VLOOKUP(A93,'Données projet'!$A$61:$I$81,4,0)),0,VLOOKUP(A93,'Données projet'!$A$61:$I$81,4,0))</f>
        <v>42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296</v>
      </c>
      <c r="BB93" s="13">
        <f>VLOOKUP(A93,'Données projet'!$A$87:$I$107,9,0)</f>
        <v>5.6</v>
      </c>
      <c r="BC93" s="13">
        <f t="array" ref="BC93">INDEX(BB:BB,MIN(IF(ISNUMBER(BB93:BB289),ROW(BB93:BB289),"")))</f>
        <v>5.6</v>
      </c>
      <c r="BD93" s="13">
        <f>IF('Données projet'!$A$88&gt;35,BD92+BC93-BL92,IF(A93&lt;'Données projet'!$A$88,$BA$205^A93,IF(A93='Données projet'!$A$88,'Données projet'!$B$88,BD92+BC93-BL92)))</f>
        <v>296.00000000000006</v>
      </c>
      <c r="BE93" s="14">
        <f>BD93*VLOOKUP('Données projet'!$B$11,Paramètres!$A$1:$I$89,3,0)*VLOOKUP('Données projet'!$B$11,Paramètres!$A$1:$I$89,5,0)</f>
        <v>286.29120000000006</v>
      </c>
      <c r="BF93" s="14">
        <f t="shared" si="91"/>
        <v>68.294796094604408</v>
      </c>
      <c r="BG93" s="22">
        <f t="shared" si="61"/>
        <v>617.57060986476938</v>
      </c>
      <c r="BH93" s="62">
        <f t="shared" si="62"/>
        <v>910.90394319810275</v>
      </c>
      <c r="BI93" s="62">
        <f ca="1">AVERAGE(OFFSET($BH$3,0,0,'Données projet'!$E$11+1,1))-AVERAGE(OFFSET($H$3,0,0,'Données projet'!$E$11+1,1))</f>
        <v>363.29716504383265</v>
      </c>
      <c r="BJ93" s="62">
        <f t="shared" si="92"/>
        <v>223.12394672673923</v>
      </c>
      <c r="BK93" s="16">
        <f>IF(ISNA(VLOOKUP(A93,'Données projet'!$A$87:$I$107,3,0)),0,VLOOKUP(A93,'Données projet'!$A$87:$I$107,3,0))</f>
        <v>7</v>
      </c>
      <c r="BL93" s="16">
        <f>IF(ISNA(VLOOKUP(A93,'Données projet'!$A$87:$I$107,4,0)),0,VLOOKUP(A93,'Données projet'!$A$87:$I$107,4,0))</f>
        <v>42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1.1368683772161603E-13</v>
      </c>
      <c r="BZ93" s="14">
        <f>BY93*VLOOKUP('Données projet'!$B$12,Paramètres!$A$1:$I$89,3,0)*VLOOKUP('Données projet'!$B$12,Paramètres!$A$1:$I$89,5,0)</f>
        <v>8.8675733422860506E-14</v>
      </c>
      <c r="CA93" s="14">
        <f t="shared" si="93"/>
        <v>1.3509285393066301E-12</v>
      </c>
      <c r="CB93" s="22">
        <f t="shared" si="64"/>
        <v>2.5073107750038623E-12</v>
      </c>
      <c r="CC93" s="62">
        <f t="shared" si="65"/>
        <v>293.33333333333582</v>
      </c>
      <c r="CD93" s="62">
        <f ca="1">AVERAGE(OFFSET($CC$3,0,0,'Données projet'!$E$12+1,1))-AVERAGE(OFFSET($H$3,0,0,'Données projet'!$E$12+1,1))</f>
        <v>249.25370091019835</v>
      </c>
      <c r="CE93" s="62">
        <f t="shared" si="94"/>
        <v>245.46410820099908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6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2">
        <f t="shared" si="86"/>
        <v>14.532638085920599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9">
        <f t="shared" si="56"/>
        <v>368.51412799964498</v>
      </c>
      <c r="I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-2.8421709430404007E-14</v>
      </c>
      <c r="O94" s="14">
        <f>N94*VLOOKUP('Données projet'!$B$9,Paramètres!$A$1:$I$89,3,0)*VLOOKUP('Données projet'!$B$9,Paramètres!$A$1:$I$89,5,0)</f>
        <v>-2.5715962692629544E-14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216.22465631364315</v>
      </c>
      <c r="T94" s="62">
        <f t="shared" si="88"/>
        <v>304.27938609150095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4.9000000000000004</v>
      </c>
      <c r="AI94" s="14">
        <f>IF('Données projet'!$A$62&gt;35,AI93+AH94-AQ93,IF(A94&lt;'Données projet'!$A$62,$AF$205^A94,IF(A94='Données projet'!$A$62,'Données projet'!$B$62,AI93+AH94-AQ93)))</f>
        <v>258.90000000000003</v>
      </c>
      <c r="AJ94" s="14">
        <f>AI94*VLOOKUP('Données projet'!$B$10,Paramètres!$A$1:$I$89,3,0)*VLOOKUP('Données projet'!$B$10,Paramètres!$A$1:$I$89,5,0)</f>
        <v>234.25272000000001</v>
      </c>
      <c r="AK94" s="14">
        <f t="shared" si="89"/>
        <v>57.201236231171301</v>
      </c>
      <c r="AL94" s="22">
        <f t="shared" si="58"/>
        <v>507.61564043595672</v>
      </c>
      <c r="AM94" s="62">
        <f t="shared" si="59"/>
        <v>800.94897376928998</v>
      </c>
      <c r="AN94" s="62">
        <f ca="1">AVERAGE(OFFSET($AM$3,0,0,'Données projet'!$E$10+1,1))-AVERAGE(OFFSET($H$3,0,0,'Données projet'!$E$10+1,1))</f>
        <v>336.63786714776501</v>
      </c>
      <c r="AO94" s="62">
        <f t="shared" si="90"/>
        <v>208.9883766854885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4.9000000000000004</v>
      </c>
      <c r="BD94" s="13">
        <f>IF('Données projet'!$A$88&gt;35,BD93+BC94-BL93,IF(A94&lt;'Données projet'!$A$88,$BA$205^A94,IF(A94='Données projet'!$A$88,'Données projet'!$B$88,BD93+BC94-BL93)))</f>
        <v>258.90000000000003</v>
      </c>
      <c r="BE94" s="14">
        <f>BD94*VLOOKUP('Données projet'!$B$11,Paramètres!$A$1:$I$89,3,0)*VLOOKUP('Données projet'!$B$11,Paramètres!$A$1:$I$89,5,0)</f>
        <v>250.40808000000004</v>
      </c>
      <c r="BF94" s="14">
        <f t="shared" si="91"/>
        <v>60.67331674592576</v>
      </c>
      <c r="BG94" s="22">
        <f t="shared" si="61"/>
        <v>541.80009933248743</v>
      </c>
      <c r="BH94" s="62">
        <f t="shared" si="62"/>
        <v>835.13343266582069</v>
      </c>
      <c r="BI94" s="62">
        <f ca="1">AVERAGE(OFFSET($BH$3,0,0,'Données projet'!$E$11+1,1))-AVERAGE(OFFSET($H$3,0,0,'Données projet'!$E$11+1,1))</f>
        <v>363.29716504383265</v>
      </c>
      <c r="BJ94" s="62">
        <f t="shared" si="92"/>
        <v>223.12394672673923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1.1368683772161603E-13</v>
      </c>
      <c r="BZ94" s="14">
        <f>BY94*VLOOKUP('Données projet'!$B$12,Paramètres!$A$1:$I$89,3,0)*VLOOKUP('Données projet'!$B$12,Paramètres!$A$1:$I$89,5,0)</f>
        <v>8.8675733422860506E-14</v>
      </c>
      <c r="CA94" s="14">
        <f t="shared" si="93"/>
        <v>1.3509285393066301E-12</v>
      </c>
      <c r="CB94" s="22">
        <f t="shared" si="64"/>
        <v>2.5073107750038623E-12</v>
      </c>
      <c r="CC94" s="62">
        <f t="shared" si="65"/>
        <v>293.33333333333582</v>
      </c>
      <c r="CD94" s="62">
        <f ca="1">AVERAGE(OFFSET($CC$3,0,0,'Données projet'!$E$12+1,1))-AVERAGE(OFFSET($H$3,0,0,'Données projet'!$E$12+1,1))</f>
        <v>249.25370091019835</v>
      </c>
      <c r="CE94" s="62">
        <f t="shared" si="94"/>
        <v>245.46410820099908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6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2">
        <f t="shared" si="86"/>
        <v>14.673658523093403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9">
        <f t="shared" si="56"/>
        <v>369.71068859438765</v>
      </c>
      <c r="I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-2.8421709430404007E-14</v>
      </c>
      <c r="O95" s="14">
        <f>N95*VLOOKUP('Données projet'!$B$9,Paramètres!$A$1:$I$89,3,0)*VLOOKUP('Données projet'!$B$9,Paramètres!$A$1:$I$89,5,0)</f>
        <v>-2.5715962692629544E-14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216.22465631364315</v>
      </c>
      <c r="T95" s="62">
        <f t="shared" si="88"/>
        <v>304.27938609150095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4.9000000000000004</v>
      </c>
      <c r="AI95" s="14">
        <f>IF('Données projet'!$A$62&gt;35,AI94+AH95-AQ94,IF(A95&lt;'Données projet'!$A$62,$AF$205^A95,IF(A95='Données projet'!$A$62,'Données projet'!$B$62,AI94+AH95-AQ94)))</f>
        <v>263.8</v>
      </c>
      <c r="AJ95" s="14">
        <f>AI95*VLOOKUP('Données projet'!$B$10,Paramètres!$A$1:$I$89,3,0)*VLOOKUP('Données projet'!$B$10,Paramètres!$A$1:$I$89,5,0)</f>
        <v>238.68624</v>
      </c>
      <c r="AK95" s="14">
        <f t="shared" si="89"/>
        <v>58.156778382060871</v>
      </c>
      <c r="AL95" s="22">
        <f t="shared" si="58"/>
        <v>517.00159034875594</v>
      </c>
      <c r="AM95" s="62">
        <f t="shared" si="59"/>
        <v>810.33492368208931</v>
      </c>
      <c r="AN95" s="62">
        <f ca="1">AVERAGE(OFFSET($AM$3,0,0,'Données projet'!$E$10+1,1))-AVERAGE(OFFSET($H$3,0,0,'Données projet'!$E$10+1,1))</f>
        <v>336.63786714776501</v>
      </c>
      <c r="AO95" s="62">
        <f t="shared" si="90"/>
        <v>208.9883766854885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4.9000000000000004</v>
      </c>
      <c r="BD95" s="13">
        <f>IF('Données projet'!$A$88&gt;35,BD94+BC95-BL94,IF(A95&lt;'Données projet'!$A$88,$BA$205^A95,IF(A95='Données projet'!$A$88,'Données projet'!$B$88,BD94+BC95-BL94)))</f>
        <v>263.8</v>
      </c>
      <c r="BE95" s="14">
        <f>BD95*VLOOKUP('Données projet'!$B$11,Paramètres!$A$1:$I$89,3,0)*VLOOKUP('Données projet'!$B$11,Paramètres!$A$1:$I$89,5,0)</f>
        <v>255.14736000000002</v>
      </c>
      <c r="BF95" s="14">
        <f t="shared" si="91"/>
        <v>61.686859728645651</v>
      </c>
      <c r="BG95" s="22">
        <f t="shared" si="61"/>
        <v>551.81959936072451</v>
      </c>
      <c r="BH95" s="62">
        <f t="shared" si="62"/>
        <v>845.15293269405788</v>
      </c>
      <c r="BI95" s="62">
        <f ca="1">AVERAGE(OFFSET($BH$3,0,0,'Données projet'!$E$11+1,1))-AVERAGE(OFFSET($H$3,0,0,'Données projet'!$E$11+1,1))</f>
        <v>363.29716504383265</v>
      </c>
      <c r="BJ95" s="62">
        <f t="shared" si="92"/>
        <v>223.12394672673923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1.1368683772161603E-13</v>
      </c>
      <c r="BZ95" s="14">
        <f>BY95*VLOOKUP('Données projet'!$B$12,Paramètres!$A$1:$I$89,3,0)*VLOOKUP('Données projet'!$B$12,Paramètres!$A$1:$I$89,5,0)</f>
        <v>8.8675733422860506E-14</v>
      </c>
      <c r="CA95" s="14">
        <f t="shared" si="93"/>
        <v>1.3509285393066301E-12</v>
      </c>
      <c r="CB95" s="22">
        <f t="shared" si="64"/>
        <v>2.5073107750038623E-12</v>
      </c>
      <c r="CC95" s="62">
        <f t="shared" si="65"/>
        <v>293.33333333333582</v>
      </c>
      <c r="CD95" s="62">
        <f ca="1">AVERAGE(OFFSET($CC$3,0,0,'Données projet'!$E$12+1,1))-AVERAGE(OFFSET($H$3,0,0,'Données projet'!$E$12+1,1))</f>
        <v>249.25370091019835</v>
      </c>
      <c r="CE95" s="62">
        <f t="shared" si="94"/>
        <v>245.46410820099908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6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2">
        <f t="shared" si="86"/>
        <v>14.814500647866689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9">
        <f t="shared" si="56"/>
        <v>370.90693862836775</v>
      </c>
      <c r="I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-2.8421709430404007E-14</v>
      </c>
      <c r="O96" s="14">
        <f>N96*VLOOKUP('Données projet'!$B$9,Paramètres!$A$1:$I$89,3,0)*VLOOKUP('Données projet'!$B$9,Paramètres!$A$1:$I$89,5,0)</f>
        <v>-2.5715962692629544E-14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216.22465631364315</v>
      </c>
      <c r="T96" s="62">
        <f t="shared" si="88"/>
        <v>304.27938609150095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4.9000000000000004</v>
      </c>
      <c r="AI96" s="14">
        <f>IF('Données projet'!$A$62&gt;35,AI95+AH96-AQ95,IF(A96&lt;'Données projet'!$A$62,$AF$205^A96,IF(A96='Données projet'!$A$62,'Données projet'!$B$62,AI95+AH96-AQ95)))</f>
        <v>268.7</v>
      </c>
      <c r="AJ96" s="14">
        <f>AI96*VLOOKUP('Données projet'!$B$10,Paramètres!$A$1:$I$89,3,0)*VLOOKUP('Données projet'!$B$10,Paramètres!$A$1:$I$89,5,0)</f>
        <v>243.11975999999996</v>
      </c>
      <c r="AK96" s="14">
        <f t="shared" si="89"/>
        <v>59.110256668778533</v>
      </c>
      <c r="AL96" s="22">
        <f t="shared" si="58"/>
        <v>526.3839456981226</v>
      </c>
      <c r="AM96" s="62">
        <f t="shared" si="59"/>
        <v>819.71727903145597</v>
      </c>
      <c r="AN96" s="62">
        <f ca="1">AVERAGE(OFFSET($AM$3,0,0,'Données projet'!$E$10+1,1))-AVERAGE(OFFSET($H$3,0,0,'Données projet'!$E$10+1,1))</f>
        <v>336.63786714776501</v>
      </c>
      <c r="AO96" s="62">
        <f t="shared" si="90"/>
        <v>208.9883766854885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4.9000000000000004</v>
      </c>
      <c r="BD96" s="13">
        <f>IF('Données projet'!$A$88&gt;35,BD95+BC96-BL95,IF(A96&lt;'Données projet'!$A$88,$BA$205^A96,IF(A96='Données projet'!$A$88,'Données projet'!$B$88,BD95+BC96-BL95)))</f>
        <v>268.7</v>
      </c>
      <c r="BE96" s="14">
        <f>BD96*VLOOKUP('Données projet'!$B$11,Paramètres!$A$1:$I$89,3,0)*VLOOKUP('Données projet'!$B$11,Paramètres!$A$1:$I$89,5,0)</f>
        <v>259.88664</v>
      </c>
      <c r="BF96" s="14">
        <f t="shared" si="91"/>
        <v>62.698213571884004</v>
      </c>
      <c r="BG96" s="22">
        <f t="shared" si="61"/>
        <v>561.835286637698</v>
      </c>
      <c r="BH96" s="62">
        <f t="shared" si="62"/>
        <v>855.16861997103138</v>
      </c>
      <c r="BI96" s="62">
        <f ca="1">AVERAGE(OFFSET($BH$3,0,0,'Données projet'!$E$11+1,1))-AVERAGE(OFFSET($H$3,0,0,'Données projet'!$E$11+1,1))</f>
        <v>363.29716504383265</v>
      </c>
      <c r="BJ96" s="62">
        <f t="shared" si="92"/>
        <v>223.12394672673923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1.1368683772161603E-13</v>
      </c>
      <c r="BZ96" s="14">
        <f>BY96*VLOOKUP('Données projet'!$B$12,Paramètres!$A$1:$I$89,3,0)*VLOOKUP('Données projet'!$B$12,Paramètres!$A$1:$I$89,5,0)</f>
        <v>8.8675733422860506E-14</v>
      </c>
      <c r="CA96" s="14">
        <f t="shared" si="93"/>
        <v>1.3509285393066301E-12</v>
      </c>
      <c r="CB96" s="22">
        <f t="shared" si="64"/>
        <v>2.5073107750038623E-12</v>
      </c>
      <c r="CC96" s="62">
        <f t="shared" si="65"/>
        <v>293.33333333333582</v>
      </c>
      <c r="CD96" s="62">
        <f ca="1">AVERAGE(OFFSET($CC$3,0,0,'Données projet'!$E$12+1,1))-AVERAGE(OFFSET($H$3,0,0,'Données projet'!$E$12+1,1))</f>
        <v>249.25370091019835</v>
      </c>
      <c r="CE96" s="62">
        <f t="shared" si="94"/>
        <v>245.46410820099908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6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2">
        <f t="shared" si="86"/>
        <v>14.955166599500016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9">
        <f t="shared" si="56"/>
        <v>372.10288182746245</v>
      </c>
      <c r="I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-2.8421709430404007E-14</v>
      </c>
      <c r="O97" s="14">
        <f>N97*VLOOKUP('Données projet'!$B$9,Paramètres!$A$1:$I$89,3,0)*VLOOKUP('Données projet'!$B$9,Paramètres!$A$1:$I$89,5,0)</f>
        <v>-2.5715962692629544E-14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216.22465631364315</v>
      </c>
      <c r="T97" s="62">
        <f t="shared" si="88"/>
        <v>304.27938609150095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4.9000000000000004</v>
      </c>
      <c r="AI97" s="14">
        <f>IF('Données projet'!$A$62&gt;35,AI96+AH97-AQ96,IF(A97&lt;'Données projet'!$A$62,$AF$205^A97,IF(A97='Données projet'!$A$62,'Données projet'!$B$62,AI96+AH97-AQ96)))</f>
        <v>273.59999999999997</v>
      </c>
      <c r="AJ97" s="14">
        <f>AI97*VLOOKUP('Données projet'!$B$10,Paramètres!$A$1:$I$89,3,0)*VLOOKUP('Données projet'!$B$10,Paramètres!$A$1:$I$89,5,0)</f>
        <v>247.55327999999994</v>
      </c>
      <c r="AK97" s="14">
        <f t="shared" si="89"/>
        <v>60.061713068870255</v>
      </c>
      <c r="AL97" s="22">
        <f t="shared" si="58"/>
        <v>535.76277959494894</v>
      </c>
      <c r="AM97" s="62">
        <f t="shared" si="59"/>
        <v>829.09611292828231</v>
      </c>
      <c r="AN97" s="62">
        <f ca="1">AVERAGE(OFFSET($AM$3,0,0,'Données projet'!$E$10+1,1))-AVERAGE(OFFSET($H$3,0,0,'Données projet'!$E$10+1,1))</f>
        <v>336.63786714776501</v>
      </c>
      <c r="AO97" s="62">
        <f t="shared" si="90"/>
        <v>208.9883766854885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4.9000000000000004</v>
      </c>
      <c r="BD97" s="13">
        <f>IF('Données projet'!$A$88&gt;35,BD96+BC97-BL96,IF(A97&lt;'Données projet'!$A$88,$BA$205^A97,IF(A97='Données projet'!$A$88,'Données projet'!$B$88,BD96+BC97-BL96)))</f>
        <v>273.59999999999997</v>
      </c>
      <c r="BE97" s="14">
        <f>BD97*VLOOKUP('Données projet'!$B$11,Paramètres!$A$1:$I$89,3,0)*VLOOKUP('Données projet'!$B$11,Paramètres!$A$1:$I$89,5,0)</f>
        <v>264.62591999999995</v>
      </c>
      <c r="BF97" s="14">
        <f t="shared" si="91"/>
        <v>63.707422801198604</v>
      </c>
      <c r="BG97" s="22">
        <f t="shared" si="61"/>
        <v>571.84723871208746</v>
      </c>
      <c r="BH97" s="62">
        <f t="shared" si="62"/>
        <v>865.18057204542083</v>
      </c>
      <c r="BI97" s="62">
        <f ca="1">AVERAGE(OFFSET($BH$3,0,0,'Données projet'!$E$11+1,1))-AVERAGE(OFFSET($H$3,0,0,'Données projet'!$E$11+1,1))</f>
        <v>363.29716504383265</v>
      </c>
      <c r="BJ97" s="62">
        <f t="shared" si="92"/>
        <v>223.12394672673923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1.1368683772161603E-13</v>
      </c>
      <c r="BZ97" s="14">
        <f>BY97*VLOOKUP('Données projet'!$B$12,Paramètres!$A$1:$I$89,3,0)*VLOOKUP('Données projet'!$B$12,Paramètres!$A$1:$I$89,5,0)</f>
        <v>8.8675733422860506E-14</v>
      </c>
      <c r="CA97" s="14">
        <f t="shared" si="93"/>
        <v>1.3509285393066301E-12</v>
      </c>
      <c r="CB97" s="22">
        <f t="shared" si="64"/>
        <v>2.5073107750038623E-12</v>
      </c>
      <c r="CC97" s="62">
        <f t="shared" si="65"/>
        <v>293.33333333333582</v>
      </c>
      <c r="CD97" s="62">
        <f ca="1">AVERAGE(OFFSET($CC$3,0,0,'Données projet'!$E$12+1,1))-AVERAGE(OFFSET($H$3,0,0,'Données projet'!$E$12+1,1))</f>
        <v>249.25370091019835</v>
      </c>
      <c r="CE97" s="62">
        <f t="shared" si="94"/>
        <v>245.46410820099908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6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2">
        <f t="shared" si="86"/>
        <v>15.0956584691149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9">
        <f t="shared" si="56"/>
        <v>373.29852183370838</v>
      </c>
      <c r="I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-2.8421709430404007E-14</v>
      </c>
      <c r="O98" s="14">
        <f>N98*VLOOKUP('Données projet'!$B$9,Paramètres!$A$1:$I$89,3,0)*VLOOKUP('Données projet'!$B$9,Paramètres!$A$1:$I$89,5,0)</f>
        <v>-2.5715962692629544E-14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216.22465631364315</v>
      </c>
      <c r="T98" s="62">
        <f t="shared" si="88"/>
        <v>304.27938609150095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4.9000000000000004</v>
      </c>
      <c r="AI98" s="14">
        <f>IF('Données projet'!$A$62&gt;35,AI97+AH98-AQ97,IF(A98&lt;'Données projet'!$A$62,$AF$205^A98,IF(A98='Données projet'!$A$62,'Données projet'!$B$62,AI97+AH98-AQ97)))</f>
        <v>278.49999999999994</v>
      </c>
      <c r="AJ98" s="14">
        <f>AI98*VLOOKUP('Données projet'!$B$10,Paramètres!$A$1:$I$89,3,0)*VLOOKUP('Données projet'!$B$10,Paramètres!$A$1:$I$89,5,0)</f>
        <v>251.98679999999993</v>
      </c>
      <c r="AK98" s="14">
        <f t="shared" si="89"/>
        <v>61.011187970195053</v>
      </c>
      <c r="AL98" s="22">
        <f t="shared" si="58"/>
        <v>545.13816238142283</v>
      </c>
      <c r="AM98" s="62">
        <f t="shared" si="59"/>
        <v>838.4714957147562</v>
      </c>
      <c r="AN98" s="62">
        <f ca="1">AVERAGE(OFFSET($AM$3,0,0,'Données projet'!$E$10+1,1))-AVERAGE(OFFSET($H$3,0,0,'Données projet'!$E$10+1,1))</f>
        <v>336.63786714776501</v>
      </c>
      <c r="AO98" s="62">
        <f t="shared" si="90"/>
        <v>208.9883766854885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4.9000000000000004</v>
      </c>
      <c r="BD98" s="13">
        <f>IF('Données projet'!$A$88&gt;35,BD97+BC98-BL97,IF(A98&lt;'Données projet'!$A$88,$BA$205^A98,IF(A98='Données projet'!$A$88,'Données projet'!$B$88,BD97+BC98-BL97)))</f>
        <v>278.49999999999994</v>
      </c>
      <c r="BE98" s="14">
        <f>BD98*VLOOKUP('Données projet'!$B$11,Paramètres!$A$1:$I$89,3,0)*VLOOKUP('Données projet'!$B$11,Paramètres!$A$1:$I$89,5,0)</f>
        <v>269.36519999999996</v>
      </c>
      <c r="BF98" s="14">
        <f t="shared" si="91"/>
        <v>64.714530255967034</v>
      </c>
      <c r="BG98" s="22">
        <f t="shared" si="61"/>
        <v>581.85553019580914</v>
      </c>
      <c r="BH98" s="62">
        <f t="shared" si="62"/>
        <v>875.18886352914251</v>
      </c>
      <c r="BI98" s="62">
        <f ca="1">AVERAGE(OFFSET($BH$3,0,0,'Données projet'!$E$11+1,1))-AVERAGE(OFFSET($H$3,0,0,'Données projet'!$E$11+1,1))</f>
        <v>363.29716504383265</v>
      </c>
      <c r="BJ98" s="62">
        <f t="shared" si="92"/>
        <v>223.12394672673923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1.1368683772161603E-13</v>
      </c>
      <c r="BZ98" s="14">
        <f>BY98*VLOOKUP('Données projet'!$B$12,Paramètres!$A$1:$I$89,3,0)*VLOOKUP('Données projet'!$B$12,Paramètres!$A$1:$I$89,5,0)</f>
        <v>8.8675733422860506E-14</v>
      </c>
      <c r="CA98" s="14">
        <f t="shared" si="93"/>
        <v>1.3509285393066301E-12</v>
      </c>
      <c r="CB98" s="22">
        <f t="shared" si="64"/>
        <v>2.5073107750038623E-12</v>
      </c>
      <c r="CC98" s="62">
        <f t="shared" si="65"/>
        <v>293.33333333333582</v>
      </c>
      <c r="CD98" s="62">
        <f ca="1">AVERAGE(OFFSET($CC$3,0,0,'Données projet'!$E$12+1,1))-AVERAGE(OFFSET($H$3,0,0,'Données projet'!$E$12+1,1))</f>
        <v>249.25370091019835</v>
      </c>
      <c r="CE98" s="62">
        <f t="shared" si="94"/>
        <v>245.46410820099908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6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2">
        <f t="shared" si="86"/>
        <v>15.235978301273022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9">
        <f t="shared" si="56"/>
        <v>374.49386220805047</v>
      </c>
      <c r="I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-2.8421709430404007E-14</v>
      </c>
      <c r="O99" s="14">
        <f>N99*VLOOKUP('Données projet'!$B$9,Paramètres!$A$1:$I$89,3,0)*VLOOKUP('Données projet'!$B$9,Paramètres!$A$1:$I$89,5,0)</f>
        <v>-2.5715962692629544E-14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216.22465631364315</v>
      </c>
      <c r="T99" s="62">
        <f t="shared" si="88"/>
        <v>304.27938609150095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4.9000000000000004</v>
      </c>
      <c r="AI99" s="14">
        <f>IF('Données projet'!$A$62&gt;35,AI98+AH99-AQ98,IF(A99&lt;'Données projet'!$A$62,$AF$205^A99,IF(A99='Données projet'!$A$62,'Données projet'!$B$62,AI98+AH99-AQ98)))</f>
        <v>283.39999999999992</v>
      </c>
      <c r="AJ99" s="14">
        <f>AI99*VLOOKUP('Données projet'!$B$10,Paramètres!$A$1:$I$89,3,0)*VLOOKUP('Données projet'!$B$10,Paramètres!$A$1:$I$89,5,0)</f>
        <v>256.42031999999989</v>
      </c>
      <c r="AK99" s="14">
        <f t="shared" si="89"/>
        <v>61.958720258016918</v>
      </c>
      <c r="AL99" s="22">
        <f t="shared" si="58"/>
        <v>554.51016178271254</v>
      </c>
      <c r="AM99" s="62">
        <f t="shared" si="59"/>
        <v>847.84349511604591</v>
      </c>
      <c r="AN99" s="62">
        <f ca="1">AVERAGE(OFFSET($AM$3,0,0,'Données projet'!$E$10+1,1))-AVERAGE(OFFSET($H$3,0,0,'Données projet'!$E$10+1,1))</f>
        <v>336.63786714776501</v>
      </c>
      <c r="AO99" s="62">
        <f t="shared" si="90"/>
        <v>208.9883766854885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4.9000000000000004</v>
      </c>
      <c r="BD99" s="13">
        <f>IF('Données projet'!$A$88&gt;35,BD98+BC99-BL98,IF(A99&lt;'Données projet'!$A$88,$BA$205^A99,IF(A99='Données projet'!$A$88,'Données projet'!$B$88,BD98+BC99-BL98)))</f>
        <v>283.39999999999992</v>
      </c>
      <c r="BE99" s="14">
        <f>BD99*VLOOKUP('Données projet'!$B$11,Paramètres!$A$1:$I$89,3,0)*VLOOKUP('Données projet'!$B$11,Paramètres!$A$1:$I$89,5,0)</f>
        <v>274.10447999999991</v>
      </c>
      <c r="BF99" s="14">
        <f t="shared" si="91"/>
        <v>65.719577181765516</v>
      </c>
      <c r="BG99" s="22">
        <f t="shared" si="61"/>
        <v>591.86023292490802</v>
      </c>
      <c r="BH99" s="62">
        <f t="shared" si="62"/>
        <v>885.19356625824139</v>
      </c>
      <c r="BI99" s="62">
        <f ca="1">AVERAGE(OFFSET($BH$3,0,0,'Données projet'!$E$11+1,1))-AVERAGE(OFFSET($H$3,0,0,'Données projet'!$E$11+1,1))</f>
        <v>363.29716504383265</v>
      </c>
      <c r="BJ99" s="62">
        <f t="shared" si="92"/>
        <v>223.12394672673923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1.1368683772161603E-13</v>
      </c>
      <c r="BZ99" s="14">
        <f>BY99*VLOOKUP('Données projet'!$B$12,Paramètres!$A$1:$I$89,3,0)*VLOOKUP('Données projet'!$B$12,Paramètres!$A$1:$I$89,5,0)</f>
        <v>8.8675733422860506E-14</v>
      </c>
      <c r="CA99" s="14">
        <f t="shared" si="93"/>
        <v>1.3509285393066301E-12</v>
      </c>
      <c r="CB99" s="22">
        <f t="shared" si="64"/>
        <v>2.5073107750038623E-12</v>
      </c>
      <c r="CC99" s="62">
        <f t="shared" si="65"/>
        <v>293.33333333333582</v>
      </c>
      <c r="CD99" s="62">
        <f ca="1">AVERAGE(OFFSET($CC$3,0,0,'Données projet'!$E$12+1,1))-AVERAGE(OFFSET($H$3,0,0,'Données projet'!$E$12+1,1))</f>
        <v>249.25370091019835</v>
      </c>
      <c r="CE99" s="62">
        <f t="shared" si="94"/>
        <v>245.46410820099908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6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2">
        <f t="shared" si="86"/>
        <v>15.376128095486868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9">
        <f t="shared" si="56"/>
        <v>375.68890643297289</v>
      </c>
      <c r="I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-2.8421709430404007E-14</v>
      </c>
      <c r="O100" s="14">
        <f>N100*VLOOKUP('Données projet'!$B$9,Paramètres!$A$1:$I$89,3,0)*VLOOKUP('Données projet'!$B$9,Paramètres!$A$1:$I$89,5,0)</f>
        <v>-2.5715962692629544E-14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216.22465631364315</v>
      </c>
      <c r="T100" s="62">
        <f t="shared" si="88"/>
        <v>304.27938609150095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4.9000000000000004</v>
      </c>
      <c r="AI100" s="14">
        <f>IF('Données projet'!$A$62&gt;35,AI99+AH100-AQ99,IF(A100&lt;'Données projet'!$A$62,$AF$205^A100,IF(A100='Données projet'!$A$62,'Données projet'!$B$62,AI99+AH100-AQ99)))</f>
        <v>288.2999999999999</v>
      </c>
      <c r="AJ100" s="14">
        <f>AI100*VLOOKUP('Données projet'!$B$10,Paramètres!$A$1:$I$89,3,0)*VLOOKUP('Données projet'!$B$10,Paramètres!$A$1:$I$89,5,0)</f>
        <v>260.85383999999993</v>
      </c>
      <c r="AK100" s="14">
        <f t="shared" si="89"/>
        <v>62.904347395903763</v>
      </c>
      <c r="AL100" s="22">
        <f t="shared" si="58"/>
        <v>563.87884304786564</v>
      </c>
      <c r="AM100" s="62">
        <f t="shared" si="59"/>
        <v>857.21217638119901</v>
      </c>
      <c r="AN100" s="62">
        <f ca="1">AVERAGE(OFFSET($AM$3,0,0,'Données projet'!$E$10+1,1))-AVERAGE(OFFSET($H$3,0,0,'Données projet'!$E$10+1,1))</f>
        <v>336.63786714776501</v>
      </c>
      <c r="AO100" s="62">
        <f t="shared" si="90"/>
        <v>208.9883766854885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4.9000000000000004</v>
      </c>
      <c r="BD100" s="13">
        <f>IF('Données projet'!$A$88&gt;35,BD99+BC100-BL99,IF(A100&lt;'Données projet'!$A$88,$BA$205^A100,IF(A100='Données projet'!$A$88,'Données projet'!$B$88,BD99+BC100-BL99)))</f>
        <v>288.2999999999999</v>
      </c>
      <c r="BE100" s="14">
        <f>BD100*VLOOKUP('Données projet'!$B$11,Paramètres!$A$1:$I$89,3,0)*VLOOKUP('Données projet'!$B$11,Paramètres!$A$1:$I$89,5,0)</f>
        <v>278.84375999999992</v>
      </c>
      <c r="BF100" s="14">
        <f t="shared" si="91"/>
        <v>66.722603316177725</v>
      </c>
      <c r="BG100" s="22">
        <f t="shared" si="61"/>
        <v>601.86141610900938</v>
      </c>
      <c r="BH100" s="62">
        <f t="shared" si="62"/>
        <v>895.19474944234275</v>
      </c>
      <c r="BI100" s="62">
        <f ca="1">AVERAGE(OFFSET($BH$3,0,0,'Données projet'!$E$11+1,1))-AVERAGE(OFFSET($H$3,0,0,'Données projet'!$E$11+1,1))</f>
        <v>363.29716504383265</v>
      </c>
      <c r="BJ100" s="62">
        <f t="shared" si="92"/>
        <v>223.12394672673923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1.1368683772161603E-13</v>
      </c>
      <c r="BZ100" s="14">
        <f>BY100*VLOOKUP('Données projet'!$B$12,Paramètres!$A$1:$I$89,3,0)*VLOOKUP('Données projet'!$B$12,Paramètres!$A$1:$I$89,5,0)</f>
        <v>8.8675733422860506E-14</v>
      </c>
      <c r="CA100" s="14">
        <f t="shared" si="93"/>
        <v>1.3509285393066301E-12</v>
      </c>
      <c r="CB100" s="22">
        <f t="shared" si="64"/>
        <v>2.5073107750038623E-12</v>
      </c>
      <c r="CC100" s="62">
        <f t="shared" si="65"/>
        <v>293.33333333333582</v>
      </c>
      <c r="CD100" s="62">
        <f ca="1">AVERAGE(OFFSET($CC$3,0,0,'Données projet'!$E$12+1,1))-AVERAGE(OFFSET($H$3,0,0,'Données projet'!$E$12+1,1))</f>
        <v>249.25370091019835</v>
      </c>
      <c r="CE100" s="62">
        <f t="shared" si="94"/>
        <v>245.46410820099908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6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2">
        <f t="shared" si="86"/>
        <v>15.516109807666373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9">
        <f t="shared" si="56"/>
        <v>376.88365791501889</v>
      </c>
      <c r="I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-2.8421709430404007E-14</v>
      </c>
      <c r="O101" s="14">
        <f>N101*VLOOKUP('Données projet'!$B$9,Paramètres!$A$1:$I$89,3,0)*VLOOKUP('Données projet'!$B$9,Paramètres!$A$1:$I$89,5,0)</f>
        <v>-2.5715962692629544E-14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216.22465631364315</v>
      </c>
      <c r="T101" s="62">
        <f t="shared" si="88"/>
        <v>304.27938609150095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4.9000000000000004</v>
      </c>
      <c r="AI101" s="14">
        <f>IF('Données projet'!$A$62&gt;35,AI100+AH101-AQ100,IF(A101&lt;'Données projet'!$A$62,$AF$205^A101,IF(A101='Données projet'!$A$62,'Données projet'!$B$62,AI100+AH101-AQ100)))</f>
        <v>293.19999999999987</v>
      </c>
      <c r="AJ101" s="14">
        <f>AI101*VLOOKUP('Données projet'!$B$10,Paramètres!$A$1:$I$89,3,0)*VLOOKUP('Données projet'!$B$10,Paramètres!$A$1:$I$89,5,0)</f>
        <v>265.28735999999992</v>
      </c>
      <c r="AK101" s="14">
        <f t="shared" si="89"/>
        <v>63.84810550096995</v>
      </c>
      <c r="AL101" s="22">
        <f t="shared" si="58"/>
        <v>573.24426908085582</v>
      </c>
      <c r="AM101" s="62">
        <f t="shared" si="59"/>
        <v>866.57760241418919</v>
      </c>
      <c r="AN101" s="62">
        <f ca="1">AVERAGE(OFFSET($AM$3,0,0,'Données projet'!$E$10+1,1))-AVERAGE(OFFSET($H$3,0,0,'Données projet'!$E$10+1,1))</f>
        <v>336.63786714776501</v>
      </c>
      <c r="AO101" s="62">
        <f t="shared" si="90"/>
        <v>208.9883766854885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4.9000000000000004</v>
      </c>
      <c r="BD101" s="13">
        <f>IF('Données projet'!$A$88&gt;35,BD100+BC101-BL100,IF(A101&lt;'Données projet'!$A$88,$BA$205^A101,IF(A101='Données projet'!$A$88,'Données projet'!$B$88,BD100+BC101-BL100)))</f>
        <v>293.19999999999987</v>
      </c>
      <c r="BE101" s="14">
        <f>BD101*VLOOKUP('Données projet'!$B$11,Paramètres!$A$1:$I$89,3,0)*VLOOKUP('Données projet'!$B$11,Paramètres!$A$1:$I$89,5,0)</f>
        <v>283.58303999999993</v>
      </c>
      <c r="BF101" s="14">
        <f t="shared" si="91"/>
        <v>67.723646968605209</v>
      </c>
      <c r="BG101" s="22">
        <f t="shared" si="61"/>
        <v>611.85914647032064</v>
      </c>
      <c r="BH101" s="62">
        <f t="shared" si="62"/>
        <v>905.1924798036539</v>
      </c>
      <c r="BI101" s="62">
        <f ca="1">AVERAGE(OFFSET($BH$3,0,0,'Données projet'!$E$11+1,1))-AVERAGE(OFFSET($H$3,0,0,'Données projet'!$E$11+1,1))</f>
        <v>363.29716504383265</v>
      </c>
      <c r="BJ101" s="62">
        <f t="shared" si="92"/>
        <v>223.12394672673923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1.1368683772161603E-13</v>
      </c>
      <c r="BZ101" s="14">
        <f>BY101*VLOOKUP('Données projet'!$B$12,Paramètres!$A$1:$I$89,3,0)*VLOOKUP('Données projet'!$B$12,Paramètres!$A$1:$I$89,5,0)</f>
        <v>8.8675733422860506E-14</v>
      </c>
      <c r="CA101" s="14">
        <f t="shared" si="93"/>
        <v>1.3509285393066301E-12</v>
      </c>
      <c r="CB101" s="22">
        <f t="shared" si="64"/>
        <v>2.5073107750038623E-12</v>
      </c>
      <c r="CC101" s="62">
        <f t="shared" si="65"/>
        <v>293.33333333333582</v>
      </c>
      <c r="CD101" s="62">
        <f ca="1">AVERAGE(OFFSET($CC$3,0,0,'Données projet'!$E$12+1,1))-AVERAGE(OFFSET($H$3,0,0,'Données projet'!$E$12+1,1))</f>
        <v>249.25370091019835</v>
      </c>
      <c r="CE101" s="62">
        <f t="shared" si="94"/>
        <v>245.46410820099908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6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2">
        <f t="shared" si="86"/>
        <v>15.655925351504653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9">
        <f t="shared" si="56"/>
        <v>378.07811998720388</v>
      </c>
      <c r="I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-2.8421709430404007E-14</v>
      </c>
      <c r="O102" s="14">
        <f>N102*VLOOKUP('Données projet'!$B$9,Paramètres!$A$1:$I$89,3,0)*VLOOKUP('Données projet'!$B$9,Paramètres!$A$1:$I$89,5,0)</f>
        <v>-2.5715962692629544E-14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216.22465631364315</v>
      </c>
      <c r="T102" s="62">
        <f t="shared" si="88"/>
        <v>304.27938609150095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4.9000000000000004</v>
      </c>
      <c r="AI102" s="14">
        <f>IF('Données projet'!$A$62&gt;35,AI101+AH102-AQ101,IF(A102&lt;'Données projet'!$A$62,$AF$205^A102,IF(A102='Données projet'!$A$62,'Données projet'!$B$62,AI101+AH102-AQ101)))</f>
        <v>298.09999999999985</v>
      </c>
      <c r="AJ102" s="14">
        <f>AI102*VLOOKUP('Données projet'!$B$10,Paramètres!$A$1:$I$89,3,0)*VLOOKUP('Données projet'!$B$10,Paramètres!$A$1:$I$89,5,0)</f>
        <v>269.72087999999985</v>
      </c>
      <c r="AK102" s="14">
        <f t="shared" si="89"/>
        <v>64.790029413946939</v>
      </c>
      <c r="AL102" s="22">
        <f t="shared" si="58"/>
        <v>582.60650056262409</v>
      </c>
      <c r="AM102" s="62">
        <f t="shared" si="59"/>
        <v>875.93983389595746</v>
      </c>
      <c r="AN102" s="62">
        <f ca="1">AVERAGE(OFFSET($AM$3,0,0,'Données projet'!$E$10+1,1))-AVERAGE(OFFSET($H$3,0,0,'Données projet'!$E$10+1,1))</f>
        <v>336.63786714776501</v>
      </c>
      <c r="AO102" s="62">
        <f t="shared" si="90"/>
        <v>208.9883766854885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4.9000000000000004</v>
      </c>
      <c r="BD102" s="13">
        <f>IF('Données projet'!$A$88&gt;35,BD101+BC102-BL101,IF(A102&lt;'Données projet'!$A$88,$BA$205^A102,IF(A102='Données projet'!$A$88,'Données projet'!$B$88,BD101+BC102-BL101)))</f>
        <v>298.09999999999985</v>
      </c>
      <c r="BE102" s="14">
        <f>BD102*VLOOKUP('Données projet'!$B$11,Paramètres!$A$1:$I$89,3,0)*VLOOKUP('Données projet'!$B$11,Paramètres!$A$1:$I$89,5,0)</f>
        <v>288.32231999999988</v>
      </c>
      <c r="BF102" s="14">
        <f t="shared" si="91"/>
        <v>68.722745094590621</v>
      </c>
      <c r="BG102" s="22">
        <f t="shared" si="61"/>
        <v>621.85348837307845</v>
      </c>
      <c r="BH102" s="62">
        <f t="shared" si="62"/>
        <v>915.18682170641182</v>
      </c>
      <c r="BI102" s="62">
        <f ca="1">AVERAGE(OFFSET($BH$3,0,0,'Données projet'!$E$11+1,1))-AVERAGE(OFFSET($H$3,0,0,'Données projet'!$E$11+1,1))</f>
        <v>363.29716504383265</v>
      </c>
      <c r="BJ102" s="62">
        <f t="shared" si="92"/>
        <v>223.12394672673923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1.1368683772161603E-13</v>
      </c>
      <c r="BZ102" s="14">
        <f>BY102*VLOOKUP('Données projet'!$B$12,Paramètres!$A$1:$I$89,3,0)*VLOOKUP('Données projet'!$B$12,Paramètres!$A$1:$I$89,5,0)</f>
        <v>8.8675733422860506E-14</v>
      </c>
      <c r="CA102" s="14">
        <f t="shared" si="93"/>
        <v>1.3509285393066301E-12</v>
      </c>
      <c r="CB102" s="22">
        <f t="shared" si="64"/>
        <v>2.5073107750038623E-12</v>
      </c>
      <c r="CC102" s="62">
        <f t="shared" si="65"/>
        <v>293.33333333333582</v>
      </c>
      <c r="CD102" s="62">
        <f ca="1">AVERAGE(OFFSET($CC$3,0,0,'Données projet'!$E$12+1,1))-AVERAGE(OFFSET($H$3,0,0,'Données projet'!$E$12+1,1))</f>
        <v>249.25370091019835</v>
      </c>
      <c r="CE102" s="62">
        <f t="shared" si="94"/>
        <v>245.46410820099908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6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2">
        <f t="shared" si="86"/>
        <v>15.795576599806306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9">
        <f t="shared" si="56"/>
        <v>379.27229591132925</v>
      </c>
      <c r="I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-2.8421709430404007E-14</v>
      </c>
      <c r="O103" s="14">
        <f>N103*VLOOKUP('Données projet'!$B$9,Paramètres!$A$1:$I$89,3,0)*VLOOKUP('Données projet'!$B$9,Paramètres!$A$1:$I$89,5,0)</f>
        <v>-2.5715962692629544E-14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216.22465631364315</v>
      </c>
      <c r="T103" s="62">
        <f t="shared" si="88"/>
        <v>304.27938609150095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303</v>
      </c>
      <c r="AG103" s="13">
        <f>VLOOKUP(A103,'Données projet'!$A$61:$I$81,9,0)</f>
        <v>4.9000000000000004</v>
      </c>
      <c r="AH103" s="13">
        <f t="array" ref="AH103">INDEX(AG:AG,MIN(IF(ISNUMBER(AG103:AG299),ROW(AG103:AG299),"")))</f>
        <v>4.9000000000000004</v>
      </c>
      <c r="AI103" s="14">
        <f>IF('Données projet'!$A$62&gt;35,AI102+AH103-AQ102,IF(A103&lt;'Données projet'!$A$62,$AF$205^A103,IF(A103='Données projet'!$A$62,'Données projet'!$B$62,AI102+AH103-AQ102)))</f>
        <v>302.99999999999983</v>
      </c>
      <c r="AJ103" s="14">
        <f>AI103*VLOOKUP('Données projet'!$B$10,Paramètres!$A$1:$I$89,3,0)*VLOOKUP('Données projet'!$B$10,Paramètres!$A$1:$I$89,5,0)</f>
        <v>274.15439999999984</v>
      </c>
      <c r="AK103" s="14">
        <f t="shared" si="89"/>
        <v>65.730152764515779</v>
      </c>
      <c r="AL103" s="22">
        <f t="shared" si="58"/>
        <v>591.9655960648646</v>
      </c>
      <c r="AM103" s="62">
        <f t="shared" si="59"/>
        <v>885.29892939819797</v>
      </c>
      <c r="AN103" s="62">
        <f ca="1">AVERAGE(OFFSET($AM$3,0,0,'Données projet'!$E$10+1,1))-AVERAGE(OFFSET($H$3,0,0,'Données projet'!$E$10+1,1))</f>
        <v>336.63786714776501</v>
      </c>
      <c r="AO103" s="62">
        <f t="shared" si="90"/>
        <v>208.9883766854885</v>
      </c>
      <c r="AP103" s="16">
        <f>IF(ISNA(VLOOKUP(A103,'Données projet'!$A$61:$I$81,3,0)),0,VLOOKUP(A103,'Données projet'!$A$61:$I$81,3,0))</f>
        <v>8</v>
      </c>
      <c r="AQ103" s="16">
        <f>IF(ISNA(VLOOKUP(A103,'Données projet'!$A$61:$I$81,4,0)),0,VLOOKUP(A103,'Données projet'!$A$61:$I$81,4,0))</f>
        <v>42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303</v>
      </c>
      <c r="BB103" s="13">
        <f>VLOOKUP(A103,'Données projet'!$A$87:$I$107,9,0)</f>
        <v>4.9000000000000004</v>
      </c>
      <c r="BC103" s="13">
        <f t="array" ref="BC103">INDEX(BB:BB,MIN(IF(ISNUMBER(BB103:BB299),ROW(BB103:BB299),"")))</f>
        <v>4.9000000000000004</v>
      </c>
      <c r="BD103" s="13">
        <f>IF('Données projet'!$A$88&gt;35,BD102+BC103-BL102,IF(A103&lt;'Données projet'!$A$88,$BA$205^A103,IF(A103='Données projet'!$A$88,'Données projet'!$B$88,BD102+BC103-BL102)))</f>
        <v>302.99999999999983</v>
      </c>
      <c r="BE103" s="14">
        <f>BD103*VLOOKUP('Données projet'!$B$11,Paramètres!$A$1:$I$89,3,0)*VLOOKUP('Données projet'!$B$11,Paramètres!$A$1:$I$89,5,0)</f>
        <v>293.06159999999983</v>
      </c>
      <c r="BF103" s="14">
        <f t="shared" si="91"/>
        <v>69.719933365116546</v>
      </c>
      <c r="BG103" s="22">
        <f t="shared" si="61"/>
        <v>631.84450394424437</v>
      </c>
      <c r="BH103" s="62">
        <f t="shared" si="62"/>
        <v>925.17783727757774</v>
      </c>
      <c r="BI103" s="62">
        <f ca="1">AVERAGE(OFFSET($BH$3,0,0,'Données projet'!$E$11+1,1))-AVERAGE(OFFSET($H$3,0,0,'Données projet'!$E$11+1,1))</f>
        <v>363.29716504383265</v>
      </c>
      <c r="BJ103" s="62">
        <f t="shared" si="92"/>
        <v>223.12394672673923</v>
      </c>
      <c r="BK103" s="16">
        <f>IF(ISNA(VLOOKUP(A103,'Données projet'!$A$87:$I$107,3,0)),0,VLOOKUP(A103,'Données projet'!$A$87:$I$107,3,0))</f>
        <v>8</v>
      </c>
      <c r="BL103" s="16">
        <f>IF(ISNA(VLOOKUP(A103,'Données projet'!$A$87:$I$107,4,0)),0,VLOOKUP(A103,'Données projet'!$A$87:$I$107,4,0))</f>
        <v>42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1.1368683772161603E-13</v>
      </c>
      <c r="BZ103" s="14">
        <f>BY103*VLOOKUP('Données projet'!$B$12,Paramètres!$A$1:$I$89,3,0)*VLOOKUP('Données projet'!$B$12,Paramètres!$A$1:$I$89,5,0)</f>
        <v>8.8675733422860506E-14</v>
      </c>
      <c r="CA103" s="14">
        <f t="shared" si="93"/>
        <v>1.3509285393066301E-12</v>
      </c>
      <c r="CB103" s="22">
        <f t="shared" si="64"/>
        <v>2.5073107750038623E-12</v>
      </c>
      <c r="CC103" s="62">
        <f t="shared" si="65"/>
        <v>293.33333333333582</v>
      </c>
      <c r="CD103" s="62">
        <f ca="1">AVERAGE(OFFSET($CC$3,0,0,'Données projet'!$E$12+1,1))-AVERAGE(OFFSET($H$3,0,0,'Données projet'!$E$12+1,1))</f>
        <v>249.25370091019835</v>
      </c>
      <c r="CE103" s="62">
        <f t="shared" si="94"/>
        <v>245.46410820099908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6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2">
        <f t="shared" si="86"/>
        <v>15.935065385761003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9">
        <f t="shared" si="56"/>
        <v>380.46618888020032</v>
      </c>
      <c r="I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-2.8421709430404007E-14</v>
      </c>
      <c r="O104" s="14">
        <f>N104*VLOOKUP('Données projet'!$B$9,Paramètres!$A$1:$I$89,3,0)*VLOOKUP('Données projet'!$B$9,Paramètres!$A$1:$I$89,5,0)</f>
        <v>-2.5715962692629544E-14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216.22465631364315</v>
      </c>
      <c r="T104" s="62">
        <f t="shared" si="88"/>
        <v>304.27938609150095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4.4000000000000004</v>
      </c>
      <c r="AI104" s="14">
        <f>IF('Données projet'!$A$62&gt;35,AI103+AH104-AQ103,IF(A104&lt;'Données projet'!$A$62,$AF$205^A104,IF(A104='Données projet'!$A$62,'Données projet'!$B$62,AI103+AH104-AQ103)))</f>
        <v>265.39999999999981</v>
      </c>
      <c r="AJ104" s="14">
        <f>AI104*VLOOKUP('Données projet'!$B$10,Paramètres!$A$1:$I$89,3,0)*VLOOKUP('Données projet'!$B$10,Paramètres!$A$1:$I$89,5,0)</f>
        <v>240.13391999999982</v>
      </c>
      <c r="AK104" s="14">
        <f t="shared" si="89"/>
        <v>58.468343087048559</v>
      </c>
      <c r="AL104" s="22">
        <f t="shared" si="58"/>
        <v>520.06560820994252</v>
      </c>
      <c r="AM104" s="62">
        <f t="shared" si="59"/>
        <v>813.3989415432759</v>
      </c>
      <c r="AN104" s="62">
        <f ca="1">AVERAGE(OFFSET($AM$3,0,0,'Données projet'!$E$10+1,1))-AVERAGE(OFFSET($H$3,0,0,'Données projet'!$E$10+1,1))</f>
        <v>336.63786714776501</v>
      </c>
      <c r="AO104" s="62">
        <f t="shared" si="90"/>
        <v>208.9883766854885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4.4000000000000004</v>
      </c>
      <c r="BD104" s="13">
        <f>IF('Données projet'!$A$88&gt;35,BD103+BC104-BL103,IF(A104&lt;'Données projet'!$A$88,$BA$205^A104,IF(A104='Données projet'!$A$88,'Données projet'!$B$88,BD103+BC104-BL103)))</f>
        <v>265.39999999999981</v>
      </c>
      <c r="BE104" s="14">
        <f>BD104*VLOOKUP('Données projet'!$B$11,Paramètres!$A$1:$I$89,3,0)*VLOOKUP('Données projet'!$B$11,Paramètres!$A$1:$I$89,5,0)</f>
        <v>256.69487999999984</v>
      </c>
      <c r="BF104" s="14">
        <f t="shared" si="91"/>
        <v>62.017336223177502</v>
      </c>
      <c r="BG104" s="22">
        <f t="shared" si="61"/>
        <v>555.09044325536718</v>
      </c>
      <c r="BH104" s="62">
        <f t="shared" si="62"/>
        <v>848.42377658870055</v>
      </c>
      <c r="BI104" s="62">
        <f ca="1">AVERAGE(OFFSET($BH$3,0,0,'Données projet'!$E$11+1,1))-AVERAGE(OFFSET($H$3,0,0,'Données projet'!$E$11+1,1))</f>
        <v>363.29716504383265</v>
      </c>
      <c r="BJ104" s="62">
        <f t="shared" si="92"/>
        <v>223.12394672673923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1.1368683772161603E-13</v>
      </c>
      <c r="BZ104" s="14">
        <f>BY104*VLOOKUP('Données projet'!$B$12,Paramètres!$A$1:$I$89,3,0)*VLOOKUP('Données projet'!$B$12,Paramètres!$A$1:$I$89,5,0)</f>
        <v>8.8675733422860506E-14</v>
      </c>
      <c r="CA104" s="14">
        <f t="shared" si="93"/>
        <v>1.3509285393066301E-12</v>
      </c>
      <c r="CB104" s="22">
        <f t="shared" si="64"/>
        <v>2.5073107750038623E-12</v>
      </c>
      <c r="CC104" s="62">
        <f t="shared" si="65"/>
        <v>293.33333333333582</v>
      </c>
      <c r="CD104" s="62">
        <f ca="1">AVERAGE(OFFSET($CC$3,0,0,'Données projet'!$E$12+1,1))-AVERAGE(OFFSET($H$3,0,0,'Données projet'!$E$12+1,1))</f>
        <v>249.25370091019835</v>
      </c>
      <c r="CE104" s="62">
        <f t="shared" si="94"/>
        <v>245.46410820099908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6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2">
        <f t="shared" si="86"/>
        <v>16.07439350416519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9">
        <f t="shared" si="56"/>
        <v>381.6598020197543</v>
      </c>
      <c r="I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-2.8421709430404007E-14</v>
      </c>
      <c r="O105" s="14">
        <f>N105*VLOOKUP('Données projet'!$B$9,Paramètres!$A$1:$I$89,3,0)*VLOOKUP('Données projet'!$B$9,Paramètres!$A$1:$I$89,5,0)</f>
        <v>-2.5715962692629544E-14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216.22465631364315</v>
      </c>
      <c r="T105" s="62">
        <f t="shared" si="88"/>
        <v>304.27938609150095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4.4000000000000004</v>
      </c>
      <c r="AI105" s="14">
        <f>IF('Données projet'!$A$62&gt;35,AI104+AH105-AQ104,IF(A105&lt;'Données projet'!$A$62,$AF$205^A105,IF(A105='Données projet'!$A$62,'Données projet'!$B$62,AI104+AH105-AQ104)))</f>
        <v>269.79999999999978</v>
      </c>
      <c r="AJ105" s="14">
        <f>AI105*VLOOKUP('Données projet'!$B$10,Paramètres!$A$1:$I$89,3,0)*VLOOKUP('Données projet'!$B$10,Paramètres!$A$1:$I$89,5,0)</f>
        <v>244.11503999999979</v>
      </c>
      <c r="AK105" s="14">
        <f t="shared" si="89"/>
        <v>59.324023461759012</v>
      </c>
      <c r="AL105" s="22">
        <f t="shared" si="58"/>
        <v>528.48970219589648</v>
      </c>
      <c r="AM105" s="62">
        <f t="shared" si="59"/>
        <v>821.82303552922986</v>
      </c>
      <c r="AN105" s="62">
        <f ca="1">AVERAGE(OFFSET($AM$3,0,0,'Données projet'!$E$10+1,1))-AVERAGE(OFFSET($H$3,0,0,'Données projet'!$E$10+1,1))</f>
        <v>336.63786714776501</v>
      </c>
      <c r="AO105" s="62">
        <f t="shared" si="90"/>
        <v>208.9883766854885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4.4000000000000004</v>
      </c>
      <c r="BD105" s="13">
        <f>IF('Données projet'!$A$88&gt;35,BD104+BC105-BL104,IF(A105&lt;'Données projet'!$A$88,$BA$205^A105,IF(A105='Données projet'!$A$88,'Données projet'!$B$88,BD104+BC105-BL104)))</f>
        <v>269.79999999999978</v>
      </c>
      <c r="BE105" s="14">
        <f>BD105*VLOOKUP('Données projet'!$B$11,Paramètres!$A$1:$I$89,3,0)*VLOOKUP('Données projet'!$B$11,Paramètres!$A$1:$I$89,5,0)</f>
        <v>260.95055999999983</v>
      </c>
      <c r="BF105" s="14">
        <f t="shared" si="91"/>
        <v>62.924955880176938</v>
      </c>
      <c r="BG105" s="22">
        <f t="shared" si="61"/>
        <v>564.08319015797451</v>
      </c>
      <c r="BH105" s="62">
        <f t="shared" si="62"/>
        <v>857.41652349130777</v>
      </c>
      <c r="BI105" s="62">
        <f ca="1">AVERAGE(OFFSET($BH$3,0,0,'Données projet'!$E$11+1,1))-AVERAGE(OFFSET($H$3,0,0,'Données projet'!$E$11+1,1))</f>
        <v>363.29716504383265</v>
      </c>
      <c r="BJ105" s="62">
        <f t="shared" si="92"/>
        <v>223.12394672673923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1.1368683772161603E-13</v>
      </c>
      <c r="BZ105" s="14">
        <f>BY105*VLOOKUP('Données projet'!$B$12,Paramètres!$A$1:$I$89,3,0)*VLOOKUP('Données projet'!$B$12,Paramètres!$A$1:$I$89,5,0)</f>
        <v>8.8675733422860506E-14</v>
      </c>
      <c r="CA105" s="14">
        <f t="shared" si="93"/>
        <v>1.3509285393066301E-12</v>
      </c>
      <c r="CB105" s="22">
        <f t="shared" si="64"/>
        <v>2.5073107750038623E-12</v>
      </c>
      <c r="CC105" s="62">
        <f t="shared" si="65"/>
        <v>293.33333333333582</v>
      </c>
      <c r="CD105" s="62">
        <f ca="1">AVERAGE(OFFSET($CC$3,0,0,'Données projet'!$E$12+1,1))-AVERAGE(OFFSET($H$3,0,0,'Données projet'!$E$12+1,1))</f>
        <v>249.25370091019835</v>
      </c>
      <c r="CE105" s="62">
        <f t="shared" si="94"/>
        <v>245.46410820099908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6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2">
        <f t="shared" si="86"/>
        <v>16.213562712594495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9">
        <f t="shared" si="56"/>
        <v>382.85313839110199</v>
      </c>
      <c r="I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-2.8421709430404007E-14</v>
      </c>
      <c r="O106" s="14">
        <f>N106*VLOOKUP('Données projet'!$B$9,Paramètres!$A$1:$I$89,3,0)*VLOOKUP('Données projet'!$B$9,Paramètres!$A$1:$I$89,5,0)</f>
        <v>-2.5715962692629544E-14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216.22465631364315</v>
      </c>
      <c r="T106" s="62">
        <f t="shared" si="88"/>
        <v>304.27938609150095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4.4000000000000004</v>
      </c>
      <c r="AI106" s="14">
        <f>IF('Données projet'!$A$62&gt;35,AI105+AH106-AQ105,IF(A106&lt;'Données projet'!$A$62,$AF$205^A106,IF(A106='Données projet'!$A$62,'Données projet'!$B$62,AI105+AH106-AQ105)))</f>
        <v>274.19999999999976</v>
      </c>
      <c r="AJ106" s="14">
        <f>AI106*VLOOKUP('Données projet'!$B$10,Paramètres!$A$1:$I$89,3,0)*VLOOKUP('Données projet'!$B$10,Paramètres!$A$1:$I$89,5,0)</f>
        <v>248.0961599999998</v>
      </c>
      <c r="AK106" s="14">
        <f t="shared" si="89"/>
        <v>60.178080967364686</v>
      </c>
      <c r="AL106" s="22">
        <f t="shared" si="58"/>
        <v>536.91096968482657</v>
      </c>
      <c r="AM106" s="62">
        <f t="shared" si="59"/>
        <v>830.24430301815983</v>
      </c>
      <c r="AN106" s="62">
        <f ca="1">AVERAGE(OFFSET($AM$3,0,0,'Données projet'!$E$10+1,1))-AVERAGE(OFFSET($H$3,0,0,'Données projet'!$E$10+1,1))</f>
        <v>336.63786714776501</v>
      </c>
      <c r="AO106" s="62">
        <f t="shared" si="90"/>
        <v>208.9883766854885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4.4000000000000004</v>
      </c>
      <c r="BD106" s="13">
        <f>IF('Données projet'!$A$88&gt;35,BD105+BC106-BL105,IF(A106&lt;'Données projet'!$A$88,$BA$205^A106,IF(A106='Données projet'!$A$88,'Données projet'!$B$88,BD105+BC106-BL105)))</f>
        <v>274.19999999999976</v>
      </c>
      <c r="BE106" s="14">
        <f>BD106*VLOOKUP('Données projet'!$B$11,Paramètres!$A$1:$I$89,3,0)*VLOOKUP('Données projet'!$B$11,Paramètres!$A$1:$I$89,5,0)</f>
        <v>265.20623999999975</v>
      </c>
      <c r="BF106" s="14">
        <f t="shared" si="91"/>
        <v>63.830854160896386</v>
      </c>
      <c r="BG106" s="22">
        <f t="shared" si="61"/>
        <v>573.07293899689409</v>
      </c>
      <c r="BH106" s="62">
        <f t="shared" si="62"/>
        <v>866.40627233022747</v>
      </c>
      <c r="BI106" s="62">
        <f ca="1">AVERAGE(OFFSET($BH$3,0,0,'Données projet'!$E$11+1,1))-AVERAGE(OFFSET($H$3,0,0,'Données projet'!$E$11+1,1))</f>
        <v>363.29716504383265</v>
      </c>
      <c r="BJ106" s="62">
        <f t="shared" si="92"/>
        <v>223.12394672673923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1.1368683772161603E-13</v>
      </c>
      <c r="BZ106" s="14">
        <f>BY106*VLOOKUP('Données projet'!$B$12,Paramètres!$A$1:$I$89,3,0)*VLOOKUP('Données projet'!$B$12,Paramètres!$A$1:$I$89,5,0)</f>
        <v>8.8675733422860506E-14</v>
      </c>
      <c r="CA106" s="14">
        <f t="shared" si="93"/>
        <v>1.3509285393066301E-12</v>
      </c>
      <c r="CB106" s="22">
        <f t="shared" si="64"/>
        <v>2.5073107750038623E-12</v>
      </c>
      <c r="CC106" s="62">
        <f t="shared" si="65"/>
        <v>293.33333333333582</v>
      </c>
      <c r="CD106" s="62">
        <f ca="1">AVERAGE(OFFSET($CC$3,0,0,'Données projet'!$E$12+1,1))-AVERAGE(OFFSET($H$3,0,0,'Données projet'!$E$12+1,1))</f>
        <v>249.25370091019835</v>
      </c>
      <c r="CE106" s="62">
        <f t="shared" si="94"/>
        <v>245.46410820099908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6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2">
        <f t="shared" si="86"/>
        <v>16.352574732529348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9">
        <f t="shared" si="56"/>
        <v>384.04620099248854</v>
      </c>
      <c r="I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-2.8421709430404007E-14</v>
      </c>
      <c r="O107" s="14">
        <f>N107*VLOOKUP('Données projet'!$B$9,Paramètres!$A$1:$I$89,3,0)*VLOOKUP('Données projet'!$B$9,Paramètres!$A$1:$I$89,5,0)</f>
        <v>-2.5715962692629544E-14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216.22465631364315</v>
      </c>
      <c r="T107" s="62">
        <f t="shared" si="88"/>
        <v>304.27938609150095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4.4000000000000004</v>
      </c>
      <c r="AI107" s="14">
        <f>IF('Données projet'!$A$62&gt;35,AI106+AH107-AQ106,IF(A107&lt;'Données projet'!$A$62,$AF$205^A107,IF(A107='Données projet'!$A$62,'Données projet'!$B$62,AI106+AH107-AQ106)))</f>
        <v>278.59999999999974</v>
      </c>
      <c r="AJ107" s="14">
        <f>AI107*VLOOKUP('Données projet'!$B$10,Paramètres!$A$1:$I$89,3,0)*VLOOKUP('Données projet'!$B$10,Paramètres!$A$1:$I$89,5,0)</f>
        <v>252.07727999999975</v>
      </c>
      <c r="AK107" s="14">
        <f t="shared" si="89"/>
        <v>61.03054465215493</v>
      </c>
      <c r="AL107" s="22">
        <f t="shared" si="58"/>
        <v>545.32946126916943</v>
      </c>
      <c r="AM107" s="62">
        <f t="shared" si="59"/>
        <v>838.6627946025028</v>
      </c>
      <c r="AN107" s="62">
        <f ca="1">AVERAGE(OFFSET($AM$3,0,0,'Données projet'!$E$10+1,1))-AVERAGE(OFFSET($H$3,0,0,'Données projet'!$E$10+1,1))</f>
        <v>336.63786714776501</v>
      </c>
      <c r="AO107" s="62">
        <f t="shared" si="90"/>
        <v>208.9883766854885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4.4000000000000004</v>
      </c>
      <c r="BD107" s="13">
        <f>IF('Données projet'!$A$88&gt;35,BD106+BC107-BL106,IF(A107&lt;'Données projet'!$A$88,$BA$205^A107,IF(A107='Données projet'!$A$88,'Données projet'!$B$88,BD106+BC107-BL106)))</f>
        <v>278.59999999999974</v>
      </c>
      <c r="BE107" s="14">
        <f>BD107*VLOOKUP('Données projet'!$B$11,Paramètres!$A$1:$I$89,3,0)*VLOOKUP('Données projet'!$B$11,Paramètres!$A$1:$I$89,5,0)</f>
        <v>269.46191999999974</v>
      </c>
      <c r="BF107" s="14">
        <f t="shared" si="91"/>
        <v>64.735061876839055</v>
      </c>
      <c r="BG107" s="22">
        <f t="shared" si="61"/>
        <v>582.05974343549417</v>
      </c>
      <c r="BH107" s="62">
        <f t="shared" si="62"/>
        <v>875.39307676882754</v>
      </c>
      <c r="BI107" s="62">
        <f ca="1">AVERAGE(OFFSET($BH$3,0,0,'Données projet'!$E$11+1,1))-AVERAGE(OFFSET($H$3,0,0,'Données projet'!$E$11+1,1))</f>
        <v>363.29716504383265</v>
      </c>
      <c r="BJ107" s="62">
        <f t="shared" si="92"/>
        <v>223.12394672673923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1.1368683772161603E-13</v>
      </c>
      <c r="BZ107" s="14">
        <f>BY107*VLOOKUP('Données projet'!$B$12,Paramètres!$A$1:$I$89,3,0)*VLOOKUP('Données projet'!$B$12,Paramètres!$A$1:$I$89,5,0)</f>
        <v>8.8675733422860506E-14</v>
      </c>
      <c r="CA107" s="14">
        <f t="shared" si="93"/>
        <v>1.3509285393066301E-12</v>
      </c>
      <c r="CB107" s="22">
        <f t="shared" si="64"/>
        <v>2.5073107750038623E-12</v>
      </c>
      <c r="CC107" s="62">
        <f t="shared" si="65"/>
        <v>293.33333333333582</v>
      </c>
      <c r="CD107" s="62">
        <f ca="1">AVERAGE(OFFSET($CC$3,0,0,'Données projet'!$E$12+1,1))-AVERAGE(OFFSET($H$3,0,0,'Données projet'!$E$12+1,1))</f>
        <v>249.25370091019835</v>
      </c>
      <c r="CE107" s="62">
        <f t="shared" si="94"/>
        <v>245.46410820099908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6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2">
        <f t="shared" si="86"/>
        <v>16.491431250436072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9">
        <f t="shared" si="56"/>
        <v>385.23899276117606</v>
      </c>
      <c r="I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-2.8421709430404007E-14</v>
      </c>
      <c r="O108" s="14">
        <f>N108*VLOOKUP('Données projet'!$B$9,Paramètres!$A$1:$I$89,3,0)*VLOOKUP('Données projet'!$B$9,Paramètres!$A$1:$I$89,5,0)</f>
        <v>-2.5715962692629544E-14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216.22465631364315</v>
      </c>
      <c r="T108" s="62">
        <f t="shared" si="88"/>
        <v>304.27938609150095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4.4000000000000004</v>
      </c>
      <c r="AI108" s="14">
        <f>IF('Données projet'!$A$62&gt;35,AI107+AH108-AQ107,IF(A108&lt;'Données projet'!$A$62,$AF$205^A108,IF(A108='Données projet'!$A$62,'Données projet'!$B$62,AI107+AH108-AQ107)))</f>
        <v>282.99999999999972</v>
      </c>
      <c r="AJ108" s="14">
        <f>AI108*VLOOKUP('Données projet'!$B$10,Paramètres!$A$1:$I$89,3,0)*VLOOKUP('Données projet'!$B$10,Paramètres!$A$1:$I$89,5,0)</f>
        <v>256.05839999999972</v>
      </c>
      <c r="AK108" s="14">
        <f t="shared" si="89"/>
        <v>61.881442594256434</v>
      </c>
      <c r="AL108" s="22">
        <f t="shared" si="58"/>
        <v>553.74522585166278</v>
      </c>
      <c r="AM108" s="62">
        <f t="shared" si="59"/>
        <v>847.07855918499604</v>
      </c>
      <c r="AN108" s="62">
        <f ca="1">AVERAGE(OFFSET($AM$3,0,0,'Données projet'!$E$10+1,1))-AVERAGE(OFFSET($H$3,0,0,'Données projet'!$E$10+1,1))</f>
        <v>336.63786714776501</v>
      </c>
      <c r="AO108" s="62">
        <f t="shared" si="90"/>
        <v>208.9883766854885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4.4000000000000004</v>
      </c>
      <c r="BD108" s="13">
        <f>IF('Données projet'!$A$88&gt;35,BD107+BC108-BL107,IF(A108&lt;'Données projet'!$A$88,$BA$205^A108,IF(A108='Données projet'!$A$88,'Données projet'!$B$88,BD107+BC108-BL107)))</f>
        <v>282.99999999999972</v>
      </c>
      <c r="BE108" s="14">
        <f>BD108*VLOOKUP('Données projet'!$B$11,Paramètres!$A$1:$I$89,3,0)*VLOOKUP('Données projet'!$B$11,Paramètres!$A$1:$I$89,5,0)</f>
        <v>273.71759999999972</v>
      </c>
      <c r="BF108" s="14">
        <f t="shared" si="91"/>
        <v>65.637608810456612</v>
      </c>
      <c r="BG108" s="22">
        <f t="shared" si="61"/>
        <v>591.04365534487806</v>
      </c>
      <c r="BH108" s="62">
        <f t="shared" si="62"/>
        <v>884.37698867821132</v>
      </c>
      <c r="BI108" s="62">
        <f ca="1">AVERAGE(OFFSET($BH$3,0,0,'Données projet'!$E$11+1,1))-AVERAGE(OFFSET($H$3,0,0,'Données projet'!$E$11+1,1))</f>
        <v>363.29716504383265</v>
      </c>
      <c r="BJ108" s="62">
        <f t="shared" si="92"/>
        <v>223.12394672673923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1.1368683772161603E-13</v>
      </c>
      <c r="BZ108" s="14">
        <f>BY108*VLOOKUP('Données projet'!$B$12,Paramètres!$A$1:$I$89,3,0)*VLOOKUP('Données projet'!$B$12,Paramètres!$A$1:$I$89,5,0)</f>
        <v>8.8675733422860506E-14</v>
      </c>
      <c r="CA108" s="14">
        <f t="shared" si="93"/>
        <v>1.3509285393066301E-12</v>
      </c>
      <c r="CB108" s="22">
        <f t="shared" si="64"/>
        <v>2.5073107750038623E-12</v>
      </c>
      <c r="CC108" s="62">
        <f t="shared" si="65"/>
        <v>293.33333333333582</v>
      </c>
      <c r="CD108" s="62">
        <f ca="1">AVERAGE(OFFSET($CC$3,0,0,'Données projet'!$E$12+1,1))-AVERAGE(OFFSET($H$3,0,0,'Données projet'!$E$12+1,1))</f>
        <v>249.25370091019835</v>
      </c>
      <c r="CE108" s="62">
        <f t="shared" si="94"/>
        <v>245.46410820099908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6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2">
        <f t="shared" si="86"/>
        <v>16.630133918805559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9">
        <f t="shared" si="56"/>
        <v>386.43151657525294</v>
      </c>
      <c r="I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-2.8421709430404007E-14</v>
      </c>
      <c r="O109" s="14">
        <f>N109*VLOOKUP('Données projet'!$B$9,Paramètres!$A$1:$I$89,3,0)*VLOOKUP('Données projet'!$B$9,Paramètres!$A$1:$I$89,5,0)</f>
        <v>-2.5715962692629544E-14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216.22465631364315</v>
      </c>
      <c r="T109" s="62">
        <f t="shared" si="88"/>
        <v>304.27938609150095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4.4000000000000004</v>
      </c>
      <c r="AI109" s="14">
        <f>IF('Données projet'!$A$62&gt;35,AI108+AH109-AQ108,IF(A109&lt;'Données projet'!$A$62,$AF$205^A109,IF(A109='Données projet'!$A$62,'Données projet'!$B$62,AI108+AH109-AQ108)))</f>
        <v>287.39999999999969</v>
      </c>
      <c r="AJ109" s="14">
        <f>AI109*VLOOKUP('Données projet'!$B$10,Paramètres!$A$1:$I$89,3,0)*VLOOKUP('Données projet'!$B$10,Paramètres!$A$1:$I$89,5,0)</f>
        <v>260.0395199999997</v>
      </c>
      <c r="AK109" s="14">
        <f t="shared" si="89"/>
        <v>62.730801948604821</v>
      </c>
      <c r="AL109" s="22">
        <f t="shared" si="58"/>
        <v>562.15831072715287</v>
      </c>
      <c r="AM109" s="62">
        <f t="shared" si="59"/>
        <v>855.49164406048612</v>
      </c>
      <c r="AN109" s="62">
        <f ca="1">AVERAGE(OFFSET($AM$3,0,0,'Données projet'!$E$10+1,1))-AVERAGE(OFFSET($H$3,0,0,'Données projet'!$E$10+1,1))</f>
        <v>336.63786714776501</v>
      </c>
      <c r="AO109" s="62">
        <f t="shared" si="90"/>
        <v>208.9883766854885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4.4000000000000004</v>
      </c>
      <c r="BD109" s="13">
        <f>IF('Données projet'!$A$88&gt;35,BD108+BC109-BL108,IF(A109&lt;'Données projet'!$A$88,$BA$205^A109,IF(A109='Données projet'!$A$88,'Données projet'!$B$88,BD108+BC109-BL108)))</f>
        <v>287.39999999999969</v>
      </c>
      <c r="BE109" s="14">
        <f>BD109*VLOOKUP('Données projet'!$B$11,Paramètres!$A$1:$I$89,3,0)*VLOOKUP('Données projet'!$B$11,Paramètres!$A$1:$I$89,5,0)</f>
        <v>277.9732799999997</v>
      </c>
      <c r="BF109" s="14">
        <f t="shared" si="91"/>
        <v>66.538523764973135</v>
      </c>
      <c r="BG109" s="22">
        <f t="shared" si="61"/>
        <v>600.0247248906611</v>
      </c>
      <c r="BH109" s="62">
        <f t="shared" si="62"/>
        <v>893.35805822399448</v>
      </c>
      <c r="BI109" s="62">
        <f ca="1">AVERAGE(OFFSET($BH$3,0,0,'Données projet'!$E$11+1,1))-AVERAGE(OFFSET($H$3,0,0,'Données projet'!$E$11+1,1))</f>
        <v>363.29716504383265</v>
      </c>
      <c r="BJ109" s="62">
        <f t="shared" si="92"/>
        <v>223.12394672673923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1.1368683772161603E-13</v>
      </c>
      <c r="BZ109" s="14">
        <f>BY109*VLOOKUP('Données projet'!$B$12,Paramètres!$A$1:$I$89,3,0)*VLOOKUP('Données projet'!$B$12,Paramètres!$A$1:$I$89,5,0)</f>
        <v>8.8675733422860506E-14</v>
      </c>
      <c r="CA109" s="14">
        <f t="shared" si="93"/>
        <v>1.3509285393066301E-12</v>
      </c>
      <c r="CB109" s="22">
        <f t="shared" si="64"/>
        <v>2.5073107750038623E-12</v>
      </c>
      <c r="CC109" s="62">
        <f t="shared" si="65"/>
        <v>293.33333333333582</v>
      </c>
      <c r="CD109" s="62">
        <f ca="1">AVERAGE(OFFSET($CC$3,0,0,'Données projet'!$E$12+1,1))-AVERAGE(OFFSET($H$3,0,0,'Données projet'!$E$12+1,1))</f>
        <v>249.25370091019835</v>
      </c>
      <c r="CE109" s="62">
        <f t="shared" si="94"/>
        <v>245.46410820099908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6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2">
        <f t="shared" si="86"/>
        <v>16.768684357151628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9">
        <f t="shared" si="56"/>
        <v>387.62377525537238</v>
      </c>
      <c r="I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-2.8421709430404007E-14</v>
      </c>
      <c r="O110" s="14">
        <f>N110*VLOOKUP('Données projet'!$B$9,Paramètres!$A$1:$I$89,3,0)*VLOOKUP('Données projet'!$B$9,Paramètres!$A$1:$I$89,5,0)</f>
        <v>-2.5715962692629544E-14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216.22465631364315</v>
      </c>
      <c r="T110" s="62">
        <f t="shared" si="88"/>
        <v>304.27938609150095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4.4000000000000004</v>
      </c>
      <c r="AI110" s="14">
        <f>IF('Données projet'!$A$62&gt;35,AI109+AH110-AQ109,IF(A110&lt;'Données projet'!$A$62,$AF$205^A110,IF(A110='Données projet'!$A$62,'Données projet'!$B$62,AI109+AH110-AQ109)))</f>
        <v>291.79999999999967</v>
      </c>
      <c r="AJ110" s="14">
        <f>AI110*VLOOKUP('Données projet'!$B$10,Paramètres!$A$1:$I$89,3,0)*VLOOKUP('Données projet'!$B$10,Paramètres!$A$1:$I$89,5,0)</f>
        <v>264.02063999999967</v>
      </c>
      <c r="AK110" s="14">
        <f t="shared" si="89"/>
        <v>63.57864899095906</v>
      </c>
      <c r="AL110" s="22">
        <f t="shared" si="58"/>
        <v>570.56876165925303</v>
      </c>
      <c r="AM110" s="62">
        <f t="shared" si="59"/>
        <v>863.9020949925864</v>
      </c>
      <c r="AN110" s="62">
        <f ca="1">AVERAGE(OFFSET($AM$3,0,0,'Données projet'!$E$10+1,1))-AVERAGE(OFFSET($H$3,0,0,'Données projet'!$E$10+1,1))</f>
        <v>336.63786714776501</v>
      </c>
      <c r="AO110" s="62">
        <f t="shared" si="90"/>
        <v>208.9883766854885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4.4000000000000004</v>
      </c>
      <c r="BD110" s="13">
        <f>IF('Données projet'!$A$88&gt;35,BD109+BC110-BL109,IF(A110&lt;'Données projet'!$A$88,$BA$205^A110,IF(A110='Données projet'!$A$88,'Données projet'!$B$88,BD109+BC110-BL109)))</f>
        <v>291.79999999999967</v>
      </c>
      <c r="BE110" s="14">
        <f>BD110*VLOOKUP('Données projet'!$B$11,Paramètres!$A$1:$I$89,3,0)*VLOOKUP('Données projet'!$B$11,Paramètres!$A$1:$I$89,5,0)</f>
        <v>282.22895999999969</v>
      </c>
      <c r="BF110" s="14">
        <f t="shared" si="91"/>
        <v>67.437834611070301</v>
      </c>
      <c r="BG110" s="22">
        <f t="shared" si="61"/>
        <v>609.00300061428027</v>
      </c>
      <c r="BH110" s="62">
        <f t="shared" si="62"/>
        <v>902.33633394761364</v>
      </c>
      <c r="BI110" s="62">
        <f ca="1">AVERAGE(OFFSET($BH$3,0,0,'Données projet'!$E$11+1,1))-AVERAGE(OFFSET($H$3,0,0,'Données projet'!$E$11+1,1))</f>
        <v>363.29716504383265</v>
      </c>
      <c r="BJ110" s="62">
        <f t="shared" si="92"/>
        <v>223.12394672673923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1.1368683772161603E-13</v>
      </c>
      <c r="BZ110" s="14">
        <f>BY110*VLOOKUP('Données projet'!$B$12,Paramètres!$A$1:$I$89,3,0)*VLOOKUP('Données projet'!$B$12,Paramètres!$A$1:$I$89,5,0)</f>
        <v>8.8675733422860506E-14</v>
      </c>
      <c r="CA110" s="14">
        <f t="shared" si="93"/>
        <v>1.3509285393066301E-12</v>
      </c>
      <c r="CB110" s="22">
        <f t="shared" si="64"/>
        <v>2.5073107750038623E-12</v>
      </c>
      <c r="CC110" s="62">
        <f t="shared" si="65"/>
        <v>293.33333333333582</v>
      </c>
      <c r="CD110" s="62">
        <f ca="1">AVERAGE(OFFSET($CC$3,0,0,'Données projet'!$E$12+1,1))-AVERAGE(OFFSET($H$3,0,0,'Données projet'!$E$12+1,1))</f>
        <v>249.25370091019835</v>
      </c>
      <c r="CE110" s="62">
        <f t="shared" si="94"/>
        <v>245.46410820099908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6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2">
        <f t="shared" si="86"/>
        <v>16.907084152971102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9">
        <f t="shared" si="56"/>
        <v>388.81577156642459</v>
      </c>
      <c r="I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-2.8421709430404007E-14</v>
      </c>
      <c r="O111" s="14">
        <f>N111*VLOOKUP('Données projet'!$B$9,Paramètres!$A$1:$I$89,3,0)*VLOOKUP('Données projet'!$B$9,Paramètres!$A$1:$I$89,5,0)</f>
        <v>-2.5715962692629544E-14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216.22465631364315</v>
      </c>
      <c r="T111" s="62">
        <f t="shared" si="88"/>
        <v>304.27938609150095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4.4000000000000004</v>
      </c>
      <c r="AI111" s="14">
        <f>IF('Données projet'!$A$62&gt;35,AI110+AH111-AQ110,IF(A111&lt;'Données projet'!$A$62,$AF$205^A111,IF(A111='Données projet'!$A$62,'Données projet'!$B$62,AI110+AH111-AQ110)))</f>
        <v>296.19999999999965</v>
      </c>
      <c r="AJ111" s="14">
        <f>AI111*VLOOKUP('Données projet'!$B$10,Paramètres!$A$1:$I$89,3,0)*VLOOKUP('Données projet'!$B$10,Paramètres!$A$1:$I$89,5,0)</f>
        <v>268.00175999999971</v>
      </c>
      <c r="AK111" s="14">
        <f t="shared" si="89"/>
        <v>64.425009159185521</v>
      </c>
      <c r="AL111" s="22">
        <f t="shared" si="58"/>
        <v>578.97662295224757</v>
      </c>
      <c r="AM111" s="62">
        <f t="shared" si="59"/>
        <v>872.30995628558094</v>
      </c>
      <c r="AN111" s="62">
        <f ca="1">AVERAGE(OFFSET($AM$3,0,0,'Données projet'!$E$10+1,1))-AVERAGE(OFFSET($H$3,0,0,'Données projet'!$E$10+1,1))</f>
        <v>336.63786714776501</v>
      </c>
      <c r="AO111" s="62">
        <f t="shared" si="90"/>
        <v>208.9883766854885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4.4000000000000004</v>
      </c>
      <c r="BD111" s="13">
        <f>IF('Données projet'!$A$88&gt;35,BD110+BC111-BL110,IF(A111&lt;'Données projet'!$A$88,$BA$205^A111,IF(A111='Données projet'!$A$88,'Données projet'!$B$88,BD110+BC111-BL110)))</f>
        <v>296.19999999999965</v>
      </c>
      <c r="BE111" s="14">
        <f>BD111*VLOOKUP('Données projet'!$B$11,Paramètres!$A$1:$I$89,3,0)*VLOOKUP('Données projet'!$B$11,Paramètres!$A$1:$I$89,5,0)</f>
        <v>286.48463999999967</v>
      </c>
      <c r="BF111" s="14">
        <f t="shared" si="91"/>
        <v>68.335568330677432</v>
      </c>
      <c r="BG111" s="22">
        <f t="shared" si="61"/>
        <v>617.97852950926267</v>
      </c>
      <c r="BH111" s="62">
        <f t="shared" si="62"/>
        <v>911.31186284259593</v>
      </c>
      <c r="BI111" s="62">
        <f ca="1">AVERAGE(OFFSET($BH$3,0,0,'Données projet'!$E$11+1,1))-AVERAGE(OFFSET($H$3,0,0,'Données projet'!$E$11+1,1))</f>
        <v>363.29716504383265</v>
      </c>
      <c r="BJ111" s="62">
        <f t="shared" si="92"/>
        <v>223.12394672673923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1.1368683772161603E-13</v>
      </c>
      <c r="BZ111" s="14">
        <f>BY111*VLOOKUP('Données projet'!$B$12,Paramètres!$A$1:$I$89,3,0)*VLOOKUP('Données projet'!$B$12,Paramètres!$A$1:$I$89,5,0)</f>
        <v>8.8675733422860506E-14</v>
      </c>
      <c r="CA111" s="14">
        <f t="shared" si="93"/>
        <v>1.3509285393066301E-12</v>
      </c>
      <c r="CB111" s="22">
        <f t="shared" si="64"/>
        <v>2.5073107750038623E-12</v>
      </c>
      <c r="CC111" s="62">
        <f t="shared" si="65"/>
        <v>293.33333333333582</v>
      </c>
      <c r="CD111" s="62">
        <f ca="1">AVERAGE(OFFSET($CC$3,0,0,'Données projet'!$E$12+1,1))-AVERAGE(OFFSET($H$3,0,0,'Données projet'!$E$12+1,1))</f>
        <v>249.25370091019835</v>
      </c>
      <c r="CE111" s="62">
        <f t="shared" si="94"/>
        <v>245.46410820099908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6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2">
        <f t="shared" si="86"/>
        <v>17.045334862667175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9">
        <f t="shared" si="56"/>
        <v>390.00750821914528</v>
      </c>
      <c r="I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-2.8421709430404007E-14</v>
      </c>
      <c r="O112" s="14">
        <f>N112*VLOOKUP('Données projet'!$B$9,Paramètres!$A$1:$I$89,3,0)*VLOOKUP('Données projet'!$B$9,Paramètres!$A$1:$I$89,5,0)</f>
        <v>-2.5715962692629544E-14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216.22465631364315</v>
      </c>
      <c r="T112" s="62">
        <f t="shared" si="88"/>
        <v>304.27938609150095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4.4000000000000004</v>
      </c>
      <c r="AI112" s="14">
        <f>IF('Données projet'!$A$62&gt;35,AI111+AH112-AQ111,IF(A112&lt;'Données projet'!$A$62,$AF$205^A112,IF(A112='Données projet'!$A$62,'Données projet'!$B$62,AI111+AH112-AQ111)))</f>
        <v>300.59999999999962</v>
      </c>
      <c r="AJ112" s="14">
        <f>AI112*VLOOKUP('Données projet'!$B$10,Paramètres!$A$1:$I$89,3,0)*VLOOKUP('Données projet'!$B$10,Paramètres!$A$1:$I$89,5,0)</f>
        <v>271.98287999999962</v>
      </c>
      <c r="AK112" s="14">
        <f t="shared" si="89"/>
        <v>65.269907092018684</v>
      </c>
      <c r="AL112" s="22">
        <f t="shared" si="58"/>
        <v>587.38193751859842</v>
      </c>
      <c r="AM112" s="62">
        <f t="shared" si="59"/>
        <v>880.71527085193179</v>
      </c>
      <c r="AN112" s="62">
        <f ca="1">AVERAGE(OFFSET($AM$3,0,0,'Données projet'!$E$10+1,1))-AVERAGE(OFFSET($H$3,0,0,'Données projet'!$E$10+1,1))</f>
        <v>336.63786714776501</v>
      </c>
      <c r="AO112" s="62">
        <f t="shared" si="90"/>
        <v>208.9883766854885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4.4000000000000004</v>
      </c>
      <c r="BD112" s="13">
        <f>IF('Données projet'!$A$88&gt;35,BD111+BC112-BL111,IF(A112&lt;'Données projet'!$A$88,$BA$205^A112,IF(A112='Données projet'!$A$88,'Données projet'!$B$88,BD111+BC112-BL111)))</f>
        <v>300.59999999999962</v>
      </c>
      <c r="BE112" s="14">
        <f>BD112*VLOOKUP('Données projet'!$B$11,Paramètres!$A$1:$I$89,3,0)*VLOOKUP('Données projet'!$B$11,Paramètres!$A$1:$I$89,5,0)</f>
        <v>290.74031999999966</v>
      </c>
      <c r="BF112" s="14">
        <f t="shared" si="91"/>
        <v>69.231751058085507</v>
      </c>
      <c r="BG112" s="22">
        <f t="shared" si="61"/>
        <v>626.95135709283159</v>
      </c>
      <c r="BH112" s="62">
        <f t="shared" si="62"/>
        <v>920.28469042616484</v>
      </c>
      <c r="BI112" s="62">
        <f ca="1">AVERAGE(OFFSET($BH$3,0,0,'Données projet'!$E$11+1,1))-AVERAGE(OFFSET($H$3,0,0,'Données projet'!$E$11+1,1))</f>
        <v>363.29716504383265</v>
      </c>
      <c r="BJ112" s="62">
        <f t="shared" si="92"/>
        <v>223.12394672673923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1.1368683772161603E-13</v>
      </c>
      <c r="BZ112" s="14">
        <f>BY112*VLOOKUP('Données projet'!$B$12,Paramètres!$A$1:$I$89,3,0)*VLOOKUP('Données projet'!$B$12,Paramètres!$A$1:$I$89,5,0)</f>
        <v>8.8675733422860506E-14</v>
      </c>
      <c r="CA112" s="14">
        <f t="shared" si="93"/>
        <v>1.3509285393066301E-12</v>
      </c>
      <c r="CB112" s="22">
        <f t="shared" si="64"/>
        <v>2.5073107750038623E-12</v>
      </c>
      <c r="CC112" s="62">
        <f t="shared" si="65"/>
        <v>293.33333333333582</v>
      </c>
      <c r="CD112" s="62">
        <f ca="1">AVERAGE(OFFSET($CC$3,0,0,'Données projet'!$E$12+1,1))-AVERAGE(OFFSET($H$3,0,0,'Données projet'!$E$12+1,1))</f>
        <v>249.25370091019835</v>
      </c>
      <c r="CE112" s="62">
        <f t="shared" si="94"/>
        <v>245.46410820099908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6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2">
        <f t="shared" si="86"/>
        <v>17.183438012437954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9">
        <f t="shared" si="56"/>
        <v>391.19898787166267</v>
      </c>
      <c r="I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-2.8421709430404007E-14</v>
      </c>
      <c r="O113" s="14">
        <f>N113*VLOOKUP('Données projet'!$B$9,Paramètres!$A$1:$I$89,3,0)*VLOOKUP('Données projet'!$B$9,Paramètres!$A$1:$I$89,5,0)</f>
        <v>-2.5715962692629544E-14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216.22465631364315</v>
      </c>
      <c r="T113" s="62">
        <f t="shared" si="88"/>
        <v>304.27938609150095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305</v>
      </c>
      <c r="AG113" s="13">
        <f>VLOOKUP(A113,'Données projet'!$A$61:$I$81,9,0)</f>
        <v>4.4000000000000004</v>
      </c>
      <c r="AH113" s="13">
        <f t="array" ref="AH113">INDEX(AG:AG,MIN(IF(ISNUMBER(AG113:AG309),ROW(AG113:AG309),"")))</f>
        <v>4.4000000000000004</v>
      </c>
      <c r="AI113" s="14">
        <f>IF('Données projet'!$A$62&gt;35,AI112+AH113-AQ112,IF(A113&lt;'Données projet'!$A$62,$AF$205^A113,IF(A113='Données projet'!$A$62,'Données projet'!$B$62,AI112+AH113-AQ112)))</f>
        <v>304.9999999999996</v>
      </c>
      <c r="AJ113" s="14">
        <f>AI113*VLOOKUP('Données projet'!$B$10,Paramètres!$A$1:$I$89,3,0)*VLOOKUP('Données projet'!$B$10,Paramètres!$A$1:$I$89,5,0)</f>
        <v>275.9639999999996</v>
      </c>
      <c r="AK113" s="14">
        <f t="shared" si="89"/>
        <v>66.113366665488797</v>
      </c>
      <c r="AL113" s="22">
        <f t="shared" si="58"/>
        <v>595.7847469423923</v>
      </c>
      <c r="AM113" s="62">
        <f t="shared" si="59"/>
        <v>889.11808027572556</v>
      </c>
      <c r="AN113" s="62">
        <f ca="1">AVERAGE(OFFSET($AM$3,0,0,'Données projet'!$E$10+1,1))-AVERAGE(OFFSET($H$3,0,0,'Données projet'!$E$10+1,1))</f>
        <v>336.63786714776501</v>
      </c>
      <c r="AO113" s="62">
        <f t="shared" si="90"/>
        <v>208.9883766854885</v>
      </c>
      <c r="AP113" s="16">
        <f>IF(ISNA(VLOOKUP(A113,'Données projet'!$A$61:$I$81,3,0)),0,VLOOKUP(A113,'Données projet'!$A$61:$I$81,3,0))</f>
        <v>9</v>
      </c>
      <c r="AQ113" s="16">
        <f>IF(ISNA(VLOOKUP(A113,'Données projet'!$A$61:$I$81,4,0)),0,VLOOKUP(A113,'Données projet'!$A$61:$I$81,4,0))</f>
        <v>39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305</v>
      </c>
      <c r="BB113" s="13">
        <f>VLOOKUP(A113,'Données projet'!$A$87:$I$107,9,0)</f>
        <v>4.4000000000000004</v>
      </c>
      <c r="BC113" s="13">
        <f t="array" ref="BC113">INDEX(BB:BB,MIN(IF(ISNUMBER(BB113:BB309),ROW(BB113:BB309),"")))</f>
        <v>4.4000000000000004</v>
      </c>
      <c r="BD113" s="13">
        <f>IF('Données projet'!$A$88&gt;35,BD112+BC113-BL112,IF(A113&lt;'Données projet'!$A$88,$BA$205^A113,IF(A113='Données projet'!$A$88,'Données projet'!$B$88,BD112+BC113-BL112)))</f>
        <v>304.9999999999996</v>
      </c>
      <c r="BE113" s="14">
        <f>BD113*VLOOKUP('Données projet'!$B$11,Paramètres!$A$1:$I$89,3,0)*VLOOKUP('Données projet'!$B$11,Paramètres!$A$1:$I$89,5,0)</f>
        <v>294.99599999999958</v>
      </c>
      <c r="BF113" s="14">
        <f t="shared" si="91"/>
        <v>70.126408118585317</v>
      </c>
      <c r="BG113" s="22">
        <f t="shared" si="61"/>
        <v>635.92152747320199</v>
      </c>
      <c r="BH113" s="62">
        <f t="shared" si="62"/>
        <v>929.25486080653536</v>
      </c>
      <c r="BI113" s="62">
        <f ca="1">AVERAGE(OFFSET($BH$3,0,0,'Données projet'!$E$11+1,1))-AVERAGE(OFFSET($H$3,0,0,'Données projet'!$E$11+1,1))</f>
        <v>363.29716504383265</v>
      </c>
      <c r="BJ113" s="62">
        <f t="shared" si="92"/>
        <v>223.12394672673923</v>
      </c>
      <c r="BK113" s="16">
        <f>IF(ISNA(VLOOKUP(A113,'Données projet'!$A$87:$I$107,3,0)),0,VLOOKUP(A113,'Données projet'!$A$87:$I$107,3,0))</f>
        <v>9</v>
      </c>
      <c r="BL113" s="16">
        <f>IF(ISNA(VLOOKUP(A113,'Données projet'!$A$87:$I$107,4,0)),0,VLOOKUP(A113,'Données projet'!$A$87:$I$107,4,0))</f>
        <v>39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1.1368683772161603E-13</v>
      </c>
      <c r="BZ113" s="14">
        <f>BY113*VLOOKUP('Données projet'!$B$12,Paramètres!$A$1:$I$89,3,0)*VLOOKUP('Données projet'!$B$12,Paramètres!$A$1:$I$89,5,0)</f>
        <v>8.8675733422860506E-14</v>
      </c>
      <c r="CA113" s="14">
        <f t="shared" si="93"/>
        <v>1.3509285393066301E-12</v>
      </c>
      <c r="CB113" s="22">
        <f t="shared" si="64"/>
        <v>2.5073107750038623E-12</v>
      </c>
      <c r="CC113" s="62">
        <f t="shared" si="65"/>
        <v>293.33333333333582</v>
      </c>
      <c r="CD113" s="62">
        <f ca="1">AVERAGE(OFFSET($CC$3,0,0,'Données projet'!$E$12+1,1))-AVERAGE(OFFSET($H$3,0,0,'Données projet'!$E$12+1,1))</f>
        <v>249.25370091019835</v>
      </c>
      <c r="CE113" s="62">
        <f t="shared" si="94"/>
        <v>245.46410820099908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6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2">
        <f t="shared" si="86"/>
        <v>17.32139509913188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9">
        <f t="shared" si="56"/>
        <v>392.39021313098795</v>
      </c>
      <c r="I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-2.8421709430404007E-14</v>
      </c>
      <c r="O114" s="14">
        <f>N114*VLOOKUP('Données projet'!$B$9,Paramètres!$A$1:$I$89,3,0)*VLOOKUP('Données projet'!$B$9,Paramètres!$A$1:$I$89,5,0)</f>
        <v>-2.5715962692629544E-14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216.22465631364315</v>
      </c>
      <c r="T114" s="62">
        <f t="shared" si="88"/>
        <v>304.27938609150095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3.7</v>
      </c>
      <c r="AI114" s="14">
        <f>IF('Données projet'!$A$62&gt;35,AI113+AH114-AQ113,IF(A114&lt;'Données projet'!$A$62,$AF$205^A114,IF(A114='Données projet'!$A$62,'Données projet'!$B$62,AI113+AH114-AQ113)))</f>
        <v>269.69999999999959</v>
      </c>
      <c r="AJ114" s="14">
        <f>AI114*VLOOKUP('Données projet'!$B$10,Paramètres!$A$1:$I$89,3,0)*VLOOKUP('Données projet'!$B$10,Paramètres!$A$1:$I$89,5,0)</f>
        <v>244.02455999999964</v>
      </c>
      <c r="AK114" s="14">
        <f t="shared" si="89"/>
        <v>59.304594314969229</v>
      </c>
      <c r="AL114" s="22">
        <f t="shared" si="58"/>
        <v>528.29827709857079</v>
      </c>
      <c r="AM114" s="62">
        <f t="shared" si="59"/>
        <v>821.63161043190416</v>
      </c>
      <c r="AN114" s="62">
        <f ca="1">AVERAGE(OFFSET($AM$3,0,0,'Données projet'!$E$10+1,1))-AVERAGE(OFFSET($H$3,0,0,'Données projet'!$E$10+1,1))</f>
        <v>336.63786714776501</v>
      </c>
      <c r="AO114" s="62">
        <f t="shared" si="90"/>
        <v>208.9883766854885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3.7</v>
      </c>
      <c r="BD114" s="13">
        <f>IF('Données projet'!$A$88&gt;35,BD113+BC114-BL113,IF(A114&lt;'Données projet'!$A$88,$BA$205^A114,IF(A114='Données projet'!$A$88,'Données projet'!$B$88,BD113+BC114-BL113)))</f>
        <v>269.69999999999959</v>
      </c>
      <c r="BE114" s="14">
        <f>BD114*VLOOKUP('Données projet'!$B$11,Paramètres!$A$1:$I$89,3,0)*VLOOKUP('Données projet'!$B$11,Paramètres!$A$1:$I$89,5,0)</f>
        <v>260.85383999999959</v>
      </c>
      <c r="BF114" s="14">
        <f t="shared" si="91"/>
        <v>62.904347395903649</v>
      </c>
      <c r="BG114" s="22">
        <f t="shared" si="61"/>
        <v>563.87884304786473</v>
      </c>
      <c r="BH114" s="62">
        <f t="shared" si="62"/>
        <v>857.21217638119811</v>
      </c>
      <c r="BI114" s="62">
        <f ca="1">AVERAGE(OFFSET($BH$3,0,0,'Données projet'!$E$11+1,1))-AVERAGE(OFFSET($H$3,0,0,'Données projet'!$E$11+1,1))</f>
        <v>363.29716504383265</v>
      </c>
      <c r="BJ114" s="62">
        <f t="shared" si="92"/>
        <v>223.12394672673923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1.1368683772161603E-13</v>
      </c>
      <c r="BZ114" s="14">
        <f>BY114*VLOOKUP('Données projet'!$B$12,Paramètres!$A$1:$I$89,3,0)*VLOOKUP('Données projet'!$B$12,Paramètres!$A$1:$I$89,5,0)</f>
        <v>8.8675733422860506E-14</v>
      </c>
      <c r="CA114" s="14">
        <f t="shared" si="93"/>
        <v>1.3509285393066301E-12</v>
      </c>
      <c r="CB114" s="22">
        <f t="shared" si="64"/>
        <v>2.5073107750038623E-12</v>
      </c>
      <c r="CC114" s="62">
        <f t="shared" si="65"/>
        <v>293.33333333333582</v>
      </c>
      <c r="CD114" s="62">
        <f ca="1">AVERAGE(OFFSET($CC$3,0,0,'Données projet'!$E$12+1,1))-AVERAGE(OFFSET($H$3,0,0,'Données projet'!$E$12+1,1))</f>
        <v>249.25370091019835</v>
      </c>
      <c r="CE114" s="62">
        <f t="shared" si="94"/>
        <v>245.46410820099908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6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2">
        <f t="shared" si="86"/>
        <v>17.459207591071241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9">
        <f t="shared" si="56"/>
        <v>393.581186554449</v>
      </c>
      <c r="I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-2.8421709430404007E-14</v>
      </c>
      <c r="O115" s="14">
        <f>N115*VLOOKUP('Données projet'!$B$9,Paramètres!$A$1:$I$89,3,0)*VLOOKUP('Données projet'!$B$9,Paramètres!$A$1:$I$89,5,0)</f>
        <v>-2.5715962692629544E-14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216.22465631364315</v>
      </c>
      <c r="T115" s="62">
        <f t="shared" si="88"/>
        <v>304.27938609150095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3.7</v>
      </c>
      <c r="AI115" s="14">
        <f>IF('Données projet'!$A$62&gt;35,AI114+AH115-AQ114,IF(A115&lt;'Données projet'!$A$62,$AF$205^A115,IF(A115='Données projet'!$A$62,'Données projet'!$B$62,AI114+AH115-AQ114)))</f>
        <v>273.39999999999958</v>
      </c>
      <c r="AJ115" s="14">
        <f>AI115*VLOOKUP('Données projet'!$B$10,Paramètres!$A$1:$I$89,3,0)*VLOOKUP('Données projet'!$B$10,Paramètres!$A$1:$I$89,5,0)</f>
        <v>247.3723199999996</v>
      </c>
      <c r="AK115" s="14">
        <f t="shared" si="89"/>
        <v>60.022917171130942</v>
      </c>
      <c r="AL115" s="22">
        <f t="shared" si="58"/>
        <v>535.38003807305233</v>
      </c>
      <c r="AM115" s="62">
        <f t="shared" si="59"/>
        <v>828.7133714063857</v>
      </c>
      <c r="AN115" s="62">
        <f ca="1">AVERAGE(OFFSET($AM$3,0,0,'Données projet'!$E$10+1,1))-AVERAGE(OFFSET($H$3,0,0,'Données projet'!$E$10+1,1))</f>
        <v>336.63786714776501</v>
      </c>
      <c r="AO115" s="62">
        <f t="shared" si="90"/>
        <v>208.9883766854885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3.7</v>
      </c>
      <c r="BD115" s="13">
        <f>IF('Données projet'!$A$88&gt;35,BD114+BC115-BL114,IF(A115&lt;'Données projet'!$A$88,$BA$205^A115,IF(A115='Données projet'!$A$88,'Données projet'!$B$88,BD114+BC115-BL114)))</f>
        <v>273.39999999999958</v>
      </c>
      <c r="BE115" s="14">
        <f>BD115*VLOOKUP('Données projet'!$B$11,Paramètres!$A$1:$I$89,3,0)*VLOOKUP('Données projet'!$B$11,Paramètres!$A$1:$I$89,5,0)</f>
        <v>264.4324799999996</v>
      </c>
      <c r="BF115" s="14">
        <f t="shared" si="91"/>
        <v>63.666272015882292</v>
      </c>
      <c r="BG115" s="22">
        <f t="shared" si="61"/>
        <v>571.43865976099426</v>
      </c>
      <c r="BH115" s="62">
        <f t="shared" si="62"/>
        <v>864.77199309432763</v>
      </c>
      <c r="BI115" s="62">
        <f ca="1">AVERAGE(OFFSET($BH$3,0,0,'Données projet'!$E$11+1,1))-AVERAGE(OFFSET($H$3,0,0,'Données projet'!$E$11+1,1))</f>
        <v>363.29716504383265</v>
      </c>
      <c r="BJ115" s="62">
        <f t="shared" si="92"/>
        <v>223.12394672673923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1.1368683772161603E-13</v>
      </c>
      <c r="BZ115" s="14">
        <f>BY115*VLOOKUP('Données projet'!$B$12,Paramètres!$A$1:$I$89,3,0)*VLOOKUP('Données projet'!$B$12,Paramètres!$A$1:$I$89,5,0)</f>
        <v>8.8675733422860506E-14</v>
      </c>
      <c r="CA115" s="14">
        <f t="shared" si="93"/>
        <v>1.3509285393066301E-12</v>
      </c>
      <c r="CB115" s="22">
        <f t="shared" si="64"/>
        <v>2.5073107750038623E-12</v>
      </c>
      <c r="CC115" s="62">
        <f t="shared" si="65"/>
        <v>293.33333333333582</v>
      </c>
      <c r="CD115" s="62">
        <f ca="1">AVERAGE(OFFSET($CC$3,0,0,'Données projet'!$E$12+1,1))-AVERAGE(OFFSET($H$3,0,0,'Données projet'!$E$12+1,1))</f>
        <v>249.25370091019835</v>
      </c>
      <c r="CE115" s="62">
        <f t="shared" si="94"/>
        <v>245.46410820099908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6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2">
        <f t="shared" si="86"/>
        <v>17.596876928845635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9">
        <f t="shared" si="56"/>
        <v>394.77191065107274</v>
      </c>
      <c r="I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-2.8421709430404007E-14</v>
      </c>
      <c r="O116" s="14">
        <f>N116*VLOOKUP('Données projet'!$B$9,Paramètres!$A$1:$I$89,3,0)*VLOOKUP('Données projet'!$B$9,Paramètres!$A$1:$I$89,5,0)</f>
        <v>-2.5715962692629544E-14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216.22465631364315</v>
      </c>
      <c r="T116" s="62">
        <f t="shared" si="88"/>
        <v>304.27938609150095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3.7</v>
      </c>
      <c r="AI116" s="14">
        <f>IF('Données projet'!$A$62&gt;35,AI115+AH116-AQ115,IF(A116&lt;'Données projet'!$A$62,$AF$205^A116,IF(A116='Données projet'!$A$62,'Données projet'!$B$62,AI115+AH116-AQ115)))</f>
        <v>277.09999999999957</v>
      </c>
      <c r="AJ116" s="14">
        <f>AI116*VLOOKUP('Données projet'!$B$10,Paramètres!$A$1:$I$89,3,0)*VLOOKUP('Données projet'!$B$10,Paramètres!$A$1:$I$89,5,0)</f>
        <v>250.7200799999996</v>
      </c>
      <c r="AK116" s="14">
        <f t="shared" si="89"/>
        <v>60.740109326032709</v>
      </c>
      <c r="AL116" s="22">
        <f t="shared" si="58"/>
        <v>542.45982974283959</v>
      </c>
      <c r="AM116" s="62">
        <f t="shared" si="59"/>
        <v>835.79316307617296</v>
      </c>
      <c r="AN116" s="62">
        <f ca="1">AVERAGE(OFFSET($AM$3,0,0,'Données projet'!$E$10+1,1))-AVERAGE(OFFSET($H$3,0,0,'Données projet'!$E$10+1,1))</f>
        <v>336.63786714776501</v>
      </c>
      <c r="AO116" s="62">
        <f t="shared" si="90"/>
        <v>208.9883766854885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3.7</v>
      </c>
      <c r="BD116" s="13">
        <f>IF('Données projet'!$A$88&gt;35,BD115+BC116-BL115,IF(A116&lt;'Données projet'!$A$88,$BA$205^A116,IF(A116='Données projet'!$A$88,'Données projet'!$B$88,BD115+BC116-BL115)))</f>
        <v>277.09999999999957</v>
      </c>
      <c r="BE116" s="14">
        <f>BD116*VLOOKUP('Données projet'!$B$11,Paramètres!$A$1:$I$89,3,0)*VLOOKUP('Données projet'!$B$11,Paramètres!$A$1:$I$89,5,0)</f>
        <v>268.01111999999961</v>
      </c>
      <c r="BF116" s="14">
        <f t="shared" si="91"/>
        <v>64.426997301716796</v>
      </c>
      <c r="BG116" s="22">
        <f t="shared" si="61"/>
        <v>578.99638763382268</v>
      </c>
      <c r="BH116" s="62">
        <f t="shared" si="62"/>
        <v>872.32972096715594</v>
      </c>
      <c r="BI116" s="62">
        <f ca="1">AVERAGE(OFFSET($BH$3,0,0,'Données projet'!$E$11+1,1))-AVERAGE(OFFSET($H$3,0,0,'Données projet'!$E$11+1,1))</f>
        <v>363.29716504383265</v>
      </c>
      <c r="BJ116" s="62">
        <f t="shared" si="92"/>
        <v>223.12394672673923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1.1368683772161603E-13</v>
      </c>
      <c r="BZ116" s="14">
        <f>BY116*VLOOKUP('Données projet'!$B$12,Paramètres!$A$1:$I$89,3,0)*VLOOKUP('Données projet'!$B$12,Paramètres!$A$1:$I$89,5,0)</f>
        <v>8.8675733422860506E-14</v>
      </c>
      <c r="CA116" s="14">
        <f t="shared" si="93"/>
        <v>1.3509285393066301E-12</v>
      </c>
      <c r="CB116" s="22">
        <f t="shared" si="64"/>
        <v>2.5073107750038623E-12</v>
      </c>
      <c r="CC116" s="62">
        <f t="shared" si="65"/>
        <v>293.33333333333582</v>
      </c>
      <c r="CD116" s="62">
        <f ca="1">AVERAGE(OFFSET($CC$3,0,0,'Données projet'!$E$12+1,1))-AVERAGE(OFFSET($H$3,0,0,'Données projet'!$E$12+1,1))</f>
        <v>249.25370091019835</v>
      </c>
      <c r="CE116" s="62">
        <f t="shared" si="94"/>
        <v>245.46410820099908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6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2">
        <f t="shared" si="86"/>
        <v>17.734404526076418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9">
        <f t="shared" si="56"/>
        <v>395.96238788291635</v>
      </c>
      <c r="I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-2.8421709430404007E-14</v>
      </c>
      <c r="O117" s="14">
        <f>N117*VLOOKUP('Données projet'!$B$9,Paramètres!$A$1:$I$89,3,0)*VLOOKUP('Données projet'!$B$9,Paramètres!$A$1:$I$89,5,0)</f>
        <v>-2.5715962692629544E-14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216.22465631364315</v>
      </c>
      <c r="T117" s="62">
        <f t="shared" si="88"/>
        <v>304.27938609150095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3.7</v>
      </c>
      <c r="AI117" s="14">
        <f>IF('Données projet'!$A$62&gt;35,AI116+AH117-AQ116,IF(A117&lt;'Données projet'!$A$62,$AF$205^A117,IF(A117='Données projet'!$A$62,'Données projet'!$B$62,AI116+AH117-AQ116)))</f>
        <v>280.79999999999956</v>
      </c>
      <c r="AJ117" s="14">
        <f>AI117*VLOOKUP('Données projet'!$B$10,Paramètres!$A$1:$I$89,3,0)*VLOOKUP('Données projet'!$B$10,Paramètres!$A$1:$I$89,5,0)</f>
        <v>254.06783999999956</v>
      </c>
      <c r="AK117" s="14">
        <f t="shared" si="89"/>
        <v>61.456187622750669</v>
      </c>
      <c r="AL117" s="22">
        <f t="shared" si="58"/>
        <v>549.53768144295657</v>
      </c>
      <c r="AM117" s="62">
        <f t="shared" si="59"/>
        <v>842.87101477628994</v>
      </c>
      <c r="AN117" s="62">
        <f ca="1">AVERAGE(OFFSET($AM$3,0,0,'Données projet'!$E$10+1,1))-AVERAGE(OFFSET($H$3,0,0,'Données projet'!$E$10+1,1))</f>
        <v>336.63786714776501</v>
      </c>
      <c r="AO117" s="62">
        <f t="shared" si="90"/>
        <v>208.9883766854885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3.7</v>
      </c>
      <c r="BD117" s="13">
        <f>IF('Données projet'!$A$88&gt;35,BD116+BC117-BL116,IF(A117&lt;'Données projet'!$A$88,$BA$205^A117,IF(A117='Données projet'!$A$88,'Données projet'!$B$88,BD116+BC117-BL116)))</f>
        <v>280.79999999999956</v>
      </c>
      <c r="BE117" s="14">
        <f>BD117*VLOOKUP('Données projet'!$B$11,Paramètres!$A$1:$I$89,3,0)*VLOOKUP('Données projet'!$B$11,Paramètres!$A$1:$I$89,5,0)</f>
        <v>271.58975999999956</v>
      </c>
      <c r="BF117" s="14">
        <f t="shared" si="91"/>
        <v>65.186541118848012</v>
      </c>
      <c r="BG117" s="22">
        <f t="shared" si="61"/>
        <v>586.55205778199286</v>
      </c>
      <c r="BH117" s="62">
        <f t="shared" si="62"/>
        <v>879.88539111532623</v>
      </c>
      <c r="BI117" s="62">
        <f ca="1">AVERAGE(OFFSET($BH$3,0,0,'Données projet'!$E$11+1,1))-AVERAGE(OFFSET($H$3,0,0,'Données projet'!$E$11+1,1))</f>
        <v>363.29716504383265</v>
      </c>
      <c r="BJ117" s="62">
        <f t="shared" si="92"/>
        <v>223.12394672673923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1.1368683772161603E-13</v>
      </c>
      <c r="BZ117" s="14">
        <f>BY117*VLOOKUP('Données projet'!$B$12,Paramètres!$A$1:$I$89,3,0)*VLOOKUP('Données projet'!$B$12,Paramètres!$A$1:$I$89,5,0)</f>
        <v>8.8675733422860506E-14</v>
      </c>
      <c r="CA117" s="14">
        <f t="shared" si="93"/>
        <v>1.3509285393066301E-12</v>
      </c>
      <c r="CB117" s="22">
        <f t="shared" si="64"/>
        <v>2.5073107750038623E-12</v>
      </c>
      <c r="CC117" s="62">
        <f t="shared" si="65"/>
        <v>293.33333333333582</v>
      </c>
      <c r="CD117" s="62">
        <f ca="1">AVERAGE(OFFSET($CC$3,0,0,'Données projet'!$E$12+1,1))-AVERAGE(OFFSET($H$3,0,0,'Données projet'!$E$12+1,1))</f>
        <v>249.25370091019835</v>
      </c>
      <c r="CE117" s="62">
        <f t="shared" si="94"/>
        <v>245.46410820099908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6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2">
        <f t="shared" si="86"/>
        <v>17.871791770153557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9">
        <f t="shared" si="56"/>
        <v>397.15262066635069</v>
      </c>
      <c r="I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-2.8421709430404007E-14</v>
      </c>
      <c r="O118" s="14">
        <f>N118*VLOOKUP('Données projet'!$B$9,Paramètres!$A$1:$I$89,3,0)*VLOOKUP('Données projet'!$B$9,Paramètres!$A$1:$I$89,5,0)</f>
        <v>-2.5715962692629544E-14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216.22465631364315</v>
      </c>
      <c r="T118" s="62">
        <f t="shared" si="88"/>
        <v>304.27938609150095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3.7</v>
      </c>
      <c r="AI118" s="14">
        <f>IF('Données projet'!$A$62&gt;35,AI117+AH118-AQ117,IF(A118&lt;'Données projet'!$A$62,$AF$205^A118,IF(A118='Données projet'!$A$62,'Données projet'!$B$62,AI117+AH118-AQ117)))</f>
        <v>284.49999999999955</v>
      </c>
      <c r="AJ118" s="14">
        <f>AI118*VLOOKUP('Données projet'!$B$10,Paramètres!$A$1:$I$89,3,0)*VLOOKUP('Données projet'!$B$10,Paramètres!$A$1:$I$89,5,0)</f>
        <v>257.41559999999959</v>
      </c>
      <c r="AK118" s="14">
        <f t="shared" si="89"/>
        <v>62.171168434977062</v>
      </c>
      <c r="AL118" s="22">
        <f t="shared" si="58"/>
        <v>556.61362169091774</v>
      </c>
      <c r="AM118" s="62">
        <f t="shared" si="59"/>
        <v>849.94695502425111</v>
      </c>
      <c r="AN118" s="62">
        <f ca="1">AVERAGE(OFFSET($AM$3,0,0,'Données projet'!$E$10+1,1))-AVERAGE(OFFSET($H$3,0,0,'Données projet'!$E$10+1,1))</f>
        <v>336.63786714776501</v>
      </c>
      <c r="AO118" s="62">
        <f t="shared" si="90"/>
        <v>208.9883766854885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3.7</v>
      </c>
      <c r="BD118" s="13">
        <f>IF('Données projet'!$A$88&gt;35,BD117+BC118-BL117,IF(A118&lt;'Données projet'!$A$88,$BA$205^A118,IF(A118='Données projet'!$A$88,'Données projet'!$B$88,BD117+BC118-BL117)))</f>
        <v>284.49999999999955</v>
      </c>
      <c r="BE118" s="14">
        <f>BD118*VLOOKUP('Données projet'!$B$11,Paramètres!$A$1:$I$89,3,0)*VLOOKUP('Données projet'!$B$11,Paramètres!$A$1:$I$89,5,0)</f>
        <v>275.16839999999956</v>
      </c>
      <c r="BF118" s="14">
        <f t="shared" si="91"/>
        <v>65.944920834841554</v>
      </c>
      <c r="BG118" s="22">
        <f t="shared" si="61"/>
        <v>594.10570045401494</v>
      </c>
      <c r="BH118" s="62">
        <f t="shared" si="62"/>
        <v>887.43903378734831</v>
      </c>
      <c r="BI118" s="62">
        <f ca="1">AVERAGE(OFFSET($BH$3,0,0,'Données projet'!$E$11+1,1))-AVERAGE(OFFSET($H$3,0,0,'Données projet'!$E$11+1,1))</f>
        <v>363.29716504383265</v>
      </c>
      <c r="BJ118" s="62">
        <f t="shared" si="92"/>
        <v>223.12394672673923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1.1368683772161603E-13</v>
      </c>
      <c r="BZ118" s="14">
        <f>BY118*VLOOKUP('Données projet'!$B$12,Paramètres!$A$1:$I$89,3,0)*VLOOKUP('Données projet'!$B$12,Paramètres!$A$1:$I$89,5,0)</f>
        <v>8.8675733422860506E-14</v>
      </c>
      <c r="CA118" s="14">
        <f t="shared" si="93"/>
        <v>1.3509285393066301E-12</v>
      </c>
      <c r="CB118" s="22">
        <f t="shared" si="64"/>
        <v>2.5073107750038623E-12</v>
      </c>
      <c r="CC118" s="62">
        <f t="shared" si="65"/>
        <v>293.33333333333582</v>
      </c>
      <c r="CD118" s="62">
        <f ca="1">AVERAGE(OFFSET($CC$3,0,0,'Données projet'!$E$12+1,1))-AVERAGE(OFFSET($H$3,0,0,'Données projet'!$E$12+1,1))</f>
        <v>249.25370091019835</v>
      </c>
      <c r="CE118" s="62">
        <f t="shared" si="94"/>
        <v>245.46410820099908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6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2">
        <f t="shared" si="86"/>
        <v>18.009040022946209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9">
        <f t="shared" si="56"/>
        <v>398.34261137329793</v>
      </c>
      <c r="I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-2.8421709430404007E-14</v>
      </c>
      <c r="O119" s="14">
        <f>N119*VLOOKUP('Données projet'!$B$9,Paramètres!$A$1:$I$89,3,0)*VLOOKUP('Données projet'!$B$9,Paramètres!$A$1:$I$89,5,0)</f>
        <v>-2.5715962692629544E-14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216.22465631364315</v>
      </c>
      <c r="T119" s="62">
        <f t="shared" si="88"/>
        <v>304.27938609150095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3.7</v>
      </c>
      <c r="AI119" s="14">
        <f>IF('Données projet'!$A$62&gt;35,AI118+AH119-AQ118,IF(A119&lt;'Données projet'!$A$62,$AF$205^A119,IF(A119='Données projet'!$A$62,'Données projet'!$B$62,AI118+AH119-AQ118)))</f>
        <v>288.19999999999953</v>
      </c>
      <c r="AJ119" s="14">
        <f>AI119*VLOOKUP('Données projet'!$B$10,Paramètres!$A$1:$I$89,3,0)*VLOOKUP('Données projet'!$B$10,Paramètres!$A$1:$I$89,5,0)</f>
        <v>260.76335999999958</v>
      </c>
      <c r="AK119" s="14">
        <f t="shared" si="89"/>
        <v>62.885067686031896</v>
      </c>
      <c r="AL119" s="22">
        <f t="shared" si="58"/>
        <v>563.68767821983818</v>
      </c>
      <c r="AM119" s="62">
        <f t="shared" si="59"/>
        <v>857.02101155317155</v>
      </c>
      <c r="AN119" s="62">
        <f ca="1">AVERAGE(OFFSET($AM$3,0,0,'Données projet'!$E$10+1,1))-AVERAGE(OFFSET($H$3,0,0,'Données projet'!$E$10+1,1))</f>
        <v>336.63786714776501</v>
      </c>
      <c r="AO119" s="62">
        <f t="shared" si="90"/>
        <v>208.9883766854885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3.7</v>
      </c>
      <c r="BD119" s="13">
        <f>IF('Données projet'!$A$88&gt;35,BD118+BC119-BL118,IF(A119&lt;'Données projet'!$A$88,$BA$205^A119,IF(A119='Données projet'!$A$88,'Données projet'!$B$88,BD118+BC119-BL118)))</f>
        <v>288.19999999999953</v>
      </c>
      <c r="BE119" s="14">
        <f>BD119*VLOOKUP('Données projet'!$B$11,Paramètres!$A$1:$I$89,3,0)*VLOOKUP('Données projet'!$B$11,Paramètres!$A$1:$I$89,5,0)</f>
        <v>278.74703999999957</v>
      </c>
      <c r="BF119" s="14">
        <f t="shared" si="91"/>
        <v>66.702153339553135</v>
      </c>
      <c r="BG119" s="22">
        <f t="shared" si="61"/>
        <v>601.65734506638762</v>
      </c>
      <c r="BH119" s="62">
        <f t="shared" si="62"/>
        <v>894.99067839972099</v>
      </c>
      <c r="BI119" s="62">
        <f ca="1">AVERAGE(OFFSET($BH$3,0,0,'Données projet'!$E$11+1,1))-AVERAGE(OFFSET($H$3,0,0,'Données projet'!$E$11+1,1))</f>
        <v>363.29716504383265</v>
      </c>
      <c r="BJ119" s="62">
        <f t="shared" si="92"/>
        <v>223.12394672673923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1.1368683772161603E-13</v>
      </c>
      <c r="BZ119" s="14">
        <f>BY119*VLOOKUP('Données projet'!$B$12,Paramètres!$A$1:$I$89,3,0)*VLOOKUP('Données projet'!$B$12,Paramètres!$A$1:$I$89,5,0)</f>
        <v>8.8675733422860506E-14</v>
      </c>
      <c r="CA119" s="14">
        <f t="shared" si="93"/>
        <v>1.3509285393066301E-12</v>
      </c>
      <c r="CB119" s="22">
        <f t="shared" si="64"/>
        <v>2.5073107750038623E-12</v>
      </c>
      <c r="CC119" s="62">
        <f t="shared" si="65"/>
        <v>293.33333333333582</v>
      </c>
      <c r="CD119" s="62">
        <f ca="1">AVERAGE(OFFSET($CC$3,0,0,'Données projet'!$E$12+1,1))-AVERAGE(OFFSET($H$3,0,0,'Données projet'!$E$12+1,1))</f>
        <v>249.25370091019835</v>
      </c>
      <c r="CE119" s="62">
        <f t="shared" si="94"/>
        <v>245.46410820099908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6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2">
        <f t="shared" si="86"/>
        <v>18.146150621487966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9">
        <f t="shared" si="56"/>
        <v>399.53236233242478</v>
      </c>
      <c r="I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-2.8421709430404007E-14</v>
      </c>
      <c r="O120" s="14">
        <f>N120*VLOOKUP('Données projet'!$B$9,Paramètres!$A$1:$I$89,3,0)*VLOOKUP('Données projet'!$B$9,Paramètres!$A$1:$I$89,5,0)</f>
        <v>-2.5715962692629544E-14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216.22465631364315</v>
      </c>
      <c r="T120" s="62">
        <f t="shared" si="88"/>
        <v>304.27938609150095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3.7</v>
      </c>
      <c r="AI120" s="14">
        <f>IF('Données projet'!$A$62&gt;35,AI119+AH120-AQ119,IF(A120&lt;'Données projet'!$A$62,$AF$205^A120,IF(A120='Données projet'!$A$62,'Données projet'!$B$62,AI119+AH120-AQ119)))</f>
        <v>291.89999999999952</v>
      </c>
      <c r="AJ120" s="14">
        <f>AI120*VLOOKUP('Données projet'!$B$10,Paramètres!$A$1:$I$89,3,0)*VLOOKUP('Données projet'!$B$10,Paramètres!$A$1:$I$89,5,0)</f>
        <v>264.11111999999957</v>
      </c>
      <c r="AK120" s="14">
        <f t="shared" si="89"/>
        <v>63.597900866870546</v>
      </c>
      <c r="AL120" s="22">
        <f t="shared" si="58"/>
        <v>570.75987800979885</v>
      </c>
      <c r="AM120" s="62">
        <f t="shared" si="59"/>
        <v>864.09321134313223</v>
      </c>
      <c r="AN120" s="62">
        <f ca="1">AVERAGE(OFFSET($AM$3,0,0,'Données projet'!$E$10+1,1))-AVERAGE(OFFSET($H$3,0,0,'Données projet'!$E$10+1,1))</f>
        <v>336.63786714776501</v>
      </c>
      <c r="AO120" s="62">
        <f t="shared" si="90"/>
        <v>208.9883766854885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3.7</v>
      </c>
      <c r="BD120" s="13">
        <f>IF('Données projet'!$A$88&gt;35,BD119+BC120-BL119,IF(A120&lt;'Données projet'!$A$88,$BA$205^A120,IF(A120='Données projet'!$A$88,'Données projet'!$B$88,BD119+BC120-BL119)))</f>
        <v>291.89999999999952</v>
      </c>
      <c r="BE120" s="14">
        <f>BD120*VLOOKUP('Données projet'!$B$11,Paramètres!$A$1:$I$89,3,0)*VLOOKUP('Données projet'!$B$11,Paramètres!$A$1:$I$89,5,0)</f>
        <v>282.32567999999952</v>
      </c>
      <c r="BF120" s="14">
        <f t="shared" si="91"/>
        <v>67.458255064229917</v>
      </c>
      <c r="BG120" s="22">
        <f t="shared" si="61"/>
        <v>609.20702023686624</v>
      </c>
      <c r="BH120" s="62">
        <f t="shared" si="62"/>
        <v>902.54035357019961</v>
      </c>
      <c r="BI120" s="62">
        <f ca="1">AVERAGE(OFFSET($BH$3,0,0,'Données projet'!$E$11+1,1))-AVERAGE(OFFSET($H$3,0,0,'Données projet'!$E$11+1,1))</f>
        <v>363.29716504383265</v>
      </c>
      <c r="BJ120" s="62">
        <f t="shared" si="92"/>
        <v>223.12394672673923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1.1368683772161603E-13</v>
      </c>
      <c r="BZ120" s="14">
        <f>BY120*VLOOKUP('Données projet'!$B$12,Paramètres!$A$1:$I$89,3,0)*VLOOKUP('Données projet'!$B$12,Paramètres!$A$1:$I$89,5,0)</f>
        <v>8.8675733422860506E-14</v>
      </c>
      <c r="CA120" s="14">
        <f t="shared" si="93"/>
        <v>1.3509285393066301E-12</v>
      </c>
      <c r="CB120" s="22">
        <f t="shared" si="64"/>
        <v>2.5073107750038623E-12</v>
      </c>
      <c r="CC120" s="62">
        <f t="shared" si="65"/>
        <v>293.33333333333582</v>
      </c>
      <c r="CD120" s="62">
        <f ca="1">AVERAGE(OFFSET($CC$3,0,0,'Données projet'!$E$12+1,1))-AVERAGE(OFFSET($H$3,0,0,'Données projet'!$E$12+1,1))</f>
        <v>249.25370091019835</v>
      </c>
      <c r="CE120" s="62">
        <f t="shared" si="94"/>
        <v>245.46410820099908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6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2">
        <f t="shared" si="86"/>
        <v>18.283124878638194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9">
        <f t="shared" si="56"/>
        <v>400.72187583029472</v>
      </c>
      <c r="I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-2.8421709430404007E-14</v>
      </c>
      <c r="O121" s="14">
        <f>N121*VLOOKUP('Données projet'!$B$9,Paramètres!$A$1:$I$89,3,0)*VLOOKUP('Données projet'!$B$9,Paramètres!$A$1:$I$89,5,0)</f>
        <v>-2.5715962692629544E-14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216.22465631364315</v>
      </c>
      <c r="T121" s="62">
        <f t="shared" si="88"/>
        <v>304.27938609150095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3.7</v>
      </c>
      <c r="AI121" s="14">
        <f>IF('Données projet'!$A$62&gt;35,AI120+AH121-AQ120,IF(A121&lt;'Données projet'!$A$62,$AF$205^A121,IF(A121='Données projet'!$A$62,'Données projet'!$B$62,AI120+AH121-AQ120)))</f>
        <v>295.59999999999951</v>
      </c>
      <c r="AJ121" s="14">
        <f>AI121*VLOOKUP('Données projet'!$B$10,Paramètres!$A$1:$I$89,3,0)*VLOOKUP('Données projet'!$B$10,Paramètres!$A$1:$I$89,5,0)</f>
        <v>267.45887999999951</v>
      </c>
      <c r="AK121" s="14">
        <f t="shared" si="89"/>
        <v>64.309683053152327</v>
      </c>
      <c r="AL121" s="22">
        <f t="shared" si="58"/>
        <v>577.8302473175728</v>
      </c>
      <c r="AM121" s="62">
        <f t="shared" si="59"/>
        <v>871.16358065090617</v>
      </c>
      <c r="AN121" s="62">
        <f ca="1">AVERAGE(OFFSET($AM$3,0,0,'Données projet'!$E$10+1,1))-AVERAGE(OFFSET($H$3,0,0,'Données projet'!$E$10+1,1))</f>
        <v>336.63786714776501</v>
      </c>
      <c r="AO121" s="62">
        <f t="shared" si="90"/>
        <v>208.9883766854885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3.7</v>
      </c>
      <c r="BD121" s="13">
        <f>IF('Données projet'!$A$88&gt;35,BD120+BC121-BL120,IF(A121&lt;'Données projet'!$A$88,$BA$205^A121,IF(A121='Données projet'!$A$88,'Données projet'!$B$88,BD120+BC121-BL120)))</f>
        <v>295.59999999999951</v>
      </c>
      <c r="BE121" s="14">
        <f>BD121*VLOOKUP('Données projet'!$B$11,Paramètres!$A$1:$I$89,3,0)*VLOOKUP('Données projet'!$B$11,Paramètres!$A$1:$I$89,5,0)</f>
        <v>285.90431999999953</v>
      </c>
      <c r="BF121" s="14">
        <f t="shared" si="91"/>
        <v>68.213241999614453</v>
      </c>
      <c r="BG121" s="22">
        <f t="shared" si="61"/>
        <v>616.75475381599438</v>
      </c>
      <c r="BH121" s="62">
        <f t="shared" si="62"/>
        <v>910.08808714932775</v>
      </c>
      <c r="BI121" s="62">
        <f ca="1">AVERAGE(OFFSET($BH$3,0,0,'Données projet'!$E$11+1,1))-AVERAGE(OFFSET($H$3,0,0,'Données projet'!$E$11+1,1))</f>
        <v>363.29716504383265</v>
      </c>
      <c r="BJ121" s="62">
        <f t="shared" si="92"/>
        <v>223.12394672673923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1.1368683772161603E-13</v>
      </c>
      <c r="BZ121" s="14">
        <f>BY121*VLOOKUP('Données projet'!$B$12,Paramètres!$A$1:$I$89,3,0)*VLOOKUP('Données projet'!$B$12,Paramètres!$A$1:$I$89,5,0)</f>
        <v>8.8675733422860506E-14</v>
      </c>
      <c r="CA121" s="14">
        <f t="shared" si="93"/>
        <v>1.3509285393066301E-12</v>
      </c>
      <c r="CB121" s="22">
        <f t="shared" si="64"/>
        <v>2.5073107750038623E-12</v>
      </c>
      <c r="CC121" s="62">
        <f t="shared" si="65"/>
        <v>293.33333333333582</v>
      </c>
      <c r="CD121" s="62">
        <f ca="1">AVERAGE(OFFSET($CC$3,0,0,'Données projet'!$E$12+1,1))-AVERAGE(OFFSET($H$3,0,0,'Données projet'!$E$12+1,1))</f>
        <v>249.25370091019835</v>
      </c>
      <c r="CE121" s="62">
        <f t="shared" si="94"/>
        <v>245.46410820099908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6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2">
        <f t="shared" si="86"/>
        <v>18.41996408372005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9">
        <f t="shared" si="56"/>
        <v>401.91115411247904</v>
      </c>
      <c r="I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-2.8421709430404007E-14</v>
      </c>
      <c r="O122" s="14">
        <f>N122*VLOOKUP('Données projet'!$B$9,Paramètres!$A$1:$I$89,3,0)*VLOOKUP('Données projet'!$B$9,Paramètres!$A$1:$I$89,5,0)</f>
        <v>-2.5715962692629544E-14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216.22465631364315</v>
      </c>
      <c r="T122" s="62">
        <f t="shared" si="88"/>
        <v>304.27938609150095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3.7</v>
      </c>
      <c r="AI122" s="14">
        <f>IF('Données projet'!$A$62&gt;35,AI121+AH122-AQ121,IF(A122&lt;'Données projet'!$A$62,$AF$205^A122,IF(A122='Données projet'!$A$62,'Données projet'!$B$62,AI121+AH122-AQ121)))</f>
        <v>299.2999999999995</v>
      </c>
      <c r="AJ122" s="14">
        <f>AI122*VLOOKUP('Données projet'!$B$10,Paramètres!$A$1:$I$89,3,0)*VLOOKUP('Données projet'!$B$10,Paramètres!$A$1:$I$89,5,0)</f>
        <v>270.80663999999956</v>
      </c>
      <c r="AK122" s="14">
        <f t="shared" si="89"/>
        <v>65.020428921429911</v>
      </c>
      <c r="AL122" s="22">
        <f t="shared" si="58"/>
        <v>584.89881170482306</v>
      </c>
      <c r="AM122" s="62">
        <f t="shared" si="59"/>
        <v>878.23214503815643</v>
      </c>
      <c r="AN122" s="62">
        <f ca="1">AVERAGE(OFFSET($AM$3,0,0,'Données projet'!$E$10+1,1))-AVERAGE(OFFSET($H$3,0,0,'Données projet'!$E$10+1,1))</f>
        <v>336.63786714776501</v>
      </c>
      <c r="AO122" s="62">
        <f t="shared" si="90"/>
        <v>208.9883766854885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3.7</v>
      </c>
      <c r="BD122" s="13">
        <f>IF('Données projet'!$A$88&gt;35,BD121+BC122-BL121,IF(A122&lt;'Données projet'!$A$88,$BA$205^A122,IF(A122='Données projet'!$A$88,'Données projet'!$B$88,BD121+BC122-BL121)))</f>
        <v>299.2999999999995</v>
      </c>
      <c r="BE122" s="14">
        <f>BD122*VLOOKUP('Données projet'!$B$11,Paramètres!$A$1:$I$89,3,0)*VLOOKUP('Données projet'!$B$11,Paramètres!$A$1:$I$89,5,0)</f>
        <v>289.48295999999954</v>
      </c>
      <c r="BF122" s="14">
        <f t="shared" si="91"/>
        <v>68.967129713117401</v>
      </c>
      <c r="BG122" s="22">
        <f t="shared" si="61"/>
        <v>624.300572917012</v>
      </c>
      <c r="BH122" s="62">
        <f t="shared" si="62"/>
        <v>917.63390625034526</v>
      </c>
      <c r="BI122" s="62">
        <f ca="1">AVERAGE(OFFSET($BH$3,0,0,'Données projet'!$E$11+1,1))-AVERAGE(OFFSET($H$3,0,0,'Données projet'!$E$11+1,1))</f>
        <v>363.29716504383265</v>
      </c>
      <c r="BJ122" s="62">
        <f t="shared" si="92"/>
        <v>223.12394672673923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1.1368683772161603E-13</v>
      </c>
      <c r="BZ122" s="14">
        <f>BY122*VLOOKUP('Données projet'!$B$12,Paramètres!$A$1:$I$89,3,0)*VLOOKUP('Données projet'!$B$12,Paramètres!$A$1:$I$89,5,0)</f>
        <v>8.8675733422860506E-14</v>
      </c>
      <c r="CA122" s="14">
        <f t="shared" si="93"/>
        <v>1.3509285393066301E-12</v>
      </c>
      <c r="CB122" s="22">
        <f t="shared" si="64"/>
        <v>2.5073107750038623E-12</v>
      </c>
      <c r="CC122" s="62">
        <f t="shared" si="65"/>
        <v>293.33333333333582</v>
      </c>
      <c r="CD122" s="62">
        <f ca="1">AVERAGE(OFFSET($CC$3,0,0,'Données projet'!$E$12+1,1))-AVERAGE(OFFSET($H$3,0,0,'Données projet'!$E$12+1,1))</f>
        <v>249.25370091019835</v>
      </c>
      <c r="CE122" s="62">
        <f t="shared" si="94"/>
        <v>245.46410820099908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6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2">
        <f t="shared" si="86"/>
        <v>18.556669503136707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9">
        <f t="shared" si="56"/>
        <v>403.10019938462972</v>
      </c>
      <c r="I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-2.8421709430404007E-14</v>
      </c>
      <c r="O123" s="14">
        <f>N123*VLOOKUP('Données projet'!$B$9,Paramètres!$A$1:$I$89,3,0)*VLOOKUP('Données projet'!$B$9,Paramètres!$A$1:$I$89,5,0)</f>
        <v>-2.5715962692629544E-14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216.22465631364315</v>
      </c>
      <c r="T123" s="62">
        <f t="shared" si="88"/>
        <v>304.27938609150095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303</v>
      </c>
      <c r="AG123" s="13">
        <f>VLOOKUP(A123,'Données projet'!$A$61:$I$81,9,0)</f>
        <v>3.7</v>
      </c>
      <c r="AH123" s="13">
        <f t="array" ref="AH123">INDEX(AG:AG,MIN(IF(ISNUMBER(AG123:AG319),ROW(AG123:AG319),"")))</f>
        <v>3.7</v>
      </c>
      <c r="AI123" s="14">
        <f>IF('Données projet'!$A$62&gt;35,AI122+AH123-AQ122,IF(A123&lt;'Données projet'!$A$62,$AF$205^A123,IF(A123='Données projet'!$A$62,'Données projet'!$B$62,AI122+AH123-AQ122)))</f>
        <v>302.99999999999949</v>
      </c>
      <c r="AJ123" s="14">
        <f>AI123*VLOOKUP('Données projet'!$B$10,Paramètres!$A$1:$I$89,3,0)*VLOOKUP('Données projet'!$B$10,Paramètres!$A$1:$I$89,5,0)</f>
        <v>274.15439999999955</v>
      </c>
      <c r="AK123" s="14">
        <f t="shared" si="89"/>
        <v>65.730152764515779</v>
      </c>
      <c r="AL123" s="22">
        <f t="shared" si="58"/>
        <v>591.96559606486414</v>
      </c>
      <c r="AM123" s="62">
        <f t="shared" si="59"/>
        <v>885.29892939819752</v>
      </c>
      <c r="AN123" s="62">
        <f ca="1">AVERAGE(OFFSET($AM$3,0,0,'Données projet'!$E$10+1,1))-AVERAGE(OFFSET($H$3,0,0,'Données projet'!$E$10+1,1))</f>
        <v>336.63786714776501</v>
      </c>
      <c r="AO123" s="62">
        <f t="shared" si="90"/>
        <v>208.9883766854885</v>
      </c>
      <c r="AP123" s="16">
        <f>IF(ISNA(VLOOKUP(A123,'Données projet'!$A$61:$I$81,3,0)),0,VLOOKUP(A123,'Données projet'!$A$61:$I$81,3,0))</f>
        <v>10</v>
      </c>
      <c r="AQ123" s="16">
        <f>IF(ISNA(VLOOKUP(A123,'Données projet'!$A$61:$I$81,4,0)),0,VLOOKUP(A123,'Données projet'!$A$61:$I$81,4,0))</f>
        <v>35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303</v>
      </c>
      <c r="BB123" s="13">
        <f>VLOOKUP(A123,'Données projet'!$A$87:$I$107,9,0)</f>
        <v>3.7</v>
      </c>
      <c r="BC123" s="13">
        <f t="array" ref="BC123">INDEX(BB:BB,MIN(IF(ISNUMBER(BB123:BB319),ROW(BB123:BB319),"")))</f>
        <v>3.7</v>
      </c>
      <c r="BD123" s="13">
        <f>IF('Données projet'!$A$88&gt;35,BD122+BC123-BL122,IF(A123&lt;'Données projet'!$A$88,$BA$205^A123,IF(A123='Données projet'!$A$88,'Données projet'!$B$88,BD122+BC123-BL122)))</f>
        <v>302.99999999999949</v>
      </c>
      <c r="BE123" s="14">
        <f>BD123*VLOOKUP('Données projet'!$B$11,Paramètres!$A$1:$I$89,3,0)*VLOOKUP('Données projet'!$B$11,Paramètres!$A$1:$I$89,5,0)</f>
        <v>293.06159999999949</v>
      </c>
      <c r="BF123" s="14">
        <f t="shared" si="91"/>
        <v>69.719933365116432</v>
      </c>
      <c r="BG123" s="22">
        <f t="shared" si="61"/>
        <v>631.84450394424357</v>
      </c>
      <c r="BH123" s="62">
        <f t="shared" si="62"/>
        <v>925.17783727757683</v>
      </c>
      <c r="BI123" s="62">
        <f ca="1">AVERAGE(OFFSET($BH$3,0,0,'Données projet'!$E$11+1,1))-AVERAGE(OFFSET($H$3,0,0,'Données projet'!$E$11+1,1))</f>
        <v>363.29716504383265</v>
      </c>
      <c r="BJ123" s="62">
        <f t="shared" si="92"/>
        <v>223.12394672673923</v>
      </c>
      <c r="BK123" s="16">
        <f>IF(ISNA(VLOOKUP(A123,'Données projet'!$A$87:$I$107,3,0)),0,VLOOKUP(A123,'Données projet'!$A$87:$I$107,3,0))</f>
        <v>10</v>
      </c>
      <c r="BL123" s="16">
        <f>IF(ISNA(VLOOKUP(A123,'Données projet'!$A$87:$I$107,4,0)),0,VLOOKUP(A123,'Données projet'!$A$87:$I$107,4,0))</f>
        <v>35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1.1368683772161603E-13</v>
      </c>
      <c r="BZ123" s="14">
        <f>BY123*VLOOKUP('Données projet'!$B$12,Paramètres!$A$1:$I$89,3,0)*VLOOKUP('Données projet'!$B$12,Paramètres!$A$1:$I$89,5,0)</f>
        <v>8.8675733422860506E-14</v>
      </c>
      <c r="CA123" s="14">
        <f t="shared" si="93"/>
        <v>1.3509285393066301E-12</v>
      </c>
      <c r="CB123" s="22">
        <f t="shared" si="64"/>
        <v>2.5073107750038623E-12</v>
      </c>
      <c r="CC123" s="62">
        <f t="shared" si="65"/>
        <v>293.33333333333582</v>
      </c>
      <c r="CD123" s="62">
        <f ca="1">AVERAGE(OFFSET($CC$3,0,0,'Données projet'!$E$12+1,1))-AVERAGE(OFFSET($H$3,0,0,'Données projet'!$E$12+1,1))</f>
        <v>249.25370091019835</v>
      </c>
      <c r="CE123" s="62">
        <f t="shared" si="94"/>
        <v>245.46410820099908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6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2">
        <f t="shared" si="86"/>
        <v>18.69324238096624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9">
        <f t="shared" si="56"/>
        <v>404.28901381351614</v>
      </c>
      <c r="I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-2.8421709430404007E-14</v>
      </c>
      <c r="O124" s="14">
        <f>N124*VLOOKUP('Données projet'!$B$9,Paramètres!$A$1:$I$89,3,0)*VLOOKUP('Données projet'!$B$9,Paramètres!$A$1:$I$89,5,0)</f>
        <v>-2.5715962692629544E-14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216.22465631364315</v>
      </c>
      <c r="T124" s="62">
        <f t="shared" si="88"/>
        <v>304.27938609150095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3.2</v>
      </c>
      <c r="AI124" s="14">
        <f>IF('Données projet'!$A$62&gt;35,AI123+AH124-AQ123,IF(A124&lt;'Données projet'!$A$62,$AF$205^A124,IF(A124='Données projet'!$A$62,'Données projet'!$B$62,AI123+AH124-AQ123)))</f>
        <v>271.19999999999948</v>
      </c>
      <c r="AJ124" s="14">
        <f>AI124*VLOOKUP('Données projet'!$B$10,Paramètres!$A$1:$I$89,3,0)*VLOOKUP('Données projet'!$B$10,Paramètres!$A$1:$I$89,5,0)</f>
        <v>245.3817599999995</v>
      </c>
      <c r="AK124" s="14">
        <f t="shared" si="89"/>
        <v>59.595943661626663</v>
      </c>
      <c r="AL124" s="22">
        <f t="shared" si="58"/>
        <v>531.16950054399888</v>
      </c>
      <c r="AM124" s="62">
        <f t="shared" si="59"/>
        <v>824.50283387733225</v>
      </c>
      <c r="AN124" s="62">
        <f ca="1">AVERAGE(OFFSET($AM$3,0,0,'Données projet'!$E$10+1,1))-AVERAGE(OFFSET($H$3,0,0,'Données projet'!$E$10+1,1))</f>
        <v>336.63786714776501</v>
      </c>
      <c r="AO124" s="62">
        <f t="shared" si="90"/>
        <v>208.9883766854885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3.2</v>
      </c>
      <c r="BD124" s="13">
        <f>IF('Données projet'!$A$88&gt;35,BD123+BC124-BL123,IF(A124&lt;'Données projet'!$A$88,$BA$205^A124,IF(A124='Données projet'!$A$88,'Données projet'!$B$88,BD123+BC124-BL123)))</f>
        <v>271.19999999999948</v>
      </c>
      <c r="BE124" s="14">
        <f>BD124*VLOOKUP('Données projet'!$B$11,Paramètres!$A$1:$I$89,3,0)*VLOOKUP('Données projet'!$B$11,Paramètres!$A$1:$I$89,5,0)</f>
        <v>262.30463999999949</v>
      </c>
      <c r="BF124" s="14">
        <f t="shared" si="91"/>
        <v>63.213381472055985</v>
      </c>
      <c r="BG124" s="22">
        <f t="shared" si="61"/>
        <v>566.94388739716328</v>
      </c>
      <c r="BH124" s="62">
        <f t="shared" si="62"/>
        <v>860.27722073049654</v>
      </c>
      <c r="BI124" s="62">
        <f ca="1">AVERAGE(OFFSET($BH$3,0,0,'Données projet'!$E$11+1,1))-AVERAGE(OFFSET($H$3,0,0,'Données projet'!$E$11+1,1))</f>
        <v>363.29716504383265</v>
      </c>
      <c r="BJ124" s="62">
        <f t="shared" si="92"/>
        <v>223.12394672673923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1.1368683772161603E-13</v>
      </c>
      <c r="BZ124" s="14">
        <f>BY124*VLOOKUP('Données projet'!$B$12,Paramètres!$A$1:$I$89,3,0)*VLOOKUP('Données projet'!$B$12,Paramètres!$A$1:$I$89,5,0)</f>
        <v>8.8675733422860506E-14</v>
      </c>
      <c r="CA124" s="14">
        <f t="shared" si="93"/>
        <v>1.3509285393066301E-12</v>
      </c>
      <c r="CB124" s="22">
        <f t="shared" si="64"/>
        <v>2.5073107750038623E-12</v>
      </c>
      <c r="CC124" s="62">
        <f t="shared" si="65"/>
        <v>293.33333333333582</v>
      </c>
      <c r="CD124" s="62">
        <f ca="1">AVERAGE(OFFSET($CC$3,0,0,'Données projet'!$E$12+1,1))-AVERAGE(OFFSET($H$3,0,0,'Données projet'!$E$12+1,1))</f>
        <v>249.25370091019835</v>
      </c>
      <c r="CE124" s="62">
        <f t="shared" si="94"/>
        <v>245.46410820099908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6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2">
        <f t="shared" si="86"/>
        <v>18.829683939536395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9">
        <f t="shared" si="56"/>
        <v>405.47759952802585</v>
      </c>
      <c r="I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-2.8421709430404007E-14</v>
      </c>
      <c r="O125" s="14">
        <f>N125*VLOOKUP('Données projet'!$B$9,Paramètres!$A$1:$I$89,3,0)*VLOOKUP('Données projet'!$B$9,Paramètres!$A$1:$I$89,5,0)</f>
        <v>-2.5715962692629544E-14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216.22465631364315</v>
      </c>
      <c r="T125" s="62">
        <f t="shared" si="88"/>
        <v>304.27938609150095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3.2</v>
      </c>
      <c r="AI125" s="14">
        <f>IF('Données projet'!$A$62&gt;35,AI124+AH125-AQ124,IF(A125&lt;'Données projet'!$A$62,$AF$205^A125,IF(A125='Données projet'!$A$62,'Données projet'!$B$62,AI124+AH125-AQ124)))</f>
        <v>274.39999999999947</v>
      </c>
      <c r="AJ125" s="14">
        <f>AI125*VLOOKUP('Données projet'!$B$10,Paramètres!$A$1:$I$89,3,0)*VLOOKUP('Données projet'!$B$10,Paramètres!$A$1:$I$89,5,0)</f>
        <v>248.27711999999951</v>
      </c>
      <c r="AK125" s="14">
        <f t="shared" si="89"/>
        <v>60.216863677580257</v>
      </c>
      <c r="AL125" s="22">
        <f t="shared" si="58"/>
        <v>537.29368823845141</v>
      </c>
      <c r="AM125" s="62">
        <f t="shared" si="59"/>
        <v>830.62702157178478</v>
      </c>
      <c r="AN125" s="62">
        <f ca="1">AVERAGE(OFFSET($AM$3,0,0,'Données projet'!$E$10+1,1))-AVERAGE(OFFSET($H$3,0,0,'Données projet'!$E$10+1,1))</f>
        <v>336.63786714776501</v>
      </c>
      <c r="AO125" s="62">
        <f t="shared" si="90"/>
        <v>208.9883766854885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3.2</v>
      </c>
      <c r="BD125" s="13">
        <f>IF('Données projet'!$A$88&gt;35,BD124+BC125-BL124,IF(A125&lt;'Données projet'!$A$88,$BA$205^A125,IF(A125='Données projet'!$A$88,'Données projet'!$B$88,BD124+BC125-BL124)))</f>
        <v>274.39999999999947</v>
      </c>
      <c r="BE125" s="14">
        <f>BD125*VLOOKUP('Données projet'!$B$11,Paramètres!$A$1:$I$89,3,0)*VLOOKUP('Données projet'!$B$11,Paramètres!$A$1:$I$89,5,0)</f>
        <v>265.39967999999948</v>
      </c>
      <c r="BF125" s="14">
        <f t="shared" si="91"/>
        <v>63.87199095821434</v>
      </c>
      <c r="BG125" s="22">
        <f t="shared" si="61"/>
        <v>573.48149358555565</v>
      </c>
      <c r="BH125" s="62">
        <f t="shared" si="62"/>
        <v>866.81482691888891</v>
      </c>
      <c r="BI125" s="62">
        <f ca="1">AVERAGE(OFFSET($BH$3,0,0,'Données projet'!$E$11+1,1))-AVERAGE(OFFSET($H$3,0,0,'Données projet'!$E$11+1,1))</f>
        <v>363.29716504383265</v>
      </c>
      <c r="BJ125" s="62">
        <f t="shared" si="92"/>
        <v>223.12394672673923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1.1368683772161603E-13</v>
      </c>
      <c r="BZ125" s="14">
        <f>BY125*VLOOKUP('Données projet'!$B$12,Paramètres!$A$1:$I$89,3,0)*VLOOKUP('Données projet'!$B$12,Paramètres!$A$1:$I$89,5,0)</f>
        <v>8.8675733422860506E-14</v>
      </c>
      <c r="CA125" s="14">
        <f t="shared" si="93"/>
        <v>1.3509285393066301E-12</v>
      </c>
      <c r="CB125" s="22">
        <f t="shared" si="64"/>
        <v>2.5073107750038623E-12</v>
      </c>
      <c r="CC125" s="62">
        <f t="shared" si="65"/>
        <v>293.33333333333582</v>
      </c>
      <c r="CD125" s="62">
        <f ca="1">AVERAGE(OFFSET($CC$3,0,0,'Données projet'!$E$12+1,1))-AVERAGE(OFFSET($H$3,0,0,'Données projet'!$E$12+1,1))</f>
        <v>249.25370091019835</v>
      </c>
      <c r="CE125" s="62">
        <f t="shared" si="94"/>
        <v>245.46410820099908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6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2">
        <f t="shared" si="86"/>
        <v>18.965995379979955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9">
        <f t="shared" si="56"/>
        <v>406.66595862013173</v>
      </c>
      <c r="I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-2.8421709430404007E-14</v>
      </c>
      <c r="O126" s="14">
        <f>N126*VLOOKUP('Données projet'!$B$9,Paramètres!$A$1:$I$89,3,0)*VLOOKUP('Données projet'!$B$9,Paramètres!$A$1:$I$89,5,0)</f>
        <v>-2.5715962692629544E-14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216.22465631364315</v>
      </c>
      <c r="T126" s="62">
        <f t="shared" si="88"/>
        <v>304.27938609150095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3.2</v>
      </c>
      <c r="AI126" s="14">
        <f>IF('Données projet'!$A$62&gt;35,AI125+AH126-AQ125,IF(A126&lt;'Données projet'!$A$62,$AF$205^A126,IF(A126='Données projet'!$A$62,'Données projet'!$B$62,AI125+AH126-AQ125)))</f>
        <v>277.59999999999945</v>
      </c>
      <c r="AJ126" s="14">
        <f>AI126*VLOOKUP('Données projet'!$B$10,Paramètres!$A$1:$I$89,3,0)*VLOOKUP('Données projet'!$B$10,Paramètres!$A$1:$I$89,5,0)</f>
        <v>251.1724799999995</v>
      </c>
      <c r="AK126" s="14">
        <f t="shared" si="89"/>
        <v>60.836941386956575</v>
      </c>
      <c r="AL126" s="22">
        <f t="shared" si="58"/>
        <v>543.41640891561519</v>
      </c>
      <c r="AM126" s="62">
        <f t="shared" si="59"/>
        <v>836.74974224894845</v>
      </c>
      <c r="AN126" s="62">
        <f ca="1">AVERAGE(OFFSET($AM$3,0,0,'Données projet'!$E$10+1,1))-AVERAGE(OFFSET($H$3,0,0,'Données projet'!$E$10+1,1))</f>
        <v>336.63786714776501</v>
      </c>
      <c r="AO126" s="62">
        <f t="shared" si="90"/>
        <v>208.9883766854885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3.2</v>
      </c>
      <c r="BD126" s="13">
        <f>IF('Données projet'!$A$88&gt;35,BD125+BC126-BL125,IF(A126&lt;'Données projet'!$A$88,$BA$205^A126,IF(A126='Données projet'!$A$88,'Données projet'!$B$88,BD125+BC126-BL125)))</f>
        <v>277.59999999999945</v>
      </c>
      <c r="BE126" s="14">
        <f>BD126*VLOOKUP('Données projet'!$B$11,Paramètres!$A$1:$I$89,3,0)*VLOOKUP('Données projet'!$B$11,Paramètres!$A$1:$I$89,5,0)</f>
        <v>268.49471999999946</v>
      </c>
      <c r="BF126" s="14">
        <f t="shared" si="91"/>
        <v>64.529707010294615</v>
      </c>
      <c r="BG126" s="22">
        <f t="shared" si="61"/>
        <v>580.01754370959543</v>
      </c>
      <c r="BH126" s="62">
        <f t="shared" si="62"/>
        <v>873.35087704292869</v>
      </c>
      <c r="BI126" s="62">
        <f ca="1">AVERAGE(OFFSET($BH$3,0,0,'Données projet'!$E$11+1,1))-AVERAGE(OFFSET($H$3,0,0,'Données projet'!$E$11+1,1))</f>
        <v>363.29716504383265</v>
      </c>
      <c r="BJ126" s="62">
        <f t="shared" si="92"/>
        <v>223.12394672673923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1.1368683772161603E-13</v>
      </c>
      <c r="BZ126" s="14">
        <f>BY126*VLOOKUP('Données projet'!$B$12,Paramètres!$A$1:$I$89,3,0)*VLOOKUP('Données projet'!$B$12,Paramètres!$A$1:$I$89,5,0)</f>
        <v>8.8675733422860506E-14</v>
      </c>
      <c r="CA126" s="14">
        <f t="shared" si="93"/>
        <v>1.3509285393066301E-12</v>
      </c>
      <c r="CB126" s="22">
        <f t="shared" si="64"/>
        <v>2.5073107750038623E-12</v>
      </c>
      <c r="CC126" s="62">
        <f t="shared" si="65"/>
        <v>293.33333333333582</v>
      </c>
      <c r="CD126" s="62">
        <f ca="1">AVERAGE(OFFSET($CC$3,0,0,'Données projet'!$E$12+1,1))-AVERAGE(OFFSET($H$3,0,0,'Données projet'!$E$12+1,1))</f>
        <v>249.25370091019835</v>
      </c>
      <c r="CE126" s="62">
        <f t="shared" si="94"/>
        <v>245.46410820099908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6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2">
        <f t="shared" si="86"/>
        <v>19.102177882771514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9">
        <f t="shared" si="56"/>
        <v>407.85409314582705</v>
      </c>
      <c r="I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-2.8421709430404007E-14</v>
      </c>
      <c r="O127" s="14">
        <f>N127*VLOOKUP('Données projet'!$B$9,Paramètres!$A$1:$I$89,3,0)*VLOOKUP('Données projet'!$B$9,Paramètres!$A$1:$I$89,5,0)</f>
        <v>-2.5715962692629544E-14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216.22465631364315</v>
      </c>
      <c r="T127" s="62">
        <f t="shared" si="88"/>
        <v>304.27938609150095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3.2</v>
      </c>
      <c r="AI127" s="14">
        <f>IF('Données projet'!$A$62&gt;35,AI126+AH127-AQ126,IF(A127&lt;'Données projet'!$A$62,$AF$205^A127,IF(A127='Données projet'!$A$62,'Données projet'!$B$62,AI126+AH127-AQ126)))</f>
        <v>280.79999999999944</v>
      </c>
      <c r="AJ127" s="14">
        <f>AI127*VLOOKUP('Données projet'!$B$10,Paramètres!$A$1:$I$89,3,0)*VLOOKUP('Données projet'!$B$10,Paramètres!$A$1:$I$89,5,0)</f>
        <v>254.06783999999948</v>
      </c>
      <c r="AK127" s="14">
        <f t="shared" si="89"/>
        <v>61.456187622750612</v>
      </c>
      <c r="AL127" s="22">
        <f t="shared" si="58"/>
        <v>549.53768144295634</v>
      </c>
      <c r="AM127" s="62">
        <f t="shared" si="59"/>
        <v>842.87101477628971</v>
      </c>
      <c r="AN127" s="62">
        <f ca="1">AVERAGE(OFFSET($AM$3,0,0,'Données projet'!$E$10+1,1))-AVERAGE(OFFSET($H$3,0,0,'Données projet'!$E$10+1,1))</f>
        <v>336.63786714776501</v>
      </c>
      <c r="AO127" s="62">
        <f t="shared" si="90"/>
        <v>208.9883766854885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3.2</v>
      </c>
      <c r="BD127" s="13">
        <f>IF('Données projet'!$A$88&gt;35,BD126+BC127-BL126,IF(A127&lt;'Données projet'!$A$88,$BA$205^A127,IF(A127='Données projet'!$A$88,'Données projet'!$B$88,BD126+BC127-BL126)))</f>
        <v>280.79999999999944</v>
      </c>
      <c r="BE127" s="14">
        <f>BD127*VLOOKUP('Données projet'!$B$11,Paramètres!$A$1:$I$89,3,0)*VLOOKUP('Données projet'!$B$11,Paramètres!$A$1:$I$89,5,0)</f>
        <v>271.5897599999995</v>
      </c>
      <c r="BF127" s="14">
        <f t="shared" si="91"/>
        <v>65.186541118848012</v>
      </c>
      <c r="BG127" s="22">
        <f t="shared" si="61"/>
        <v>586.55205778199274</v>
      </c>
      <c r="BH127" s="62">
        <f t="shared" si="62"/>
        <v>879.885391115326</v>
      </c>
      <c r="BI127" s="62">
        <f ca="1">AVERAGE(OFFSET($BH$3,0,0,'Données projet'!$E$11+1,1))-AVERAGE(OFFSET($H$3,0,0,'Données projet'!$E$11+1,1))</f>
        <v>363.29716504383265</v>
      </c>
      <c r="BJ127" s="62">
        <f t="shared" si="92"/>
        <v>223.12394672673923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1.1368683772161603E-13</v>
      </c>
      <c r="BZ127" s="14">
        <f>BY127*VLOOKUP('Données projet'!$B$12,Paramètres!$A$1:$I$89,3,0)*VLOOKUP('Données projet'!$B$12,Paramètres!$A$1:$I$89,5,0)</f>
        <v>8.8675733422860506E-14</v>
      </c>
      <c r="CA127" s="14">
        <f t="shared" si="93"/>
        <v>1.3509285393066301E-12</v>
      </c>
      <c r="CB127" s="22">
        <f t="shared" si="64"/>
        <v>2.5073107750038623E-12</v>
      </c>
      <c r="CC127" s="62">
        <f t="shared" si="65"/>
        <v>293.33333333333582</v>
      </c>
      <c r="CD127" s="62">
        <f ca="1">AVERAGE(OFFSET($CC$3,0,0,'Données projet'!$E$12+1,1))-AVERAGE(OFFSET($H$3,0,0,'Données projet'!$E$12+1,1))</f>
        <v>249.25370091019835</v>
      </c>
      <c r="CE127" s="62">
        <f t="shared" si="94"/>
        <v>245.46410820099908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6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2">
        <f t="shared" si="86"/>
        <v>19.238232608246435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9">
        <f t="shared" si="56"/>
        <v>409.04200512602915</v>
      </c>
      <c r="I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-2.8421709430404007E-14</v>
      </c>
      <c r="O128" s="14">
        <f>N128*VLOOKUP('Données projet'!$B$9,Paramètres!$A$1:$I$89,3,0)*VLOOKUP('Données projet'!$B$9,Paramètres!$A$1:$I$89,5,0)</f>
        <v>-2.5715962692629544E-14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216.22465631364315</v>
      </c>
      <c r="T128" s="62">
        <f t="shared" si="88"/>
        <v>304.27938609150095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3.2</v>
      </c>
      <c r="AI128" s="14">
        <f>IF('Données projet'!$A$62&gt;35,AI127+AH128-AQ127,IF(A128&lt;'Données projet'!$A$62,$AF$205^A128,IF(A128='Données projet'!$A$62,'Données projet'!$B$62,AI127+AH128-AQ127)))</f>
        <v>283.99999999999943</v>
      </c>
      <c r="AJ128" s="14">
        <f>AI128*VLOOKUP('Données projet'!$B$10,Paramètres!$A$1:$I$89,3,0)*VLOOKUP('Données projet'!$B$10,Paramètres!$A$1:$I$89,5,0)</f>
        <v>256.96319999999946</v>
      </c>
      <c r="AK128" s="14">
        <f t="shared" si="89"/>
        <v>62.07461295683791</v>
      </c>
      <c r="AL128" s="22">
        <f t="shared" si="58"/>
        <v>555.65752423315837</v>
      </c>
      <c r="AM128" s="62">
        <f t="shared" si="59"/>
        <v>848.99085756649174</v>
      </c>
      <c r="AN128" s="62">
        <f ca="1">AVERAGE(OFFSET($AM$3,0,0,'Données projet'!$E$10+1,1))-AVERAGE(OFFSET($H$3,0,0,'Données projet'!$E$10+1,1))</f>
        <v>336.63786714776501</v>
      </c>
      <c r="AO128" s="62">
        <f t="shared" si="90"/>
        <v>208.9883766854885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3.2</v>
      </c>
      <c r="BD128" s="13">
        <f>IF('Données projet'!$A$88&gt;35,BD127+BC128-BL127,IF(A128&lt;'Données projet'!$A$88,$BA$205^A128,IF(A128='Données projet'!$A$88,'Données projet'!$B$88,BD127+BC128-BL127)))</f>
        <v>283.99999999999943</v>
      </c>
      <c r="BE128" s="14">
        <f>BD128*VLOOKUP('Données projet'!$B$11,Paramètres!$A$1:$I$89,3,0)*VLOOKUP('Données projet'!$B$11,Paramètres!$A$1:$I$89,5,0)</f>
        <v>274.68479999999943</v>
      </c>
      <c r="BF128" s="14">
        <f t="shared" si="91"/>
        <v>65.842504497456545</v>
      </c>
      <c r="BG128" s="22">
        <f t="shared" si="61"/>
        <v>593.08505533306914</v>
      </c>
      <c r="BH128" s="62">
        <f t="shared" si="62"/>
        <v>886.41838866640251</v>
      </c>
      <c r="BI128" s="62">
        <f ca="1">AVERAGE(OFFSET($BH$3,0,0,'Données projet'!$E$11+1,1))-AVERAGE(OFFSET($H$3,0,0,'Données projet'!$E$11+1,1))</f>
        <v>363.29716504383265</v>
      </c>
      <c r="BJ128" s="62">
        <f t="shared" si="92"/>
        <v>223.12394672673923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1.1368683772161603E-13</v>
      </c>
      <c r="BZ128" s="14">
        <f>BY128*VLOOKUP('Données projet'!$B$12,Paramètres!$A$1:$I$89,3,0)*VLOOKUP('Données projet'!$B$12,Paramètres!$A$1:$I$89,5,0)</f>
        <v>8.8675733422860506E-14</v>
      </c>
      <c r="CA128" s="14">
        <f t="shared" si="93"/>
        <v>1.3509285393066301E-12</v>
      </c>
      <c r="CB128" s="22">
        <f t="shared" si="64"/>
        <v>2.5073107750038623E-12</v>
      </c>
      <c r="CC128" s="62">
        <f t="shared" si="65"/>
        <v>293.33333333333582</v>
      </c>
      <c r="CD128" s="62">
        <f ca="1">AVERAGE(OFFSET($CC$3,0,0,'Données projet'!$E$12+1,1))-AVERAGE(OFFSET($H$3,0,0,'Données projet'!$E$12+1,1))</f>
        <v>249.25370091019835</v>
      </c>
      <c r="CE128" s="62">
        <f t="shared" si="94"/>
        <v>245.46410820099908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6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2">
        <f t="shared" si="86"/>
        <v>19.374160697102734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9">
        <f t="shared" si="56"/>
        <v>410.22969654745395</v>
      </c>
      <c r="I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-2.8421709430404007E-14</v>
      </c>
      <c r="O129" s="14">
        <f>N129*VLOOKUP('Données projet'!$B$9,Paramètres!$A$1:$I$89,3,0)*VLOOKUP('Données projet'!$B$9,Paramètres!$A$1:$I$89,5,0)</f>
        <v>-2.5715962692629544E-14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216.22465631364315</v>
      </c>
      <c r="T129" s="62">
        <f t="shared" si="88"/>
        <v>304.27938609150095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3.2</v>
      </c>
      <c r="AI129" s="14">
        <f>IF('Données projet'!$A$62&gt;35,AI128+AH129-AQ128,IF(A129&lt;'Données projet'!$A$62,$AF$205^A129,IF(A129='Données projet'!$A$62,'Données projet'!$B$62,AI128+AH129-AQ128)))</f>
        <v>287.19999999999942</v>
      </c>
      <c r="AJ129" s="14">
        <f>AI129*VLOOKUP('Données projet'!$B$10,Paramètres!$A$1:$I$89,3,0)*VLOOKUP('Données projet'!$B$10,Paramètres!$A$1:$I$89,5,0)</f>
        <v>259.85855999999944</v>
      </c>
      <c r="AK129" s="14">
        <f t="shared" si="89"/>
        <v>62.692227709138365</v>
      </c>
      <c r="AL129" s="22">
        <f t="shared" si="58"/>
        <v>561.77595526008167</v>
      </c>
      <c r="AM129" s="62">
        <f t="shared" si="59"/>
        <v>855.10928859341493</v>
      </c>
      <c r="AN129" s="62">
        <f ca="1">AVERAGE(OFFSET($AM$3,0,0,'Données projet'!$E$10+1,1))-AVERAGE(OFFSET($H$3,0,0,'Données projet'!$E$10+1,1))</f>
        <v>336.63786714776501</v>
      </c>
      <c r="AO129" s="62">
        <f t="shared" si="90"/>
        <v>208.9883766854885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3.2</v>
      </c>
      <c r="BD129" s="13">
        <f>IF('Données projet'!$A$88&gt;35,BD128+BC129-BL128,IF(A129&lt;'Données projet'!$A$88,$BA$205^A129,IF(A129='Données projet'!$A$88,'Données projet'!$B$88,BD128+BC129-BL128)))</f>
        <v>287.19999999999942</v>
      </c>
      <c r="BE129" s="14">
        <f>BD129*VLOOKUP('Données projet'!$B$11,Paramètres!$A$1:$I$89,3,0)*VLOOKUP('Données projet'!$B$11,Paramètres!$A$1:$I$89,5,0)</f>
        <v>277.77983999999947</v>
      </c>
      <c r="BF129" s="14">
        <f t="shared" si="91"/>
        <v>66.497608092453063</v>
      </c>
      <c r="BG129" s="22">
        <f t="shared" si="61"/>
        <v>599.61655542768813</v>
      </c>
      <c r="BH129" s="62">
        <f t="shared" si="62"/>
        <v>892.94988876102138</v>
      </c>
      <c r="BI129" s="62">
        <f ca="1">AVERAGE(OFFSET($BH$3,0,0,'Données projet'!$E$11+1,1))-AVERAGE(OFFSET($H$3,0,0,'Données projet'!$E$11+1,1))</f>
        <v>363.29716504383265</v>
      </c>
      <c r="BJ129" s="62">
        <f t="shared" si="92"/>
        <v>223.12394672673923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1.1368683772161603E-13</v>
      </c>
      <c r="BZ129" s="14">
        <f>BY129*VLOOKUP('Données projet'!$B$12,Paramètres!$A$1:$I$89,3,0)*VLOOKUP('Données projet'!$B$12,Paramètres!$A$1:$I$89,5,0)</f>
        <v>8.8675733422860506E-14</v>
      </c>
      <c r="CA129" s="14">
        <f t="shared" si="93"/>
        <v>1.3509285393066301E-12</v>
      </c>
      <c r="CB129" s="22">
        <f t="shared" si="64"/>
        <v>2.5073107750038623E-12</v>
      </c>
      <c r="CC129" s="62">
        <f t="shared" si="65"/>
        <v>293.33333333333582</v>
      </c>
      <c r="CD129" s="62">
        <f ca="1">AVERAGE(OFFSET($CC$3,0,0,'Données projet'!$E$12+1,1))-AVERAGE(OFFSET($H$3,0,0,'Données projet'!$E$12+1,1))</f>
        <v>249.25370091019835</v>
      </c>
      <c r="CE129" s="62">
        <f t="shared" si="94"/>
        <v>245.46410820099908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6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2">
        <f t="shared" si="86"/>
        <v>19.509963270886551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9">
        <f t="shared" si="56"/>
        <v>411.41716936346074</v>
      </c>
      <c r="I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-2.8421709430404007E-14</v>
      </c>
      <c r="O130" s="14">
        <f>N130*VLOOKUP('Données projet'!$B$9,Paramètres!$A$1:$I$89,3,0)*VLOOKUP('Données projet'!$B$9,Paramètres!$A$1:$I$89,5,0)</f>
        <v>-2.5715962692629544E-14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216.22465631364315</v>
      </c>
      <c r="T130" s="62">
        <f t="shared" si="88"/>
        <v>304.27938609150095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3.2</v>
      </c>
      <c r="AI130" s="14">
        <f>IF('Données projet'!$A$62&gt;35,AI129+AH130-AQ129,IF(A130&lt;'Données projet'!$A$62,$AF$205^A130,IF(A130='Données projet'!$A$62,'Données projet'!$B$62,AI129+AH130-AQ129)))</f>
        <v>290.39999999999941</v>
      </c>
      <c r="AJ130" s="14">
        <f>AI130*VLOOKUP('Données projet'!$B$10,Paramètres!$A$1:$I$89,3,0)*VLOOKUP('Données projet'!$B$10,Paramètres!$A$1:$I$89,5,0)</f>
        <v>262.75391999999948</v>
      </c>
      <c r="AK130" s="14">
        <f t="shared" si="89"/>
        <v>63.309041956360211</v>
      </c>
      <c r="AL130" s="22">
        <f t="shared" si="58"/>
        <v>567.89299207399313</v>
      </c>
      <c r="AM130" s="62">
        <f t="shared" si="59"/>
        <v>861.22632540732639</v>
      </c>
      <c r="AN130" s="62">
        <f ca="1">AVERAGE(OFFSET($AM$3,0,0,'Données projet'!$E$10+1,1))-AVERAGE(OFFSET($H$3,0,0,'Données projet'!$E$10+1,1))</f>
        <v>336.63786714776501</v>
      </c>
      <c r="AO130" s="62">
        <f t="shared" si="90"/>
        <v>208.9883766854885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3.2</v>
      </c>
      <c r="BD130" s="13">
        <f>IF('Données projet'!$A$88&gt;35,BD129+BC130-BL129,IF(A130&lt;'Données projet'!$A$88,$BA$205^A130,IF(A130='Données projet'!$A$88,'Données projet'!$B$88,BD129+BC130-BL129)))</f>
        <v>290.39999999999941</v>
      </c>
      <c r="BE130" s="14">
        <f>BD130*VLOOKUP('Données projet'!$B$11,Paramètres!$A$1:$I$89,3,0)*VLOOKUP('Données projet'!$B$11,Paramètres!$A$1:$I$89,5,0)</f>
        <v>280.87487999999945</v>
      </c>
      <c r="BF130" s="14">
        <f t="shared" si="91"/>
        <v>67.151862592195727</v>
      </c>
      <c r="BG130" s="22">
        <f t="shared" si="61"/>
        <v>606.1465766814066</v>
      </c>
      <c r="BH130" s="62">
        <f t="shared" si="62"/>
        <v>899.47991001473997</v>
      </c>
      <c r="BI130" s="62">
        <f ca="1">AVERAGE(OFFSET($BH$3,0,0,'Données projet'!$E$11+1,1))-AVERAGE(OFFSET($H$3,0,0,'Données projet'!$E$11+1,1))</f>
        <v>363.29716504383265</v>
      </c>
      <c r="BJ130" s="62">
        <f t="shared" si="92"/>
        <v>223.12394672673923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1.1368683772161603E-13</v>
      </c>
      <c r="BZ130" s="14">
        <f>BY130*VLOOKUP('Données projet'!$B$12,Paramètres!$A$1:$I$89,3,0)*VLOOKUP('Données projet'!$B$12,Paramètres!$A$1:$I$89,5,0)</f>
        <v>8.8675733422860506E-14</v>
      </c>
      <c r="CA130" s="14">
        <f t="shared" si="93"/>
        <v>1.3509285393066301E-12</v>
      </c>
      <c r="CB130" s="22">
        <f t="shared" si="64"/>
        <v>2.5073107750038623E-12</v>
      </c>
      <c r="CC130" s="62">
        <f t="shared" si="65"/>
        <v>293.33333333333582</v>
      </c>
      <c r="CD130" s="62">
        <f ca="1">AVERAGE(OFFSET($CC$3,0,0,'Données projet'!$E$12+1,1))-AVERAGE(OFFSET($H$3,0,0,'Données projet'!$E$12+1,1))</f>
        <v>249.25370091019835</v>
      </c>
      <c r="CE130" s="62">
        <f t="shared" si="94"/>
        <v>245.46410820099908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6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2">
        <f t="shared" si="86"/>
        <v>19.645641432461961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9">
        <f t="shared" si="56"/>
        <v>412.60442549487129</v>
      </c>
      <c r="I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-2.8421709430404007E-14</v>
      </c>
      <c r="O131" s="14">
        <f>N131*VLOOKUP('Données projet'!$B$9,Paramètres!$A$1:$I$89,3,0)*VLOOKUP('Données projet'!$B$9,Paramètres!$A$1:$I$89,5,0)</f>
        <v>-2.5715962692629544E-14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216.22465631364315</v>
      </c>
      <c r="T131" s="62">
        <f t="shared" si="88"/>
        <v>304.27938609150095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3.2</v>
      </c>
      <c r="AI131" s="14">
        <f>IF('Données projet'!$A$62&gt;35,AI130+AH131-AQ130,IF(A131&lt;'Données projet'!$A$62,$AF$205^A131,IF(A131='Données projet'!$A$62,'Données projet'!$B$62,AI130+AH131-AQ130)))</f>
        <v>293.5999999999994</v>
      </c>
      <c r="AJ131" s="14">
        <f>AI131*VLOOKUP('Données projet'!$B$10,Paramètres!$A$1:$I$89,3,0)*VLOOKUP('Données projet'!$B$10,Paramètres!$A$1:$I$89,5,0)</f>
        <v>265.64927999999946</v>
      </c>
      <c r="AK131" s="14">
        <f t="shared" si="89"/>
        <v>63.925065540346907</v>
      </c>
      <c r="AL131" s="22">
        <f t="shared" si="58"/>
        <v>574.00865181610322</v>
      </c>
      <c r="AM131" s="62">
        <f t="shared" si="59"/>
        <v>867.3419851494366</v>
      </c>
      <c r="AN131" s="62">
        <f ca="1">AVERAGE(OFFSET($AM$3,0,0,'Données projet'!$E$10+1,1))-AVERAGE(OFFSET($H$3,0,0,'Données projet'!$E$10+1,1))</f>
        <v>336.63786714776501</v>
      </c>
      <c r="AO131" s="62">
        <f t="shared" si="90"/>
        <v>208.9883766854885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3.2</v>
      </c>
      <c r="BD131" s="13">
        <f>IF('Données projet'!$A$88&gt;35,BD130+BC131-BL130,IF(A131&lt;'Données projet'!$A$88,$BA$205^A131,IF(A131='Données projet'!$A$88,'Données projet'!$B$88,BD130+BC131-BL130)))</f>
        <v>293.5999999999994</v>
      </c>
      <c r="BE131" s="14">
        <f>BD131*VLOOKUP('Données projet'!$B$11,Paramètres!$A$1:$I$89,3,0)*VLOOKUP('Données projet'!$B$11,Paramètres!$A$1:$I$89,5,0)</f>
        <v>283.96991999999943</v>
      </c>
      <c r="BF131" s="14">
        <f t="shared" si="91"/>
        <v>67.805278435922148</v>
      </c>
      <c r="BG131" s="22">
        <f t="shared" si="61"/>
        <v>612.67513727589676</v>
      </c>
      <c r="BH131" s="62">
        <f t="shared" si="62"/>
        <v>906.00847060923002</v>
      </c>
      <c r="BI131" s="62">
        <f ca="1">AVERAGE(OFFSET($BH$3,0,0,'Données projet'!$E$11+1,1))-AVERAGE(OFFSET($H$3,0,0,'Données projet'!$E$11+1,1))</f>
        <v>363.29716504383265</v>
      </c>
      <c r="BJ131" s="62">
        <f t="shared" si="92"/>
        <v>223.12394672673923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1.1368683772161603E-13</v>
      </c>
      <c r="BZ131" s="14">
        <f>BY131*VLOOKUP('Données projet'!$B$12,Paramètres!$A$1:$I$89,3,0)*VLOOKUP('Données projet'!$B$12,Paramètres!$A$1:$I$89,5,0)</f>
        <v>8.8675733422860506E-14</v>
      </c>
      <c r="CA131" s="14">
        <f t="shared" si="93"/>
        <v>1.3509285393066301E-12</v>
      </c>
      <c r="CB131" s="22">
        <f t="shared" si="64"/>
        <v>2.5073107750038623E-12</v>
      </c>
      <c r="CC131" s="62">
        <f t="shared" si="65"/>
        <v>293.33333333333582</v>
      </c>
      <c r="CD131" s="62">
        <f ca="1">AVERAGE(OFFSET($CC$3,0,0,'Données projet'!$E$12+1,1))-AVERAGE(OFFSET($H$3,0,0,'Données projet'!$E$12+1,1))</f>
        <v>249.25370091019835</v>
      </c>
      <c r="CE131" s="62">
        <f t="shared" si="94"/>
        <v>245.46410820099908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6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2">
        <f t="shared" si="86"/>
        <v>19.78119626646561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9">
        <f t="shared" ref="H132:H195" si="110">(B132+E132+F132)*44/12+(C132+D132)*0.475*44/12</f>
        <v>413.79146683076101</v>
      </c>
      <c r="I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-2.8421709430404007E-14</v>
      </c>
      <c r="O132" s="14">
        <f>N132*VLOOKUP('Données projet'!$B$9,Paramètres!$A$1:$I$89,3,0)*VLOOKUP('Données projet'!$B$9,Paramètres!$A$1:$I$89,5,0)</f>
        <v>-2.5715962692629544E-14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216.22465631364315</v>
      </c>
      <c r="T132" s="62">
        <f t="shared" si="88"/>
        <v>304.27938609150095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3.2</v>
      </c>
      <c r="AI132" s="14">
        <f>IF('Données projet'!$A$62&gt;35,AI131+AH132-AQ131,IF(A132&lt;'Données projet'!$A$62,$AF$205^A132,IF(A132='Données projet'!$A$62,'Données projet'!$B$62,AI131+AH132-AQ131)))</f>
        <v>296.79999999999939</v>
      </c>
      <c r="AJ132" s="14">
        <f>AI132*VLOOKUP('Données projet'!$B$10,Paramètres!$A$1:$I$89,3,0)*VLOOKUP('Données projet'!$B$10,Paramètres!$A$1:$I$89,5,0)</f>
        <v>268.54463999999945</v>
      </c>
      <c r="AK132" s="14">
        <f t="shared" si="89"/>
        <v>64.540308076050593</v>
      </c>
      <c r="AL132" s="22">
        <f t="shared" ref="AL132:AL153" si="112">(AJ132+AK132)*0.475*44/12</f>
        <v>580.12295123245383</v>
      </c>
      <c r="AM132" s="62">
        <f t="shared" ref="AM132:AM195" si="113">AL132+(AD132+AE132)*44/12</f>
        <v>873.4562845657872</v>
      </c>
      <c r="AN132" s="62">
        <f ca="1">AVERAGE(OFFSET($AM$3,0,0,'Données projet'!$E$10+1,1))-AVERAGE(OFFSET($H$3,0,0,'Données projet'!$E$10+1,1))</f>
        <v>336.63786714776501</v>
      </c>
      <c r="AO132" s="62">
        <f t="shared" si="90"/>
        <v>208.9883766854885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3.2</v>
      </c>
      <c r="BD132" s="13">
        <f>IF('Données projet'!$A$88&gt;35,BD131+BC132-BL131,IF(A132&lt;'Données projet'!$A$88,$BA$205^A132,IF(A132='Données projet'!$A$88,'Données projet'!$B$88,BD131+BC132-BL131)))</f>
        <v>296.79999999999939</v>
      </c>
      <c r="BE132" s="14">
        <f>BD132*VLOOKUP('Données projet'!$B$11,Paramètres!$A$1:$I$89,3,0)*VLOOKUP('Données projet'!$B$11,Paramètres!$A$1:$I$89,5,0)</f>
        <v>287.06495999999942</v>
      </c>
      <c r="BF132" s="14">
        <f t="shared" si="91"/>
        <v>68.457865822206202</v>
      </c>
      <c r="BG132" s="22">
        <f t="shared" ref="BG132:BG153" si="115">(BE132+BF132)*0.475*44/12</f>
        <v>619.20225497367471</v>
      </c>
      <c r="BH132" s="62">
        <f t="shared" ref="BH132:BH195" si="116">BG132+(AY132+AZ132)*44/12</f>
        <v>912.53558830700808</v>
      </c>
      <c r="BI132" s="62">
        <f ca="1">AVERAGE(OFFSET($BH$3,0,0,'Données projet'!$E$11+1,1))-AVERAGE(OFFSET($H$3,0,0,'Données projet'!$E$11+1,1))</f>
        <v>363.29716504383265</v>
      </c>
      <c r="BJ132" s="62">
        <f t="shared" si="92"/>
        <v>223.12394672673923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1.1368683772161603E-13</v>
      </c>
      <c r="BZ132" s="14">
        <f>BY132*VLOOKUP('Données projet'!$B$12,Paramètres!$A$1:$I$89,3,0)*VLOOKUP('Données projet'!$B$12,Paramètres!$A$1:$I$89,5,0)</f>
        <v>8.8675733422860506E-14</v>
      </c>
      <c r="CA132" s="14">
        <f t="shared" si="93"/>
        <v>1.3509285393066301E-12</v>
      </c>
      <c r="CB132" s="22">
        <f t="shared" ref="CB132:CB153" si="118">(BZ132+CA132)*0.475*44/12</f>
        <v>2.5073107750038623E-12</v>
      </c>
      <c r="CC132" s="62">
        <f t="shared" ref="CC132:CC195" si="119">CB132+(BT132+BU132)*44/12</f>
        <v>293.33333333333582</v>
      </c>
      <c r="CD132" s="62">
        <f ca="1">AVERAGE(OFFSET($CC$3,0,0,'Données projet'!$E$12+1,1))-AVERAGE(OFFSET($H$3,0,0,'Données projet'!$E$12+1,1))</f>
        <v>249.25370091019835</v>
      </c>
      <c r="CE132" s="62">
        <f t="shared" si="94"/>
        <v>245.46410820099908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6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2">
        <f t="shared" ref="D133:D196" si="140">IFERROR(EXP(-1.0587+0.8836*LN(C133)+0.284),0)</f>
        <v>19.916628839746853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9">
        <f t="shared" si="110"/>
        <v>414.97829522922581</v>
      </c>
      <c r="I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-2.8421709430404007E-14</v>
      </c>
      <c r="O133" s="14">
        <f>N133*VLOOKUP('Données projet'!$B$9,Paramètres!$A$1:$I$89,3,0)*VLOOKUP('Données projet'!$B$9,Paramètres!$A$1:$I$89,5,0)</f>
        <v>-2.5715962692629544E-14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216.22465631364315</v>
      </c>
      <c r="T133" s="62">
        <f t="shared" ref="T133:T196" si="142">$T$3</f>
        <v>304.27938609150095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>
        <f>VLOOKUP(A133,'Données projet'!$A$61:$I$81,2,0)</f>
        <v>300</v>
      </c>
      <c r="AG133" s="13">
        <f>VLOOKUP(A133,'Données projet'!$A$61:$I$81,9,0)</f>
        <v>3.2</v>
      </c>
      <c r="AH133" s="13">
        <f t="array" ref="AH133">INDEX(AG:AG,MIN(IF(ISNUMBER(AG133:AG329),ROW(AG133:AG329),"")))</f>
        <v>3.2</v>
      </c>
      <c r="AI133" s="14">
        <f>IF('Données projet'!$A$62&gt;35,AI132+AH133-AQ132,IF(A133&lt;'Données projet'!$A$62,$AF$205^A133,IF(A133='Données projet'!$A$62,'Données projet'!$B$62,AI132+AH133-AQ132)))</f>
        <v>299.99999999999937</v>
      </c>
      <c r="AJ133" s="14">
        <f>AI133*VLOOKUP('Données projet'!$B$10,Paramètres!$A$1:$I$89,3,0)*VLOOKUP('Données projet'!$B$10,Paramètres!$A$1:$I$89,5,0)</f>
        <v>271.43999999999943</v>
      </c>
      <c r="AK133" s="14">
        <f t="shared" ref="AK133:AK153" si="143">EXP(-1.0587+0.8836*LN(AJ133)+0.284)</f>
        <v>65.154778959151116</v>
      </c>
      <c r="AL133" s="22">
        <f t="shared" si="112"/>
        <v>586.23590668718714</v>
      </c>
      <c r="AM133" s="62">
        <f t="shared" si="113"/>
        <v>879.56924002052051</v>
      </c>
      <c r="AN133" s="62">
        <f ca="1">AVERAGE(OFFSET($AM$3,0,0,'Données projet'!$E$10+1,1))-AVERAGE(OFFSET($H$3,0,0,'Données projet'!$E$10+1,1))</f>
        <v>336.63786714776501</v>
      </c>
      <c r="AO133" s="62">
        <f t="shared" ref="AO133:AO196" si="144">$AO$3</f>
        <v>208.9883766854885</v>
      </c>
      <c r="AP133" s="16">
        <f>IF(ISNA(VLOOKUP(A133,'Données projet'!$A$61:$I$81,3,0)),0,VLOOKUP(A133,'Données projet'!$A$61:$I$81,3,0))</f>
        <v>11</v>
      </c>
      <c r="AQ133" s="16">
        <f>IF(ISNA(VLOOKUP(A133,'Données projet'!$A$61:$I$81,4,0)),0,VLOOKUP(A133,'Données projet'!$A$61:$I$81,4,0))</f>
        <v>31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>
        <f>VLOOKUP(A133,'Données projet'!$A$87:$I$107,2,0)</f>
        <v>300</v>
      </c>
      <c r="BB133" s="13">
        <f>VLOOKUP(A133,'Données projet'!$A$87:$I$107,9,0)</f>
        <v>3.2</v>
      </c>
      <c r="BC133" s="13">
        <f t="array" ref="BC133">INDEX(BB:BB,MIN(IF(ISNUMBER(BB133:BB329),ROW(BB133:BB329),"")))</f>
        <v>3.2</v>
      </c>
      <c r="BD133" s="13">
        <f>IF('Données projet'!$A$88&gt;35,BD132+BC133-BL132,IF(A133&lt;'Données projet'!$A$88,$BA$205^A133,IF(A133='Données projet'!$A$88,'Données projet'!$B$88,BD132+BC133-BL132)))</f>
        <v>299.99999999999937</v>
      </c>
      <c r="BE133" s="14">
        <f>BD133*VLOOKUP('Données projet'!$B$11,Paramètres!$A$1:$I$89,3,0)*VLOOKUP('Données projet'!$B$11,Paramètres!$A$1:$I$89,5,0)</f>
        <v>290.1599999999994</v>
      </c>
      <c r="BF133" s="14">
        <f t="shared" ref="BF133:BF153" si="145">EXP(-1.0587+0.8836*LN(BE133)+0.284)</f>
        <v>69.10963471703981</v>
      </c>
      <c r="BG133" s="22">
        <f t="shared" si="115"/>
        <v>625.72794713217661</v>
      </c>
      <c r="BH133" s="62">
        <f t="shared" si="116"/>
        <v>919.06128046550998</v>
      </c>
      <c r="BI133" s="62">
        <f ca="1">AVERAGE(OFFSET($BH$3,0,0,'Données projet'!$E$11+1,1))-AVERAGE(OFFSET($H$3,0,0,'Données projet'!$E$11+1,1))</f>
        <v>363.29716504383265</v>
      </c>
      <c r="BJ133" s="62">
        <f t="shared" ref="BJ133:BJ196" si="146">$BJ$3</f>
        <v>223.12394672673923</v>
      </c>
      <c r="BK133" s="16">
        <f>IF(ISNA(VLOOKUP(A133,'Données projet'!$A$87:$I$107,3,0)),0,VLOOKUP(A133,'Données projet'!$A$87:$I$107,3,0))</f>
        <v>11</v>
      </c>
      <c r="BL133" s="16">
        <f>IF(ISNA(VLOOKUP(A133,'Données projet'!$A$87:$I$107,4,0)),0,VLOOKUP(A133,'Données projet'!$A$87:$I$107,4,0))</f>
        <v>31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1.1368683772161603E-13</v>
      </c>
      <c r="BZ133" s="14">
        <f>BY133*VLOOKUP('Données projet'!$B$12,Paramètres!$A$1:$I$89,3,0)*VLOOKUP('Données projet'!$B$12,Paramètres!$A$1:$I$89,5,0)</f>
        <v>8.8675733422860506E-14</v>
      </c>
      <c r="CA133" s="14">
        <f t="shared" ref="CA133:CA153" si="147">EXP(-1.0587+0.8836*LN(BZ133)+0.284)</f>
        <v>1.3509285393066301E-12</v>
      </c>
      <c r="CB133" s="22">
        <f t="shared" si="118"/>
        <v>2.5073107750038623E-12</v>
      </c>
      <c r="CC133" s="62">
        <f t="shared" si="119"/>
        <v>293.33333333333582</v>
      </c>
      <c r="CD133" s="62">
        <f ca="1">AVERAGE(OFFSET($CC$3,0,0,'Données projet'!$E$12+1,1))-AVERAGE(OFFSET($H$3,0,0,'Données projet'!$E$12+1,1))</f>
        <v>249.25370091019835</v>
      </c>
      <c r="CE133" s="62">
        <f t="shared" ref="CE133:CE196" si="148">$CE$3</f>
        <v>245.46410820099908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6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2">
        <f t="shared" si="140"/>
        <v>20.051940201794032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9">
        <f t="shared" si="110"/>
        <v>416.16491251812465</v>
      </c>
      <c r="I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-2.8421709430404007E-14</v>
      </c>
      <c r="O134" s="14">
        <f>N134*VLOOKUP('Données projet'!$B$9,Paramètres!$A$1:$I$89,3,0)*VLOOKUP('Données projet'!$B$9,Paramètres!$A$1:$I$89,5,0)</f>
        <v>-2.5715962692629544E-14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216.22465631364315</v>
      </c>
      <c r="T134" s="62">
        <f t="shared" si="142"/>
        <v>304.27938609150095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2.7</v>
      </c>
      <c r="AI134" s="14">
        <f>IF('Données projet'!$A$62&gt;35,AI133+AH134-AQ133,IF(A134&lt;'Données projet'!$A$62,$AF$205^A134,IF(A134='Données projet'!$A$62,'Données projet'!$B$62,AI133+AH134-AQ133)))</f>
        <v>271.69999999999936</v>
      </c>
      <c r="AJ134" s="14">
        <f>AI134*VLOOKUP('Données projet'!$B$10,Paramètres!$A$1:$I$89,3,0)*VLOOKUP('Données projet'!$B$10,Paramètres!$A$1:$I$89,5,0)</f>
        <v>245.8341599999994</v>
      </c>
      <c r="AK134" s="14">
        <f t="shared" si="143"/>
        <v>59.693018383856675</v>
      </c>
      <c r="AL134" s="22">
        <f t="shared" si="112"/>
        <v>532.12650235188266</v>
      </c>
      <c r="AM134" s="62">
        <f t="shared" si="113"/>
        <v>825.45983568521592</v>
      </c>
      <c r="AN134" s="62">
        <f ca="1">AVERAGE(OFFSET($AM$3,0,0,'Données projet'!$E$10+1,1))-AVERAGE(OFFSET($H$3,0,0,'Données projet'!$E$10+1,1))</f>
        <v>336.63786714776501</v>
      </c>
      <c r="AO134" s="62">
        <f t="shared" si="144"/>
        <v>208.9883766854885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2.7</v>
      </c>
      <c r="BD134" s="13">
        <f>IF('Données projet'!$A$88&gt;35,BD133+BC134-BL133,IF(A134&lt;'Données projet'!$A$88,$BA$205^A134,IF(A134='Données projet'!$A$88,'Données projet'!$B$88,BD133+BC134-BL133)))</f>
        <v>271.69999999999936</v>
      </c>
      <c r="BE134" s="14">
        <f>BD134*VLOOKUP('Données projet'!$B$11,Paramètres!$A$1:$I$89,3,0)*VLOOKUP('Données projet'!$B$11,Paramètres!$A$1:$I$89,5,0)</f>
        <v>262.7882399999994</v>
      </c>
      <c r="BF134" s="14">
        <f t="shared" si="145"/>
        <v>63.316348571334714</v>
      </c>
      <c r="BG134" s="22">
        <f t="shared" si="115"/>
        <v>567.96549176174028</v>
      </c>
      <c r="BH134" s="62">
        <f t="shared" si="116"/>
        <v>861.29882509507365</v>
      </c>
      <c r="BI134" s="62">
        <f ca="1">AVERAGE(OFFSET($BH$3,0,0,'Données projet'!$E$11+1,1))-AVERAGE(OFFSET($H$3,0,0,'Données projet'!$E$11+1,1))</f>
        <v>363.29716504383265</v>
      </c>
      <c r="BJ134" s="62">
        <f t="shared" si="146"/>
        <v>223.12394672673923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1.1368683772161603E-13</v>
      </c>
      <c r="BZ134" s="14">
        <f>BY134*VLOOKUP('Données projet'!$B$12,Paramètres!$A$1:$I$89,3,0)*VLOOKUP('Données projet'!$B$12,Paramètres!$A$1:$I$89,5,0)</f>
        <v>8.8675733422860506E-14</v>
      </c>
      <c r="CA134" s="14">
        <f t="shared" si="147"/>
        <v>1.3509285393066301E-12</v>
      </c>
      <c r="CB134" s="22">
        <f t="shared" si="118"/>
        <v>2.5073107750038623E-12</v>
      </c>
      <c r="CC134" s="62">
        <f t="shared" si="119"/>
        <v>293.33333333333582</v>
      </c>
      <c r="CD134" s="62">
        <f ca="1">AVERAGE(OFFSET($CC$3,0,0,'Données projet'!$E$12+1,1))-AVERAGE(OFFSET($H$3,0,0,'Données projet'!$E$12+1,1))</f>
        <v>249.25370091019835</v>
      </c>
      <c r="CE134" s="62">
        <f t="shared" si="148"/>
        <v>245.46410820099908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6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2">
        <f t="shared" si="140"/>
        <v>20.187131385147271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9">
        <f t="shared" si="110"/>
        <v>417.35132049579823</v>
      </c>
      <c r="I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-2.8421709430404007E-14</v>
      </c>
      <c r="O135" s="14">
        <f>N135*VLOOKUP('Données projet'!$B$9,Paramètres!$A$1:$I$89,3,0)*VLOOKUP('Données projet'!$B$9,Paramètres!$A$1:$I$89,5,0)</f>
        <v>-2.5715962692629544E-14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216.22465631364315</v>
      </c>
      <c r="T135" s="62">
        <f t="shared" si="142"/>
        <v>304.27938609150095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2.7</v>
      </c>
      <c r="AI135" s="14">
        <f>IF('Données projet'!$A$62&gt;35,AI134+AH135-AQ134,IF(A135&lt;'Données projet'!$A$62,$AF$205^A135,IF(A135='Données projet'!$A$62,'Données projet'!$B$62,AI134+AH135-AQ134)))</f>
        <v>274.39999999999935</v>
      </c>
      <c r="AJ135" s="14">
        <f>AI135*VLOOKUP('Données projet'!$B$10,Paramètres!$A$1:$I$89,3,0)*VLOOKUP('Données projet'!$B$10,Paramètres!$A$1:$I$89,5,0)</f>
        <v>248.2771199999994</v>
      </c>
      <c r="AK135" s="14">
        <f t="shared" si="143"/>
        <v>60.216863677580257</v>
      </c>
      <c r="AL135" s="22">
        <f t="shared" si="112"/>
        <v>537.29368823845118</v>
      </c>
      <c r="AM135" s="62">
        <f t="shared" si="113"/>
        <v>830.62702157178455</v>
      </c>
      <c r="AN135" s="62">
        <f ca="1">AVERAGE(OFFSET($AM$3,0,0,'Données projet'!$E$10+1,1))-AVERAGE(OFFSET($H$3,0,0,'Données projet'!$E$10+1,1))</f>
        <v>336.63786714776501</v>
      </c>
      <c r="AO135" s="62">
        <f t="shared" si="144"/>
        <v>208.9883766854885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2.7</v>
      </c>
      <c r="BD135" s="13">
        <f>IF('Données projet'!$A$88&gt;35,BD134+BC135-BL134,IF(A135&lt;'Données projet'!$A$88,$BA$205^A135,IF(A135='Données projet'!$A$88,'Données projet'!$B$88,BD134+BC135-BL134)))</f>
        <v>274.39999999999935</v>
      </c>
      <c r="BE135" s="14">
        <f>BD135*VLOOKUP('Données projet'!$B$11,Paramètres!$A$1:$I$89,3,0)*VLOOKUP('Données projet'!$B$11,Paramètres!$A$1:$I$89,5,0)</f>
        <v>265.39967999999936</v>
      </c>
      <c r="BF135" s="14">
        <f t="shared" si="145"/>
        <v>63.87199095821434</v>
      </c>
      <c r="BG135" s="22">
        <f t="shared" si="115"/>
        <v>573.48149358555554</v>
      </c>
      <c r="BH135" s="62">
        <f t="shared" si="116"/>
        <v>866.81482691888891</v>
      </c>
      <c r="BI135" s="62">
        <f ca="1">AVERAGE(OFFSET($BH$3,0,0,'Données projet'!$E$11+1,1))-AVERAGE(OFFSET($H$3,0,0,'Données projet'!$E$11+1,1))</f>
        <v>363.29716504383265</v>
      </c>
      <c r="BJ135" s="62">
        <f t="shared" si="146"/>
        <v>223.12394672673923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1.1368683772161603E-13</v>
      </c>
      <c r="BZ135" s="14">
        <f>BY135*VLOOKUP('Données projet'!$B$12,Paramètres!$A$1:$I$89,3,0)*VLOOKUP('Données projet'!$B$12,Paramètres!$A$1:$I$89,5,0)</f>
        <v>8.8675733422860506E-14</v>
      </c>
      <c r="CA135" s="14">
        <f t="shared" si="147"/>
        <v>1.3509285393066301E-12</v>
      </c>
      <c r="CB135" s="22">
        <f t="shared" si="118"/>
        <v>2.5073107750038623E-12</v>
      </c>
      <c r="CC135" s="62">
        <f t="shared" si="119"/>
        <v>293.33333333333582</v>
      </c>
      <c r="CD135" s="62">
        <f ca="1">AVERAGE(OFFSET($CC$3,0,0,'Données projet'!$E$12+1,1))-AVERAGE(OFFSET($H$3,0,0,'Données projet'!$E$12+1,1))</f>
        <v>249.25370091019835</v>
      </c>
      <c r="CE135" s="62">
        <f t="shared" si="148"/>
        <v>245.46410820099908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6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2">
        <f t="shared" si="140"/>
        <v>20.322203405798462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9">
        <f t="shared" si="110"/>
        <v>418.5375209317657</v>
      </c>
      <c r="I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-2.8421709430404007E-14</v>
      </c>
      <c r="O136" s="14">
        <f>N136*VLOOKUP('Données projet'!$B$9,Paramètres!$A$1:$I$89,3,0)*VLOOKUP('Données projet'!$B$9,Paramètres!$A$1:$I$89,5,0)</f>
        <v>-2.5715962692629544E-14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216.22465631364315</v>
      </c>
      <c r="T136" s="62">
        <f t="shared" si="142"/>
        <v>304.27938609150095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2.7</v>
      </c>
      <c r="AI136" s="14">
        <f>IF('Données projet'!$A$62&gt;35,AI135+AH136-AQ135,IF(A136&lt;'Données projet'!$A$62,$AF$205^A136,IF(A136='Données projet'!$A$62,'Données projet'!$B$62,AI135+AH136-AQ135)))</f>
        <v>277.09999999999934</v>
      </c>
      <c r="AJ136" s="14">
        <f>AI136*VLOOKUP('Données projet'!$B$10,Paramètres!$A$1:$I$89,3,0)*VLOOKUP('Données projet'!$B$10,Paramètres!$A$1:$I$89,5,0)</f>
        <v>250.72007999999943</v>
      </c>
      <c r="AK136" s="14">
        <f t="shared" si="143"/>
        <v>60.740109326032709</v>
      </c>
      <c r="AL136" s="22">
        <f t="shared" si="112"/>
        <v>542.45982974283925</v>
      </c>
      <c r="AM136" s="62">
        <f t="shared" si="113"/>
        <v>835.7931630761725</v>
      </c>
      <c r="AN136" s="62">
        <f ca="1">AVERAGE(OFFSET($AM$3,0,0,'Données projet'!$E$10+1,1))-AVERAGE(OFFSET($H$3,0,0,'Données projet'!$E$10+1,1))</f>
        <v>336.63786714776501</v>
      </c>
      <c r="AO136" s="62">
        <f t="shared" si="144"/>
        <v>208.9883766854885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2.7</v>
      </c>
      <c r="BD136" s="13">
        <f>IF('Données projet'!$A$88&gt;35,BD135+BC136-BL135,IF(A136&lt;'Données projet'!$A$88,$BA$205^A136,IF(A136='Données projet'!$A$88,'Données projet'!$B$88,BD135+BC136-BL135)))</f>
        <v>277.09999999999934</v>
      </c>
      <c r="BE136" s="14">
        <f>BD136*VLOOKUP('Données projet'!$B$11,Paramètres!$A$1:$I$89,3,0)*VLOOKUP('Données projet'!$B$11,Paramètres!$A$1:$I$89,5,0)</f>
        <v>268.01111999999938</v>
      </c>
      <c r="BF136" s="14">
        <f t="shared" si="145"/>
        <v>64.426997301716739</v>
      </c>
      <c r="BG136" s="22">
        <f t="shared" si="115"/>
        <v>578.99638763382234</v>
      </c>
      <c r="BH136" s="62">
        <f t="shared" si="116"/>
        <v>872.32972096715571</v>
      </c>
      <c r="BI136" s="62">
        <f ca="1">AVERAGE(OFFSET($BH$3,0,0,'Données projet'!$E$11+1,1))-AVERAGE(OFFSET($H$3,0,0,'Données projet'!$E$11+1,1))</f>
        <v>363.29716504383265</v>
      </c>
      <c r="BJ136" s="62">
        <f t="shared" si="146"/>
        <v>223.12394672673923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1.1368683772161603E-13</v>
      </c>
      <c r="BZ136" s="14">
        <f>BY136*VLOOKUP('Données projet'!$B$12,Paramètres!$A$1:$I$89,3,0)*VLOOKUP('Données projet'!$B$12,Paramètres!$A$1:$I$89,5,0)</f>
        <v>8.8675733422860506E-14</v>
      </c>
      <c r="CA136" s="14">
        <f t="shared" si="147"/>
        <v>1.3509285393066301E-12</v>
      </c>
      <c r="CB136" s="22">
        <f t="shared" si="118"/>
        <v>2.5073107750038623E-12</v>
      </c>
      <c r="CC136" s="62">
        <f t="shared" si="119"/>
        <v>293.33333333333582</v>
      </c>
      <c r="CD136" s="62">
        <f ca="1">AVERAGE(OFFSET($CC$3,0,0,'Données projet'!$E$12+1,1))-AVERAGE(OFFSET($H$3,0,0,'Données projet'!$E$12+1,1))</f>
        <v>249.25370091019835</v>
      </c>
      <c r="CE136" s="62">
        <f t="shared" si="148"/>
        <v>245.46410820099908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6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2">
        <f t="shared" si="140"/>
        <v>20.457157263578868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9">
        <f t="shared" si="110"/>
        <v>419.72351556739994</v>
      </c>
      <c r="I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-2.8421709430404007E-14</v>
      </c>
      <c r="O137" s="14">
        <f>N137*VLOOKUP('Données projet'!$B$9,Paramètres!$A$1:$I$89,3,0)*VLOOKUP('Données projet'!$B$9,Paramètres!$A$1:$I$89,5,0)</f>
        <v>-2.5715962692629544E-14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216.22465631364315</v>
      </c>
      <c r="T137" s="62">
        <f t="shared" si="142"/>
        <v>304.27938609150095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2.7</v>
      </c>
      <c r="AI137" s="14">
        <f>IF('Données projet'!$A$62&gt;35,AI136+AH137-AQ136,IF(A137&lt;'Données projet'!$A$62,$AF$205^A137,IF(A137='Données projet'!$A$62,'Données projet'!$B$62,AI136+AH137-AQ136)))</f>
        <v>279.79999999999933</v>
      </c>
      <c r="AJ137" s="14">
        <f>AI137*VLOOKUP('Données projet'!$B$10,Paramètres!$A$1:$I$89,3,0)*VLOOKUP('Données projet'!$B$10,Paramètres!$A$1:$I$89,5,0)</f>
        <v>253.16303999999937</v>
      </c>
      <c r="AK137" s="14">
        <f t="shared" si="143"/>
        <v>61.262761848634923</v>
      </c>
      <c r="AL137" s="22">
        <f t="shared" si="112"/>
        <v>547.62493821970475</v>
      </c>
      <c r="AM137" s="62">
        <f t="shared" si="113"/>
        <v>840.958271553038</v>
      </c>
      <c r="AN137" s="62">
        <f ca="1">AVERAGE(OFFSET($AM$3,0,0,'Données projet'!$E$10+1,1))-AVERAGE(OFFSET($H$3,0,0,'Données projet'!$E$10+1,1))</f>
        <v>336.63786714776501</v>
      </c>
      <c r="AO137" s="62">
        <f t="shared" si="144"/>
        <v>208.9883766854885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2.7</v>
      </c>
      <c r="BD137" s="13">
        <f>IF('Données projet'!$A$88&gt;35,BD136+BC137-BL136,IF(A137&lt;'Données projet'!$A$88,$BA$205^A137,IF(A137='Données projet'!$A$88,'Données projet'!$B$88,BD136+BC137-BL136)))</f>
        <v>279.79999999999933</v>
      </c>
      <c r="BE137" s="14">
        <f>BD137*VLOOKUP('Données projet'!$B$11,Paramètres!$A$1:$I$89,3,0)*VLOOKUP('Données projet'!$B$11,Paramètres!$A$1:$I$89,5,0)</f>
        <v>270.62255999999934</v>
      </c>
      <c r="BF137" s="14">
        <f t="shared" si="145"/>
        <v>64.981374516987898</v>
      </c>
      <c r="BG137" s="22">
        <f t="shared" si="115"/>
        <v>584.51018595041944</v>
      </c>
      <c r="BH137" s="62">
        <f t="shared" si="116"/>
        <v>877.84351928375281</v>
      </c>
      <c r="BI137" s="62">
        <f ca="1">AVERAGE(OFFSET($BH$3,0,0,'Données projet'!$E$11+1,1))-AVERAGE(OFFSET($H$3,0,0,'Données projet'!$E$11+1,1))</f>
        <v>363.29716504383265</v>
      </c>
      <c r="BJ137" s="62">
        <f t="shared" si="146"/>
        <v>223.12394672673923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1.1368683772161603E-13</v>
      </c>
      <c r="BZ137" s="14">
        <f>BY137*VLOOKUP('Données projet'!$B$12,Paramètres!$A$1:$I$89,3,0)*VLOOKUP('Données projet'!$B$12,Paramètres!$A$1:$I$89,5,0)</f>
        <v>8.8675733422860506E-14</v>
      </c>
      <c r="CA137" s="14">
        <f t="shared" si="147"/>
        <v>1.3509285393066301E-12</v>
      </c>
      <c r="CB137" s="22">
        <f t="shared" si="118"/>
        <v>2.5073107750038623E-12</v>
      </c>
      <c r="CC137" s="62">
        <f t="shared" si="119"/>
        <v>293.33333333333582</v>
      </c>
      <c r="CD137" s="62">
        <f ca="1">AVERAGE(OFFSET($CC$3,0,0,'Données projet'!$E$12+1,1))-AVERAGE(OFFSET($H$3,0,0,'Données projet'!$E$12+1,1))</f>
        <v>249.25370091019835</v>
      </c>
      <c r="CE137" s="62">
        <f t="shared" si="148"/>
        <v>245.46410820099908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6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2">
        <f t="shared" si="140"/>
        <v>20.591993942534774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9">
        <f t="shared" si="110"/>
        <v>420.90930611658149</v>
      </c>
      <c r="I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-2.8421709430404007E-14</v>
      </c>
      <c r="O138" s="14">
        <f>N138*VLOOKUP('Données projet'!$B$9,Paramètres!$A$1:$I$89,3,0)*VLOOKUP('Données projet'!$B$9,Paramètres!$A$1:$I$89,5,0)</f>
        <v>-2.5715962692629544E-14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216.22465631364315</v>
      </c>
      <c r="T138" s="62">
        <f t="shared" si="142"/>
        <v>304.27938609150095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2.7</v>
      </c>
      <c r="AI138" s="14">
        <f>IF('Données projet'!$A$62&gt;35,AI137+AH138-AQ137,IF(A138&lt;'Données projet'!$A$62,$AF$205^A138,IF(A138='Données projet'!$A$62,'Données projet'!$B$62,AI137+AH138-AQ137)))</f>
        <v>282.49999999999932</v>
      </c>
      <c r="AJ138" s="14">
        <f>AI138*VLOOKUP('Données projet'!$B$10,Paramètres!$A$1:$I$89,3,0)*VLOOKUP('Données projet'!$B$10,Paramètres!$A$1:$I$89,5,0)</f>
        <v>255.60599999999937</v>
      </c>
      <c r="AK138" s="14">
        <f t="shared" si="143"/>
        <v>61.784827631732192</v>
      </c>
      <c r="AL138" s="22">
        <f t="shared" si="112"/>
        <v>552.78902479193243</v>
      </c>
      <c r="AM138" s="62">
        <f t="shared" si="113"/>
        <v>846.12235812526569</v>
      </c>
      <c r="AN138" s="62">
        <f ca="1">AVERAGE(OFFSET($AM$3,0,0,'Données projet'!$E$10+1,1))-AVERAGE(OFFSET($H$3,0,0,'Données projet'!$E$10+1,1))</f>
        <v>336.63786714776501</v>
      </c>
      <c r="AO138" s="62">
        <f t="shared" si="144"/>
        <v>208.9883766854885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2.7</v>
      </c>
      <c r="BD138" s="13">
        <f>IF('Données projet'!$A$88&gt;35,BD137+BC138-BL137,IF(A138&lt;'Données projet'!$A$88,$BA$205^A138,IF(A138='Données projet'!$A$88,'Données projet'!$B$88,BD137+BC138-BL137)))</f>
        <v>282.49999999999932</v>
      </c>
      <c r="BE138" s="14">
        <f>BD138*VLOOKUP('Données projet'!$B$11,Paramètres!$A$1:$I$89,3,0)*VLOOKUP('Données projet'!$B$11,Paramètres!$A$1:$I$89,5,0)</f>
        <v>273.23399999999936</v>
      </c>
      <c r="BF138" s="14">
        <f t="shared" si="145"/>
        <v>65.535129378020301</v>
      </c>
      <c r="BG138" s="22">
        <f t="shared" si="115"/>
        <v>590.0229003333842</v>
      </c>
      <c r="BH138" s="62">
        <f t="shared" si="116"/>
        <v>883.35623366671757</v>
      </c>
      <c r="BI138" s="62">
        <f ca="1">AVERAGE(OFFSET($BH$3,0,0,'Données projet'!$E$11+1,1))-AVERAGE(OFFSET($H$3,0,0,'Données projet'!$E$11+1,1))</f>
        <v>363.29716504383265</v>
      </c>
      <c r="BJ138" s="62">
        <f t="shared" si="146"/>
        <v>223.12394672673923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1.1368683772161603E-13</v>
      </c>
      <c r="BZ138" s="14">
        <f>BY138*VLOOKUP('Données projet'!$B$12,Paramètres!$A$1:$I$89,3,0)*VLOOKUP('Données projet'!$B$12,Paramètres!$A$1:$I$89,5,0)</f>
        <v>8.8675733422860506E-14</v>
      </c>
      <c r="CA138" s="14">
        <f t="shared" si="147"/>
        <v>1.3509285393066301E-12</v>
      </c>
      <c r="CB138" s="22">
        <f t="shared" si="118"/>
        <v>2.5073107750038623E-12</v>
      </c>
      <c r="CC138" s="62">
        <f t="shared" si="119"/>
        <v>293.33333333333582</v>
      </c>
      <c r="CD138" s="62">
        <f ca="1">AVERAGE(OFFSET($CC$3,0,0,'Données projet'!$E$12+1,1))-AVERAGE(OFFSET($H$3,0,0,'Données projet'!$E$12+1,1))</f>
        <v>249.25370091019835</v>
      </c>
      <c r="CE138" s="62">
        <f t="shared" si="148"/>
        <v>245.46410820099908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6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2">
        <f t="shared" si="140"/>
        <v>20.726714411291841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9">
        <f t="shared" si="110"/>
        <v>422.09489426633343</v>
      </c>
      <c r="I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-2.8421709430404007E-14</v>
      </c>
      <c r="O139" s="14">
        <f>N139*VLOOKUP('Données projet'!$B$9,Paramètres!$A$1:$I$89,3,0)*VLOOKUP('Données projet'!$B$9,Paramètres!$A$1:$I$89,5,0)</f>
        <v>-2.5715962692629544E-14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216.22465631364315</v>
      </c>
      <c r="T139" s="62">
        <f t="shared" si="142"/>
        <v>304.27938609150095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2.7</v>
      </c>
      <c r="AI139" s="14">
        <f>IF('Données projet'!$A$62&gt;35,AI138+AH139-AQ138,IF(A139&lt;'Données projet'!$A$62,$AF$205^A139,IF(A139='Données projet'!$A$62,'Données projet'!$B$62,AI138+AH139-AQ138)))</f>
        <v>285.19999999999931</v>
      </c>
      <c r="AJ139" s="14">
        <f>AI139*VLOOKUP('Données projet'!$B$10,Paramètres!$A$1:$I$89,3,0)*VLOOKUP('Données projet'!$B$10,Paramètres!$A$1:$I$89,5,0)</f>
        <v>258.0489599999994</v>
      </c>
      <c r="AK139" s="14">
        <f t="shared" si="143"/>
        <v>62.306312932555649</v>
      </c>
      <c r="AL139" s="22">
        <f t="shared" si="112"/>
        <v>557.95210035753337</v>
      </c>
      <c r="AM139" s="62">
        <f t="shared" si="113"/>
        <v>851.28543369086674</v>
      </c>
      <c r="AN139" s="62">
        <f ca="1">AVERAGE(OFFSET($AM$3,0,0,'Données projet'!$E$10+1,1))-AVERAGE(OFFSET($H$3,0,0,'Données projet'!$E$10+1,1))</f>
        <v>336.63786714776501</v>
      </c>
      <c r="AO139" s="62">
        <f t="shared" si="144"/>
        <v>208.9883766854885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2.7</v>
      </c>
      <c r="BD139" s="13">
        <f>IF('Données projet'!$A$88&gt;35,BD138+BC139-BL138,IF(A139&lt;'Données projet'!$A$88,$BA$205^A139,IF(A139='Données projet'!$A$88,'Données projet'!$B$88,BD138+BC139-BL138)))</f>
        <v>285.19999999999931</v>
      </c>
      <c r="BE139" s="14">
        <f>BD139*VLOOKUP('Données projet'!$B$11,Paramètres!$A$1:$I$89,3,0)*VLOOKUP('Données projet'!$B$11,Paramètres!$A$1:$I$89,5,0)</f>
        <v>275.84543999999931</v>
      </c>
      <c r="BF139" s="14">
        <f t="shared" si="145"/>
        <v>66.088268521855113</v>
      </c>
      <c r="BG139" s="22">
        <f t="shared" si="115"/>
        <v>595.53454234222977</v>
      </c>
      <c r="BH139" s="62">
        <f t="shared" si="116"/>
        <v>888.86787567556303</v>
      </c>
      <c r="BI139" s="62">
        <f ca="1">AVERAGE(OFFSET($BH$3,0,0,'Données projet'!$E$11+1,1))-AVERAGE(OFFSET($H$3,0,0,'Données projet'!$E$11+1,1))</f>
        <v>363.29716504383265</v>
      </c>
      <c r="BJ139" s="62">
        <f t="shared" si="146"/>
        <v>223.12394672673923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1.1368683772161603E-13</v>
      </c>
      <c r="BZ139" s="14">
        <f>BY139*VLOOKUP('Données projet'!$B$12,Paramètres!$A$1:$I$89,3,0)*VLOOKUP('Données projet'!$B$12,Paramètres!$A$1:$I$89,5,0)</f>
        <v>8.8675733422860506E-14</v>
      </c>
      <c r="CA139" s="14">
        <f t="shared" si="147"/>
        <v>1.3509285393066301E-12</v>
      </c>
      <c r="CB139" s="22">
        <f t="shared" si="118"/>
        <v>2.5073107750038623E-12</v>
      </c>
      <c r="CC139" s="62">
        <f t="shared" si="119"/>
        <v>293.33333333333582</v>
      </c>
      <c r="CD139" s="62">
        <f ca="1">AVERAGE(OFFSET($CC$3,0,0,'Données projet'!$E$12+1,1))-AVERAGE(OFFSET($H$3,0,0,'Données projet'!$E$12+1,1))</f>
        <v>249.25370091019835</v>
      </c>
      <c r="CE139" s="62">
        <f t="shared" si="148"/>
        <v>245.46410820099908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6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2">
        <f t="shared" si="140"/>
        <v>20.861319623408168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9">
        <f t="shared" si="110"/>
        <v>423.28028167743605</v>
      </c>
      <c r="I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-2.8421709430404007E-14</v>
      </c>
      <c r="O140" s="14">
        <f>N140*VLOOKUP('Données projet'!$B$9,Paramètres!$A$1:$I$89,3,0)*VLOOKUP('Données projet'!$B$9,Paramètres!$A$1:$I$89,5,0)</f>
        <v>-2.5715962692629544E-14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216.22465631364315</v>
      </c>
      <c r="T140" s="62">
        <f t="shared" si="142"/>
        <v>304.27938609150095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2.7</v>
      </c>
      <c r="AI140" s="14">
        <f>IF('Données projet'!$A$62&gt;35,AI139+AH140-AQ139,IF(A140&lt;'Données projet'!$A$62,$AF$205^A140,IF(A140='Données projet'!$A$62,'Données projet'!$B$62,AI139+AH140-AQ139)))</f>
        <v>287.8999999999993</v>
      </c>
      <c r="AJ140" s="14">
        <f>AI140*VLOOKUP('Données projet'!$B$10,Paramètres!$A$1:$I$89,3,0)*VLOOKUP('Données projet'!$B$10,Paramètres!$A$1:$I$89,5,0)</f>
        <v>260.49191999999937</v>
      </c>
      <c r="AK140" s="14">
        <f t="shared" si="143"/>
        <v>62.827223883029681</v>
      </c>
      <c r="AL140" s="22">
        <f t="shared" si="112"/>
        <v>563.11417559627546</v>
      </c>
      <c r="AM140" s="62">
        <f t="shared" si="113"/>
        <v>856.44750892960883</v>
      </c>
      <c r="AN140" s="62">
        <f ca="1">AVERAGE(OFFSET($AM$3,0,0,'Données projet'!$E$10+1,1))-AVERAGE(OFFSET($H$3,0,0,'Données projet'!$E$10+1,1))</f>
        <v>336.63786714776501</v>
      </c>
      <c r="AO140" s="62">
        <f t="shared" si="144"/>
        <v>208.9883766854885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2.7</v>
      </c>
      <c r="BD140" s="13">
        <f>IF('Données projet'!$A$88&gt;35,BD139+BC140-BL139,IF(A140&lt;'Données projet'!$A$88,$BA$205^A140,IF(A140='Données projet'!$A$88,'Données projet'!$B$88,BD139+BC140-BL139)))</f>
        <v>287.8999999999993</v>
      </c>
      <c r="BE140" s="14">
        <f>BD140*VLOOKUP('Données projet'!$B$11,Paramètres!$A$1:$I$89,3,0)*VLOOKUP('Données projet'!$B$11,Paramètres!$A$1:$I$89,5,0)</f>
        <v>278.45687999999933</v>
      </c>
      <c r="BF140" s="14">
        <f t="shared" si="145"/>
        <v>66.640798452620999</v>
      </c>
      <c r="BG140" s="22">
        <f t="shared" si="115"/>
        <v>601.04512330498039</v>
      </c>
      <c r="BH140" s="62">
        <f t="shared" si="116"/>
        <v>894.37845663831376</v>
      </c>
      <c r="BI140" s="62">
        <f ca="1">AVERAGE(OFFSET($BH$3,0,0,'Données projet'!$E$11+1,1))-AVERAGE(OFFSET($H$3,0,0,'Données projet'!$E$11+1,1))</f>
        <v>363.29716504383265</v>
      </c>
      <c r="BJ140" s="62">
        <f t="shared" si="146"/>
        <v>223.12394672673923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1.1368683772161603E-13</v>
      </c>
      <c r="BZ140" s="14">
        <f>BY140*VLOOKUP('Données projet'!$B$12,Paramètres!$A$1:$I$89,3,0)*VLOOKUP('Données projet'!$B$12,Paramètres!$A$1:$I$89,5,0)</f>
        <v>8.8675733422860506E-14</v>
      </c>
      <c r="CA140" s="14">
        <f t="shared" si="147"/>
        <v>1.3509285393066301E-12</v>
      </c>
      <c r="CB140" s="22">
        <f t="shared" si="118"/>
        <v>2.5073107750038623E-12</v>
      </c>
      <c r="CC140" s="62">
        <f t="shared" si="119"/>
        <v>293.33333333333582</v>
      </c>
      <c r="CD140" s="62">
        <f ca="1">AVERAGE(OFFSET($CC$3,0,0,'Données projet'!$E$12+1,1))-AVERAGE(OFFSET($H$3,0,0,'Données projet'!$E$12+1,1))</f>
        <v>249.25370091019835</v>
      </c>
      <c r="CE140" s="62">
        <f t="shared" si="148"/>
        <v>245.46410820099908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6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2">
        <f t="shared" si="140"/>
        <v>20.995810517717057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9">
        <f t="shared" si="110"/>
        <v>424.46546998502401</v>
      </c>
      <c r="I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-2.8421709430404007E-14</v>
      </c>
      <c r="O141" s="14">
        <f>N141*VLOOKUP('Données projet'!$B$9,Paramètres!$A$1:$I$89,3,0)*VLOOKUP('Données projet'!$B$9,Paramètres!$A$1:$I$89,5,0)</f>
        <v>-2.5715962692629544E-14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216.22465631364315</v>
      </c>
      <c r="T141" s="62">
        <f t="shared" si="142"/>
        <v>304.27938609150095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2.7</v>
      </c>
      <c r="AI141" s="14">
        <f>IF('Données projet'!$A$62&gt;35,AI140+AH141-AQ140,IF(A141&lt;'Données projet'!$A$62,$AF$205^A141,IF(A141='Données projet'!$A$62,'Données projet'!$B$62,AI140+AH141-AQ140)))</f>
        <v>290.59999999999928</v>
      </c>
      <c r="AJ141" s="14">
        <f>AI141*VLOOKUP('Données projet'!$B$10,Paramètres!$A$1:$I$89,3,0)*VLOOKUP('Données projet'!$B$10,Paramètres!$A$1:$I$89,5,0)</f>
        <v>262.93487999999934</v>
      </c>
      <c r="AK141" s="14">
        <f t="shared" si="143"/>
        <v>63.347566493432652</v>
      </c>
      <c r="AL141" s="22">
        <f t="shared" si="112"/>
        <v>568.27526097606062</v>
      </c>
      <c r="AM141" s="62">
        <f t="shared" si="113"/>
        <v>861.60859430939399</v>
      </c>
      <c r="AN141" s="62">
        <f ca="1">AVERAGE(OFFSET($AM$3,0,0,'Données projet'!$E$10+1,1))-AVERAGE(OFFSET($H$3,0,0,'Données projet'!$E$10+1,1))</f>
        <v>336.63786714776501</v>
      </c>
      <c r="AO141" s="62">
        <f t="shared" si="144"/>
        <v>208.9883766854885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2.7</v>
      </c>
      <c r="BD141" s="13">
        <f>IF('Données projet'!$A$88&gt;35,BD140+BC141-BL140,IF(A141&lt;'Données projet'!$A$88,$BA$205^A141,IF(A141='Données projet'!$A$88,'Données projet'!$B$88,BD140+BC141-BL140)))</f>
        <v>290.59999999999928</v>
      </c>
      <c r="BE141" s="14">
        <f>BD141*VLOOKUP('Données projet'!$B$11,Paramètres!$A$1:$I$89,3,0)*VLOOKUP('Données projet'!$B$11,Paramètres!$A$1:$I$89,5,0)</f>
        <v>281.06831999999929</v>
      </c>
      <c r="BF141" s="14">
        <f t="shared" si="145"/>
        <v>67.192725545416536</v>
      </c>
      <c r="BG141" s="22">
        <f t="shared" si="115"/>
        <v>606.55465432493247</v>
      </c>
      <c r="BH141" s="62">
        <f t="shared" si="116"/>
        <v>899.88798765826573</v>
      </c>
      <c r="BI141" s="62">
        <f ca="1">AVERAGE(OFFSET($BH$3,0,0,'Données projet'!$E$11+1,1))-AVERAGE(OFFSET($H$3,0,0,'Données projet'!$E$11+1,1))</f>
        <v>363.29716504383265</v>
      </c>
      <c r="BJ141" s="62">
        <f t="shared" si="146"/>
        <v>223.12394672673923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1.1368683772161603E-13</v>
      </c>
      <c r="BZ141" s="14">
        <f>BY141*VLOOKUP('Données projet'!$B$12,Paramètres!$A$1:$I$89,3,0)*VLOOKUP('Données projet'!$B$12,Paramètres!$A$1:$I$89,5,0)</f>
        <v>8.8675733422860506E-14</v>
      </c>
      <c r="CA141" s="14">
        <f t="shared" si="147"/>
        <v>1.3509285393066301E-12</v>
      </c>
      <c r="CB141" s="22">
        <f t="shared" si="118"/>
        <v>2.5073107750038623E-12</v>
      </c>
      <c r="CC141" s="62">
        <f t="shared" si="119"/>
        <v>293.33333333333582</v>
      </c>
      <c r="CD141" s="62">
        <f ca="1">AVERAGE(OFFSET($CC$3,0,0,'Données projet'!$E$12+1,1))-AVERAGE(OFFSET($H$3,0,0,'Données projet'!$E$12+1,1))</f>
        <v>249.25370091019835</v>
      </c>
      <c r="CE141" s="62">
        <f t="shared" si="148"/>
        <v>245.46410820099908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6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2">
        <f t="shared" si="140"/>
        <v>21.130188018659304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9">
        <f t="shared" si="110"/>
        <v>425.6504607991651</v>
      </c>
      <c r="I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-2.8421709430404007E-14</v>
      </c>
      <c r="O142" s="14">
        <f>N142*VLOOKUP('Données projet'!$B$9,Paramètres!$A$1:$I$89,3,0)*VLOOKUP('Données projet'!$B$9,Paramètres!$A$1:$I$89,5,0)</f>
        <v>-2.5715962692629544E-14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216.22465631364315</v>
      </c>
      <c r="T142" s="62">
        <f t="shared" si="142"/>
        <v>304.27938609150095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2.7</v>
      </c>
      <c r="AI142" s="14">
        <f>IF('Données projet'!$A$62&gt;35,AI141+AH142-AQ141,IF(A142&lt;'Données projet'!$A$62,$AF$205^A142,IF(A142='Données projet'!$A$62,'Données projet'!$B$62,AI141+AH142-AQ141)))</f>
        <v>293.29999999999927</v>
      </c>
      <c r="AJ142" s="14">
        <f>AI142*VLOOKUP('Données projet'!$B$10,Paramètres!$A$1:$I$89,3,0)*VLOOKUP('Données projet'!$B$10,Paramètres!$A$1:$I$89,5,0)</f>
        <v>265.37783999999937</v>
      </c>
      <c r="AK142" s="14">
        <f t="shared" si="143"/>
        <v>63.867346655917089</v>
      </c>
      <c r="AL142" s="22">
        <f t="shared" si="112"/>
        <v>573.43536675905443</v>
      </c>
      <c r="AM142" s="62">
        <f t="shared" si="113"/>
        <v>866.76870009238769</v>
      </c>
      <c r="AN142" s="62">
        <f ca="1">AVERAGE(OFFSET($AM$3,0,0,'Données projet'!$E$10+1,1))-AVERAGE(OFFSET($H$3,0,0,'Données projet'!$E$10+1,1))</f>
        <v>336.63786714776501</v>
      </c>
      <c r="AO142" s="62">
        <f t="shared" si="144"/>
        <v>208.9883766854885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2.7</v>
      </c>
      <c r="BD142" s="13">
        <f>IF('Données projet'!$A$88&gt;35,BD141+BC142-BL141,IF(A142&lt;'Données projet'!$A$88,$BA$205^A142,IF(A142='Données projet'!$A$88,'Données projet'!$B$88,BD141+BC142-BL141)))</f>
        <v>293.29999999999927</v>
      </c>
      <c r="BE142" s="14">
        <f>BD142*VLOOKUP('Données projet'!$B$11,Paramètres!$A$1:$I$89,3,0)*VLOOKUP('Données projet'!$B$11,Paramètres!$A$1:$I$89,5,0)</f>
        <v>283.67975999999931</v>
      </c>
      <c r="BF142" s="14">
        <f t="shared" si="145"/>
        <v>67.74405605004435</v>
      </c>
      <c r="BG142" s="22">
        <f t="shared" si="115"/>
        <v>612.06314628715938</v>
      </c>
      <c r="BH142" s="62">
        <f t="shared" si="116"/>
        <v>905.39647962049276</v>
      </c>
      <c r="BI142" s="62">
        <f ca="1">AVERAGE(OFFSET($BH$3,0,0,'Données projet'!$E$11+1,1))-AVERAGE(OFFSET($H$3,0,0,'Données projet'!$E$11+1,1))</f>
        <v>363.29716504383265</v>
      </c>
      <c r="BJ142" s="62">
        <f t="shared" si="146"/>
        <v>223.12394672673923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1.1368683772161603E-13</v>
      </c>
      <c r="BZ142" s="14">
        <f>BY142*VLOOKUP('Données projet'!$B$12,Paramètres!$A$1:$I$89,3,0)*VLOOKUP('Données projet'!$B$12,Paramètres!$A$1:$I$89,5,0)</f>
        <v>8.8675733422860506E-14</v>
      </c>
      <c r="CA142" s="14">
        <f t="shared" si="147"/>
        <v>1.3509285393066301E-12</v>
      </c>
      <c r="CB142" s="22">
        <f t="shared" si="118"/>
        <v>2.5073107750038623E-12</v>
      </c>
      <c r="CC142" s="62">
        <f t="shared" si="119"/>
        <v>293.33333333333582</v>
      </c>
      <c r="CD142" s="62">
        <f ca="1">AVERAGE(OFFSET($CC$3,0,0,'Données projet'!$E$12+1,1))-AVERAGE(OFFSET($H$3,0,0,'Données projet'!$E$12+1,1))</f>
        <v>249.25370091019835</v>
      </c>
      <c r="CE142" s="62">
        <f t="shared" si="148"/>
        <v>245.46410820099908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6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2">
        <f t="shared" si="140"/>
        <v>21.264453036605797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9">
        <f t="shared" si="110"/>
        <v>426.8352557054219</v>
      </c>
      <c r="I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-2.8421709430404007E-14</v>
      </c>
      <c r="O143" s="14">
        <f>N143*VLOOKUP('Données projet'!$B$9,Paramètres!$A$1:$I$89,3,0)*VLOOKUP('Données projet'!$B$9,Paramètres!$A$1:$I$89,5,0)</f>
        <v>-2.5715962692629544E-14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216.22465631364315</v>
      </c>
      <c r="T143" s="62">
        <f t="shared" si="142"/>
        <v>304.27938609150095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>
        <f>VLOOKUP(A143,'Données projet'!$A$61:$I$81,2,0)</f>
        <v>296</v>
      </c>
      <c r="AG143" s="13">
        <f>VLOOKUP(A143,'Données projet'!$A$61:$I$81,9,0)</f>
        <v>2.7</v>
      </c>
      <c r="AH143" s="13">
        <f t="array" ref="AH143">INDEX(AG:AG,MIN(IF(ISNUMBER(AG143:AG339),ROW(AG143:AG339),"")))</f>
        <v>2.7</v>
      </c>
      <c r="AI143" s="14">
        <f>IF('Données projet'!$A$62&gt;35,AI142+AH143-AQ142,IF(A143&lt;'Données projet'!$A$62,$AF$205^A143,IF(A143='Données projet'!$A$62,'Données projet'!$B$62,AI142+AH143-AQ142)))</f>
        <v>295.99999999999926</v>
      </c>
      <c r="AJ143" s="14">
        <f>AI143*VLOOKUP('Données projet'!$B$10,Paramètres!$A$1:$I$89,3,0)*VLOOKUP('Données projet'!$B$10,Paramètres!$A$1:$I$89,5,0)</f>
        <v>267.82079999999934</v>
      </c>
      <c r="AK143" s="14">
        <f t="shared" si="143"/>
        <v>64.386570147897245</v>
      </c>
      <c r="AL143" s="22">
        <f t="shared" si="112"/>
        <v>578.59450300758647</v>
      </c>
      <c r="AM143" s="62">
        <f t="shared" si="113"/>
        <v>871.92783634091984</v>
      </c>
      <c r="AN143" s="62">
        <f ca="1">AVERAGE(OFFSET($AM$3,0,0,'Données projet'!$E$10+1,1))-AVERAGE(OFFSET($H$3,0,0,'Données projet'!$E$10+1,1))</f>
        <v>336.63786714776501</v>
      </c>
      <c r="AO143" s="62">
        <f t="shared" si="144"/>
        <v>208.9883766854885</v>
      </c>
      <c r="AP143" s="16">
        <f>IF(ISNA(VLOOKUP(A143,'Données projet'!$A$61:$I$81,3,0)),0,VLOOKUP(A143,'Données projet'!$A$61:$I$81,3,0))</f>
        <v>12</v>
      </c>
      <c r="AQ143" s="16">
        <f>IF(ISNA(VLOOKUP(A143,'Données projet'!$A$61:$I$81,4,0)),0,VLOOKUP(A143,'Données projet'!$A$61:$I$81,4,0))</f>
        <v>27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>
        <f>VLOOKUP(A143,'Données projet'!$A$87:$I$107,2,0)</f>
        <v>296</v>
      </c>
      <c r="BB143" s="13">
        <f>VLOOKUP(A143,'Données projet'!$A$87:$I$107,9,0)</f>
        <v>2.7</v>
      </c>
      <c r="BC143" s="13">
        <f t="array" ref="BC143">INDEX(BB:BB,MIN(IF(ISNUMBER(BB143:BB339),ROW(BB143:BB339),"")))</f>
        <v>2.7</v>
      </c>
      <c r="BD143" s="13">
        <f>IF('Données projet'!$A$88&gt;35,BD142+BC143-BL142,IF(A143&lt;'Données projet'!$A$88,$BA$205^A143,IF(A143='Données projet'!$A$88,'Données projet'!$B$88,BD142+BC143-BL142)))</f>
        <v>295.99999999999926</v>
      </c>
      <c r="BE143" s="14">
        <f>BD143*VLOOKUP('Données projet'!$B$11,Paramètres!$A$1:$I$89,3,0)*VLOOKUP('Données projet'!$B$11,Paramètres!$A$1:$I$89,5,0)</f>
        <v>286.29119999999926</v>
      </c>
      <c r="BF143" s="14">
        <f t="shared" si="145"/>
        <v>68.294796094604223</v>
      </c>
      <c r="BG143" s="22">
        <f t="shared" si="115"/>
        <v>617.57060986476779</v>
      </c>
      <c r="BH143" s="62">
        <f t="shared" si="116"/>
        <v>910.90394319810116</v>
      </c>
      <c r="BI143" s="62">
        <f ca="1">AVERAGE(OFFSET($BH$3,0,0,'Données projet'!$E$11+1,1))-AVERAGE(OFFSET($H$3,0,0,'Données projet'!$E$11+1,1))</f>
        <v>363.29716504383265</v>
      </c>
      <c r="BJ143" s="62">
        <f t="shared" si="146"/>
        <v>223.12394672673923</v>
      </c>
      <c r="BK143" s="16">
        <f>IF(ISNA(VLOOKUP(A143,'Données projet'!$A$87:$I$107,3,0)),0,VLOOKUP(A143,'Données projet'!$A$87:$I$107,3,0))</f>
        <v>12</v>
      </c>
      <c r="BL143" s="16">
        <f>IF(ISNA(VLOOKUP(A143,'Données projet'!$A$87:$I$107,4,0)),0,VLOOKUP(A143,'Données projet'!$A$87:$I$107,4,0))</f>
        <v>27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1.1368683772161603E-13</v>
      </c>
      <c r="BZ143" s="14">
        <f>BY143*VLOOKUP('Données projet'!$B$12,Paramètres!$A$1:$I$89,3,0)*VLOOKUP('Données projet'!$B$12,Paramètres!$A$1:$I$89,5,0)</f>
        <v>8.8675733422860506E-14</v>
      </c>
      <c r="CA143" s="14">
        <f t="shared" si="147"/>
        <v>1.3509285393066301E-12</v>
      </c>
      <c r="CB143" s="22">
        <f t="shared" si="118"/>
        <v>2.5073107750038623E-12</v>
      </c>
      <c r="CC143" s="62">
        <f t="shared" si="119"/>
        <v>293.33333333333582</v>
      </c>
      <c r="CD143" s="62">
        <f ca="1">AVERAGE(OFFSET($CC$3,0,0,'Données projet'!$E$12+1,1))-AVERAGE(OFFSET($H$3,0,0,'Données projet'!$E$12+1,1))</f>
        <v>249.25370091019835</v>
      </c>
      <c r="CE143" s="62">
        <f t="shared" si="148"/>
        <v>245.46410820099908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6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2">
        <f t="shared" si="140"/>
        <v>21.39860646817062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9">
        <f t="shared" si="110"/>
        <v>428.01985626539732</v>
      </c>
      <c r="I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-2.8421709430404007E-14</v>
      </c>
      <c r="O144" s="14">
        <f>N144*VLOOKUP('Données projet'!$B$9,Paramètres!$A$1:$I$89,3,0)*VLOOKUP('Données projet'!$B$9,Paramètres!$A$1:$I$89,5,0)</f>
        <v>-2.5715962692629544E-14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216.22465631364315</v>
      </c>
      <c r="T144" s="62">
        <f t="shared" si="142"/>
        <v>304.27938609150095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2.4</v>
      </c>
      <c r="AI144" s="14">
        <f>IF('Données projet'!$A$62&gt;35,AI143+AH144-AQ143,IF(A144&lt;'Données projet'!$A$62,$AF$205^A144,IF(A144='Données projet'!$A$62,'Données projet'!$B$62,AI143+AH144-AQ143)))</f>
        <v>271.39999999999924</v>
      </c>
      <c r="AJ144" s="14">
        <f>AI144*VLOOKUP('Données projet'!$B$10,Paramètres!$A$1:$I$89,3,0)*VLOOKUP('Données projet'!$B$10,Paramètres!$A$1:$I$89,5,0)</f>
        <v>245.5627199999993</v>
      </c>
      <c r="AK144" s="14">
        <f t="shared" si="143"/>
        <v>59.634776048276741</v>
      </c>
      <c r="AL144" s="22">
        <f t="shared" si="112"/>
        <v>531.55230561741405</v>
      </c>
      <c r="AM144" s="62">
        <f t="shared" si="113"/>
        <v>824.88563895074731</v>
      </c>
      <c r="AN144" s="62">
        <f ca="1">AVERAGE(OFFSET($AM$3,0,0,'Données projet'!$E$10+1,1))-AVERAGE(OFFSET($H$3,0,0,'Données projet'!$E$10+1,1))</f>
        <v>336.63786714776501</v>
      </c>
      <c r="AO144" s="62">
        <f t="shared" si="144"/>
        <v>208.9883766854885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2.4</v>
      </c>
      <c r="BD144" s="13">
        <f>IF('Données projet'!$A$88&gt;35,BD143+BC144-BL143,IF(A144&lt;'Données projet'!$A$88,$BA$205^A144,IF(A144='Données projet'!$A$88,'Données projet'!$B$88,BD143+BC144-BL143)))</f>
        <v>271.39999999999924</v>
      </c>
      <c r="BE144" s="14">
        <f>BD144*VLOOKUP('Données projet'!$B$11,Paramètres!$A$1:$I$89,3,0)*VLOOKUP('Données projet'!$B$11,Paramètres!$A$1:$I$89,5,0)</f>
        <v>262.49807999999928</v>
      </c>
      <c r="BF144" s="14">
        <f t="shared" si="145"/>
        <v>63.254570961137979</v>
      </c>
      <c r="BG144" s="22">
        <f t="shared" si="115"/>
        <v>567.35253375731406</v>
      </c>
      <c r="BH144" s="62">
        <f t="shared" si="116"/>
        <v>860.68586709064743</v>
      </c>
      <c r="BI144" s="62">
        <f ca="1">AVERAGE(OFFSET($BH$3,0,0,'Données projet'!$E$11+1,1))-AVERAGE(OFFSET($H$3,0,0,'Données projet'!$E$11+1,1))</f>
        <v>363.29716504383265</v>
      </c>
      <c r="BJ144" s="62">
        <f t="shared" si="146"/>
        <v>223.12394672673923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1.1368683772161603E-13</v>
      </c>
      <c r="BZ144" s="14">
        <f>BY144*VLOOKUP('Données projet'!$B$12,Paramètres!$A$1:$I$89,3,0)*VLOOKUP('Données projet'!$B$12,Paramètres!$A$1:$I$89,5,0)</f>
        <v>8.8675733422860506E-14</v>
      </c>
      <c r="CA144" s="14">
        <f t="shared" si="147"/>
        <v>1.3509285393066301E-12</v>
      </c>
      <c r="CB144" s="22">
        <f t="shared" si="118"/>
        <v>2.5073107750038623E-12</v>
      </c>
      <c r="CC144" s="62">
        <f t="shared" si="119"/>
        <v>293.33333333333582</v>
      </c>
      <c r="CD144" s="62">
        <f ca="1">AVERAGE(OFFSET($CC$3,0,0,'Données projet'!$E$12+1,1))-AVERAGE(OFFSET($H$3,0,0,'Données projet'!$E$12+1,1))</f>
        <v>249.25370091019835</v>
      </c>
      <c r="CE144" s="62">
        <f t="shared" si="148"/>
        <v>245.46410820099908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6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2">
        <f t="shared" si="140"/>
        <v>21.532649196514924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9">
        <f t="shared" si="110"/>
        <v>429.20426401726365</v>
      </c>
      <c r="I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-2.8421709430404007E-14</v>
      </c>
      <c r="O145" s="14">
        <f>N145*VLOOKUP('Données projet'!$B$9,Paramètres!$A$1:$I$89,3,0)*VLOOKUP('Données projet'!$B$9,Paramètres!$A$1:$I$89,5,0)</f>
        <v>-2.5715962692629544E-14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216.22465631364315</v>
      </c>
      <c r="T145" s="62">
        <f t="shared" si="142"/>
        <v>304.27938609150095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2.4</v>
      </c>
      <c r="AI145" s="14">
        <f>IF('Données projet'!$A$62&gt;35,AI144+AH145-AQ144,IF(A145&lt;'Données projet'!$A$62,$AF$205^A145,IF(A145='Données projet'!$A$62,'Données projet'!$B$62,AI144+AH145-AQ144)))</f>
        <v>273.79999999999922</v>
      </c>
      <c r="AJ145" s="14">
        <f>AI145*VLOOKUP('Données projet'!$B$10,Paramètres!$A$1:$I$89,3,0)*VLOOKUP('Données projet'!$B$10,Paramètres!$A$1:$I$89,5,0)</f>
        <v>247.73423999999929</v>
      </c>
      <c r="AK145" s="14">
        <f t="shared" si="143"/>
        <v>60.100505665694953</v>
      </c>
      <c r="AL145" s="22">
        <f t="shared" si="112"/>
        <v>536.14551536775082</v>
      </c>
      <c r="AM145" s="62">
        <f t="shared" si="113"/>
        <v>829.47884870108419</v>
      </c>
      <c r="AN145" s="62">
        <f ca="1">AVERAGE(OFFSET($AM$3,0,0,'Données projet'!$E$10+1,1))-AVERAGE(OFFSET($H$3,0,0,'Données projet'!$E$10+1,1))</f>
        <v>336.63786714776501</v>
      </c>
      <c r="AO145" s="62">
        <f t="shared" si="144"/>
        <v>208.9883766854885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2.4</v>
      </c>
      <c r="BD145" s="13">
        <f>IF('Données projet'!$A$88&gt;35,BD144+BC145-BL144,IF(A145&lt;'Données projet'!$A$88,$BA$205^A145,IF(A145='Données projet'!$A$88,'Données projet'!$B$88,BD144+BC145-BL144)))</f>
        <v>273.79999999999922</v>
      </c>
      <c r="BE145" s="14">
        <f>BD145*VLOOKUP('Données projet'!$B$11,Paramètres!$A$1:$I$89,3,0)*VLOOKUP('Données projet'!$B$11,Paramètres!$A$1:$I$89,5,0)</f>
        <v>264.81935999999928</v>
      </c>
      <c r="BF145" s="14">
        <f t="shared" si="145"/>
        <v>63.748570085236892</v>
      </c>
      <c r="BG145" s="22">
        <f t="shared" si="115"/>
        <v>572.25581156511964</v>
      </c>
      <c r="BH145" s="62">
        <f t="shared" si="116"/>
        <v>865.58914489845301</v>
      </c>
      <c r="BI145" s="62">
        <f ca="1">AVERAGE(OFFSET($BH$3,0,0,'Données projet'!$E$11+1,1))-AVERAGE(OFFSET($H$3,0,0,'Données projet'!$E$11+1,1))</f>
        <v>363.29716504383265</v>
      </c>
      <c r="BJ145" s="62">
        <f t="shared" si="146"/>
        <v>223.12394672673923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1.1368683772161603E-13</v>
      </c>
      <c r="BZ145" s="14">
        <f>BY145*VLOOKUP('Données projet'!$B$12,Paramètres!$A$1:$I$89,3,0)*VLOOKUP('Données projet'!$B$12,Paramètres!$A$1:$I$89,5,0)</f>
        <v>8.8675733422860506E-14</v>
      </c>
      <c r="CA145" s="14">
        <f t="shared" si="147"/>
        <v>1.3509285393066301E-12</v>
      </c>
      <c r="CB145" s="22">
        <f t="shared" si="118"/>
        <v>2.5073107750038623E-12</v>
      </c>
      <c r="CC145" s="62">
        <f t="shared" si="119"/>
        <v>293.33333333333582</v>
      </c>
      <c r="CD145" s="62">
        <f ca="1">AVERAGE(OFFSET($CC$3,0,0,'Données projet'!$E$12+1,1))-AVERAGE(OFFSET($H$3,0,0,'Données projet'!$E$12+1,1))</f>
        <v>249.25370091019835</v>
      </c>
      <c r="CE145" s="62">
        <f t="shared" si="148"/>
        <v>245.46410820099908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6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2">
        <f t="shared" si="140"/>
        <v>21.666582091642102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9">
        <f t="shared" si="110"/>
        <v>430.38848047627687</v>
      </c>
      <c r="I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-2.8421709430404007E-14</v>
      </c>
      <c r="O146" s="14">
        <f>N146*VLOOKUP('Données projet'!$B$9,Paramètres!$A$1:$I$89,3,0)*VLOOKUP('Données projet'!$B$9,Paramètres!$A$1:$I$89,5,0)</f>
        <v>-2.5715962692629544E-14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216.22465631364315</v>
      </c>
      <c r="T146" s="62">
        <f t="shared" si="142"/>
        <v>304.27938609150095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2.4</v>
      </c>
      <c r="AI146" s="14">
        <f>IF('Données projet'!$A$62&gt;35,AI145+AH146-AQ145,IF(A146&lt;'Données projet'!$A$62,$AF$205^A146,IF(A146='Données projet'!$A$62,'Données projet'!$B$62,AI145+AH146-AQ145)))</f>
        <v>276.19999999999919</v>
      </c>
      <c r="AJ146" s="14">
        <f>AI146*VLOOKUP('Données projet'!$B$10,Paramètres!$A$1:$I$89,3,0)*VLOOKUP('Données projet'!$B$10,Paramètres!$A$1:$I$89,5,0)</f>
        <v>249.90575999999925</v>
      </c>
      <c r="AK146" s="14">
        <f t="shared" si="143"/>
        <v>60.565760331923727</v>
      </c>
      <c r="AL146" s="22">
        <f t="shared" si="112"/>
        <v>540.73789791143247</v>
      </c>
      <c r="AM146" s="62">
        <f t="shared" si="113"/>
        <v>834.07123124476584</v>
      </c>
      <c r="AN146" s="62">
        <f ca="1">AVERAGE(OFFSET($AM$3,0,0,'Données projet'!$E$10+1,1))-AVERAGE(OFFSET($H$3,0,0,'Données projet'!$E$10+1,1))</f>
        <v>336.63786714776501</v>
      </c>
      <c r="AO146" s="62">
        <f t="shared" si="144"/>
        <v>208.9883766854885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2.4</v>
      </c>
      <c r="BD146" s="13">
        <f>IF('Données projet'!$A$88&gt;35,BD145+BC146-BL145,IF(A146&lt;'Données projet'!$A$88,$BA$205^A146,IF(A146='Données projet'!$A$88,'Données projet'!$B$88,BD145+BC146-BL145)))</f>
        <v>276.19999999999919</v>
      </c>
      <c r="BE146" s="14">
        <f>BD146*VLOOKUP('Données projet'!$B$11,Paramètres!$A$1:$I$89,3,0)*VLOOKUP('Données projet'!$B$11,Paramètres!$A$1:$I$89,5,0)</f>
        <v>267.14063999999922</v>
      </c>
      <c r="BF146" s="14">
        <f t="shared" si="145"/>
        <v>64.242065428895785</v>
      </c>
      <c r="BG146" s="22">
        <f t="shared" si="115"/>
        <v>577.15821195532533</v>
      </c>
      <c r="BH146" s="62">
        <f t="shared" si="116"/>
        <v>870.4915452886587</v>
      </c>
      <c r="BI146" s="62">
        <f ca="1">AVERAGE(OFFSET($BH$3,0,0,'Données projet'!$E$11+1,1))-AVERAGE(OFFSET($H$3,0,0,'Données projet'!$E$11+1,1))</f>
        <v>363.29716504383265</v>
      </c>
      <c r="BJ146" s="62">
        <f t="shared" si="146"/>
        <v>223.12394672673923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1.1368683772161603E-13</v>
      </c>
      <c r="BZ146" s="14">
        <f>BY146*VLOOKUP('Données projet'!$B$12,Paramètres!$A$1:$I$89,3,0)*VLOOKUP('Données projet'!$B$12,Paramètres!$A$1:$I$89,5,0)</f>
        <v>8.8675733422860506E-14</v>
      </c>
      <c r="CA146" s="14">
        <f t="shared" si="147"/>
        <v>1.3509285393066301E-12</v>
      </c>
      <c r="CB146" s="22">
        <f t="shared" si="118"/>
        <v>2.5073107750038623E-12</v>
      </c>
      <c r="CC146" s="62">
        <f t="shared" si="119"/>
        <v>293.33333333333582</v>
      </c>
      <c r="CD146" s="62">
        <f ca="1">AVERAGE(OFFSET($CC$3,0,0,'Données projet'!$E$12+1,1))-AVERAGE(OFFSET($H$3,0,0,'Données projet'!$E$12+1,1))</f>
        <v>249.25370091019835</v>
      </c>
      <c r="CE146" s="62">
        <f t="shared" si="148"/>
        <v>245.46410820099908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6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2">
        <f t="shared" si="140"/>
        <v>21.800406010684483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9">
        <f t="shared" si="110"/>
        <v>431.57250713527566</v>
      </c>
      <c r="I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-2.8421709430404007E-14</v>
      </c>
      <c r="O147" s="14">
        <f>N147*VLOOKUP('Données projet'!$B$9,Paramètres!$A$1:$I$89,3,0)*VLOOKUP('Données projet'!$B$9,Paramètres!$A$1:$I$89,5,0)</f>
        <v>-2.5715962692629544E-14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216.22465631364315</v>
      </c>
      <c r="T147" s="62">
        <f t="shared" si="142"/>
        <v>304.27938609150095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2.4</v>
      </c>
      <c r="AI147" s="14">
        <f>IF('Données projet'!$A$62&gt;35,AI146+AH147-AQ146,IF(A147&lt;'Données projet'!$A$62,$AF$205^A147,IF(A147='Données projet'!$A$62,'Données projet'!$B$62,AI146+AH147-AQ146)))</f>
        <v>278.59999999999917</v>
      </c>
      <c r="AJ147" s="14">
        <f>AI147*VLOOKUP('Données projet'!$B$10,Paramètres!$A$1:$I$89,3,0)*VLOOKUP('Données projet'!$B$10,Paramètres!$A$1:$I$89,5,0)</f>
        <v>252.07727999999923</v>
      </c>
      <c r="AK147" s="14">
        <f t="shared" si="143"/>
        <v>61.030544652154823</v>
      </c>
      <c r="AL147" s="22">
        <f t="shared" si="112"/>
        <v>545.32946126916829</v>
      </c>
      <c r="AM147" s="62">
        <f t="shared" si="113"/>
        <v>838.66279460250166</v>
      </c>
      <c r="AN147" s="62">
        <f ca="1">AVERAGE(OFFSET($AM$3,0,0,'Données projet'!$E$10+1,1))-AVERAGE(OFFSET($H$3,0,0,'Données projet'!$E$10+1,1))</f>
        <v>336.63786714776501</v>
      </c>
      <c r="AO147" s="62">
        <f t="shared" si="144"/>
        <v>208.9883766854885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2.4</v>
      </c>
      <c r="BD147" s="13">
        <f>IF('Données projet'!$A$88&gt;35,BD146+BC147-BL146,IF(A147&lt;'Données projet'!$A$88,$BA$205^A147,IF(A147='Données projet'!$A$88,'Données projet'!$B$88,BD146+BC147-BL146)))</f>
        <v>278.59999999999917</v>
      </c>
      <c r="BE147" s="14">
        <f>BD147*VLOOKUP('Données projet'!$B$11,Paramètres!$A$1:$I$89,3,0)*VLOOKUP('Données projet'!$B$11,Paramètres!$A$1:$I$89,5,0)</f>
        <v>269.46191999999922</v>
      </c>
      <c r="BF147" s="14">
        <f t="shared" si="145"/>
        <v>64.735061876838927</v>
      </c>
      <c r="BG147" s="22">
        <f t="shared" si="115"/>
        <v>582.05974343549315</v>
      </c>
      <c r="BH147" s="62">
        <f t="shared" si="116"/>
        <v>875.3930767688264</v>
      </c>
      <c r="BI147" s="62">
        <f ca="1">AVERAGE(OFFSET($BH$3,0,0,'Données projet'!$E$11+1,1))-AVERAGE(OFFSET($H$3,0,0,'Données projet'!$E$11+1,1))</f>
        <v>363.29716504383265</v>
      </c>
      <c r="BJ147" s="62">
        <f t="shared" si="146"/>
        <v>223.12394672673923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1.1368683772161603E-13</v>
      </c>
      <c r="BZ147" s="14">
        <f>BY147*VLOOKUP('Données projet'!$B$12,Paramètres!$A$1:$I$89,3,0)*VLOOKUP('Données projet'!$B$12,Paramètres!$A$1:$I$89,5,0)</f>
        <v>8.8675733422860506E-14</v>
      </c>
      <c r="CA147" s="14">
        <f t="shared" si="147"/>
        <v>1.3509285393066301E-12</v>
      </c>
      <c r="CB147" s="22">
        <f t="shared" si="118"/>
        <v>2.5073107750038623E-12</v>
      </c>
      <c r="CC147" s="62">
        <f t="shared" si="119"/>
        <v>293.33333333333582</v>
      </c>
      <c r="CD147" s="62">
        <f ca="1">AVERAGE(OFFSET($CC$3,0,0,'Données projet'!$E$12+1,1))-AVERAGE(OFFSET($H$3,0,0,'Données projet'!$E$12+1,1))</f>
        <v>249.25370091019835</v>
      </c>
      <c r="CE147" s="62">
        <f t="shared" si="148"/>
        <v>245.46410820099908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6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2">
        <f t="shared" si="140"/>
        <v>21.934121798181632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9">
        <f t="shared" si="110"/>
        <v>432.75634546516653</v>
      </c>
      <c r="I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-2.8421709430404007E-14</v>
      </c>
      <c r="O148" s="14">
        <f>N148*VLOOKUP('Données projet'!$B$9,Paramètres!$A$1:$I$89,3,0)*VLOOKUP('Données projet'!$B$9,Paramètres!$A$1:$I$89,5,0)</f>
        <v>-2.5715962692629544E-14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216.22465631364315</v>
      </c>
      <c r="T148" s="62">
        <f t="shared" si="142"/>
        <v>304.27938609150095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2.4</v>
      </c>
      <c r="AI148" s="14">
        <f>IF('Données projet'!$A$62&gt;35,AI147+AH148-AQ147,IF(A148&lt;'Données projet'!$A$62,$AF$205^A148,IF(A148='Données projet'!$A$62,'Données projet'!$B$62,AI147+AH148-AQ147)))</f>
        <v>280.99999999999915</v>
      </c>
      <c r="AJ148" s="14">
        <f>AI148*VLOOKUP('Données projet'!$B$10,Paramètres!$A$1:$I$89,3,0)*VLOOKUP('Données projet'!$B$10,Paramètres!$A$1:$I$89,5,0)</f>
        <v>254.24879999999925</v>
      </c>
      <c r="AK148" s="14">
        <f t="shared" si="143"/>
        <v>61.494863147658698</v>
      </c>
      <c r="AL148" s="22">
        <f t="shared" si="112"/>
        <v>549.92021331550427</v>
      </c>
      <c r="AM148" s="62">
        <f t="shared" si="113"/>
        <v>843.25354664883753</v>
      </c>
      <c r="AN148" s="62">
        <f ca="1">AVERAGE(OFFSET($AM$3,0,0,'Données projet'!$E$10+1,1))-AVERAGE(OFFSET($H$3,0,0,'Données projet'!$E$10+1,1))</f>
        <v>336.63786714776501</v>
      </c>
      <c r="AO148" s="62">
        <f t="shared" si="144"/>
        <v>208.9883766854885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2.4</v>
      </c>
      <c r="BD148" s="13">
        <f>IF('Données projet'!$A$88&gt;35,BD147+BC148-BL147,IF(A148&lt;'Données projet'!$A$88,$BA$205^A148,IF(A148='Données projet'!$A$88,'Données projet'!$B$88,BD147+BC148-BL147)))</f>
        <v>280.99999999999915</v>
      </c>
      <c r="BE148" s="14">
        <f>BD148*VLOOKUP('Données projet'!$B$11,Paramètres!$A$1:$I$89,3,0)*VLOOKUP('Données projet'!$B$11,Paramètres!$A$1:$I$89,5,0)</f>
        <v>271.78319999999917</v>
      </c>
      <c r="BF148" s="14">
        <f t="shared" si="145"/>
        <v>65.227564224775008</v>
      </c>
      <c r="BG148" s="22">
        <f t="shared" si="115"/>
        <v>586.96041435814834</v>
      </c>
      <c r="BH148" s="62">
        <f t="shared" si="116"/>
        <v>880.29374769148171</v>
      </c>
      <c r="BI148" s="62">
        <f ca="1">AVERAGE(OFFSET($BH$3,0,0,'Données projet'!$E$11+1,1))-AVERAGE(OFFSET($H$3,0,0,'Données projet'!$E$11+1,1))</f>
        <v>363.29716504383265</v>
      </c>
      <c r="BJ148" s="62">
        <f t="shared" si="146"/>
        <v>223.12394672673923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1.1368683772161603E-13</v>
      </c>
      <c r="BZ148" s="14">
        <f>BY148*VLOOKUP('Données projet'!$B$12,Paramètres!$A$1:$I$89,3,0)*VLOOKUP('Données projet'!$B$12,Paramètres!$A$1:$I$89,5,0)</f>
        <v>8.8675733422860506E-14</v>
      </c>
      <c r="CA148" s="14">
        <f t="shared" si="147"/>
        <v>1.3509285393066301E-12</v>
      </c>
      <c r="CB148" s="22">
        <f t="shared" si="118"/>
        <v>2.5073107750038623E-12</v>
      </c>
      <c r="CC148" s="62">
        <f t="shared" si="119"/>
        <v>293.33333333333582</v>
      </c>
      <c r="CD148" s="62">
        <f ca="1">AVERAGE(OFFSET($CC$3,0,0,'Données projet'!$E$12+1,1))-AVERAGE(OFFSET($H$3,0,0,'Données projet'!$E$12+1,1))</f>
        <v>249.25370091019835</v>
      </c>
      <c r="CE148" s="62">
        <f t="shared" si="148"/>
        <v>245.46410820099908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6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2">
        <f t="shared" si="140"/>
        <v>22.067730286351065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9">
        <f t="shared" si="110"/>
        <v>433.939996915395</v>
      </c>
      <c r="I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-2.8421709430404007E-14</v>
      </c>
      <c r="O149" s="14">
        <f>N149*VLOOKUP('Données projet'!$B$9,Paramètres!$A$1:$I$89,3,0)*VLOOKUP('Données projet'!$B$9,Paramètres!$A$1:$I$89,5,0)</f>
        <v>-2.5715962692629544E-14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216.22465631364315</v>
      </c>
      <c r="T149" s="62">
        <f t="shared" si="142"/>
        <v>304.27938609150095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2.4</v>
      </c>
      <c r="AI149" s="14">
        <f>IF('Données projet'!$A$62&gt;35,AI148+AH149-AQ148,IF(A149&lt;'Données projet'!$A$62,$AF$205^A149,IF(A149='Données projet'!$A$62,'Données projet'!$B$62,AI148+AH149-AQ148)))</f>
        <v>283.39999999999912</v>
      </c>
      <c r="AJ149" s="14">
        <f>AI149*VLOOKUP('Données projet'!$B$10,Paramètres!$A$1:$I$89,3,0)*VLOOKUP('Données projet'!$B$10,Paramètres!$A$1:$I$89,5,0)</f>
        <v>256.42031999999921</v>
      </c>
      <c r="AK149" s="14">
        <f t="shared" si="143"/>
        <v>61.958720258016747</v>
      </c>
      <c r="AL149" s="22">
        <f t="shared" si="112"/>
        <v>554.51016178271107</v>
      </c>
      <c r="AM149" s="62">
        <f t="shared" si="113"/>
        <v>847.84349511604432</v>
      </c>
      <c r="AN149" s="62">
        <f ca="1">AVERAGE(OFFSET($AM$3,0,0,'Données projet'!$E$10+1,1))-AVERAGE(OFFSET($H$3,0,0,'Données projet'!$E$10+1,1))</f>
        <v>336.63786714776501</v>
      </c>
      <c r="AO149" s="62">
        <f t="shared" si="144"/>
        <v>208.9883766854885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2.4</v>
      </c>
      <c r="BD149" s="13">
        <f>IF('Données projet'!$A$88&gt;35,BD148+BC149-BL148,IF(A149&lt;'Données projet'!$A$88,$BA$205^A149,IF(A149='Données projet'!$A$88,'Données projet'!$B$88,BD148+BC149-BL148)))</f>
        <v>283.39999999999912</v>
      </c>
      <c r="BE149" s="14">
        <f>BD149*VLOOKUP('Données projet'!$B$11,Paramètres!$A$1:$I$89,3,0)*VLOOKUP('Données projet'!$B$11,Paramètres!$A$1:$I$89,5,0)</f>
        <v>274.10447999999917</v>
      </c>
      <c r="BF149" s="14">
        <f t="shared" si="145"/>
        <v>65.719577181765331</v>
      </c>
      <c r="BG149" s="22">
        <f t="shared" si="115"/>
        <v>591.86023292490643</v>
      </c>
      <c r="BH149" s="62">
        <f t="shared" si="116"/>
        <v>885.1935662582398</v>
      </c>
      <c r="BI149" s="62">
        <f ca="1">AVERAGE(OFFSET($BH$3,0,0,'Données projet'!$E$11+1,1))-AVERAGE(OFFSET($H$3,0,0,'Données projet'!$E$11+1,1))</f>
        <v>363.29716504383265</v>
      </c>
      <c r="BJ149" s="62">
        <f t="shared" si="146"/>
        <v>223.12394672673923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1.1368683772161603E-13</v>
      </c>
      <c r="BZ149" s="14">
        <f>BY149*VLOOKUP('Données projet'!$B$12,Paramètres!$A$1:$I$89,3,0)*VLOOKUP('Données projet'!$B$12,Paramètres!$A$1:$I$89,5,0)</f>
        <v>8.8675733422860506E-14</v>
      </c>
      <c r="CA149" s="14">
        <f t="shared" si="147"/>
        <v>1.3509285393066301E-12</v>
      </c>
      <c r="CB149" s="22">
        <f t="shared" si="118"/>
        <v>2.5073107750038623E-12</v>
      </c>
      <c r="CC149" s="62">
        <f t="shared" si="119"/>
        <v>293.33333333333582</v>
      </c>
      <c r="CD149" s="62">
        <f ca="1">AVERAGE(OFFSET($CC$3,0,0,'Données projet'!$E$12+1,1))-AVERAGE(OFFSET($H$3,0,0,'Données projet'!$E$12+1,1))</f>
        <v>249.25370091019835</v>
      </c>
      <c r="CE149" s="62">
        <f t="shared" si="148"/>
        <v>245.46410820099908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6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2">
        <f t="shared" si="140"/>
        <v>22.201232295351069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9">
        <f t="shared" si="110"/>
        <v>435.12346291440332</v>
      </c>
      <c r="I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-2.8421709430404007E-14</v>
      </c>
      <c r="O150" s="14">
        <f>N150*VLOOKUP('Données projet'!$B$9,Paramètres!$A$1:$I$89,3,0)*VLOOKUP('Données projet'!$B$9,Paramètres!$A$1:$I$89,5,0)</f>
        <v>-2.5715962692629544E-14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216.22465631364315</v>
      </c>
      <c r="T150" s="62">
        <f t="shared" si="142"/>
        <v>304.27938609150095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2.4</v>
      </c>
      <c r="AI150" s="14">
        <f>IF('Données projet'!$A$62&gt;35,AI149+AH150-AQ149,IF(A150&lt;'Données projet'!$A$62,$AF$205^A150,IF(A150='Données projet'!$A$62,'Données projet'!$B$62,AI149+AH150-AQ149)))</f>
        <v>285.7999999999991</v>
      </c>
      <c r="AJ150" s="14">
        <f>AI150*VLOOKUP('Données projet'!$B$10,Paramètres!$A$1:$I$89,3,0)*VLOOKUP('Données projet'!$B$10,Paramètres!$A$1:$I$89,5,0)</f>
        <v>258.59183999999919</v>
      </c>
      <c r="AK150" s="14">
        <f t="shared" si="143"/>
        <v>62.422120343276475</v>
      </c>
      <c r="AL150" s="22">
        <f t="shared" si="112"/>
        <v>559.09931426453841</v>
      </c>
      <c r="AM150" s="62">
        <f t="shared" si="113"/>
        <v>852.43264759787166</v>
      </c>
      <c r="AN150" s="62">
        <f ca="1">AVERAGE(OFFSET($AM$3,0,0,'Données projet'!$E$10+1,1))-AVERAGE(OFFSET($H$3,0,0,'Données projet'!$E$10+1,1))</f>
        <v>336.63786714776501</v>
      </c>
      <c r="AO150" s="62">
        <f t="shared" si="144"/>
        <v>208.9883766854885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2.4</v>
      </c>
      <c r="BD150" s="13">
        <f>IF('Données projet'!$A$88&gt;35,BD149+BC150-BL149,IF(A150&lt;'Données projet'!$A$88,$BA$205^A150,IF(A150='Données projet'!$A$88,'Données projet'!$B$88,BD149+BC150-BL149)))</f>
        <v>285.7999999999991</v>
      </c>
      <c r="BE150" s="14">
        <f>BD150*VLOOKUP('Données projet'!$B$11,Paramètres!$A$1:$I$89,3,0)*VLOOKUP('Données projet'!$B$11,Paramètres!$A$1:$I$89,5,0)</f>
        <v>276.42575999999912</v>
      </c>
      <c r="BF150" s="14">
        <f t="shared" si="145"/>
        <v>66.211105372509707</v>
      </c>
      <c r="BG150" s="22">
        <f t="shared" si="115"/>
        <v>596.75920719045291</v>
      </c>
      <c r="BH150" s="62">
        <f t="shared" si="116"/>
        <v>890.09254052378628</v>
      </c>
      <c r="BI150" s="62">
        <f ca="1">AVERAGE(OFFSET($BH$3,0,0,'Données projet'!$E$11+1,1))-AVERAGE(OFFSET($H$3,0,0,'Données projet'!$E$11+1,1))</f>
        <v>363.29716504383265</v>
      </c>
      <c r="BJ150" s="62">
        <f t="shared" si="146"/>
        <v>223.12394672673923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1.1368683772161603E-13</v>
      </c>
      <c r="BZ150" s="14">
        <f>BY150*VLOOKUP('Données projet'!$B$12,Paramètres!$A$1:$I$89,3,0)*VLOOKUP('Données projet'!$B$12,Paramètres!$A$1:$I$89,5,0)</f>
        <v>8.8675733422860506E-14</v>
      </c>
      <c r="CA150" s="14">
        <f t="shared" si="147"/>
        <v>1.3509285393066301E-12</v>
      </c>
      <c r="CB150" s="22">
        <f t="shared" si="118"/>
        <v>2.5073107750038623E-12</v>
      </c>
      <c r="CC150" s="62">
        <f t="shared" si="119"/>
        <v>293.33333333333582</v>
      </c>
      <c r="CD150" s="62">
        <f ca="1">AVERAGE(OFFSET($CC$3,0,0,'Données projet'!$E$12+1,1))-AVERAGE(OFFSET($H$3,0,0,'Données projet'!$E$12+1,1))</f>
        <v>249.25370091019835</v>
      </c>
      <c r="CE150" s="62">
        <f t="shared" si="148"/>
        <v>245.46410820099908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6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2">
        <f t="shared" si="140"/>
        <v>22.334628633536237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9">
        <f t="shared" si="110"/>
        <v>436.30674487007587</v>
      </c>
      <c r="I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-2.8421709430404007E-14</v>
      </c>
      <c r="O151" s="14">
        <f>N151*VLOOKUP('Données projet'!$B$9,Paramètres!$A$1:$I$89,3,0)*VLOOKUP('Données projet'!$B$9,Paramètres!$A$1:$I$89,5,0)</f>
        <v>-2.5715962692629544E-14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216.22465631364315</v>
      </c>
      <c r="T151" s="62">
        <f t="shared" si="142"/>
        <v>304.27938609150095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2.4</v>
      </c>
      <c r="AI151" s="14">
        <f>IF('Données projet'!$A$62&gt;35,AI150+AH151-AQ150,IF(A151&lt;'Données projet'!$A$62,$AF$205^A151,IF(A151='Données projet'!$A$62,'Données projet'!$B$62,AI150+AH151-AQ150)))</f>
        <v>288.19999999999908</v>
      </c>
      <c r="AJ151" s="14">
        <f>AI151*VLOOKUP('Données projet'!$B$10,Paramètres!$A$1:$I$89,3,0)*VLOOKUP('Données projet'!$B$10,Paramètres!$A$1:$I$89,5,0)</f>
        <v>260.76335999999918</v>
      </c>
      <c r="AK151" s="14">
        <f t="shared" si="143"/>
        <v>62.885067686031789</v>
      </c>
      <c r="AL151" s="22">
        <f t="shared" si="112"/>
        <v>563.68767821983727</v>
      </c>
      <c r="AM151" s="62">
        <f t="shared" si="113"/>
        <v>857.02101155317064</v>
      </c>
      <c r="AN151" s="62">
        <f ca="1">AVERAGE(OFFSET($AM$3,0,0,'Données projet'!$E$10+1,1))-AVERAGE(OFFSET($H$3,0,0,'Données projet'!$E$10+1,1))</f>
        <v>336.63786714776501</v>
      </c>
      <c r="AO151" s="62">
        <f t="shared" si="144"/>
        <v>208.9883766854885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2.4</v>
      </c>
      <c r="BD151" s="13">
        <f>IF('Données projet'!$A$88&gt;35,BD150+BC151-BL150,IF(A151&lt;'Données projet'!$A$88,$BA$205^A151,IF(A151='Données projet'!$A$88,'Données projet'!$B$88,BD150+BC151-BL150)))</f>
        <v>288.19999999999908</v>
      </c>
      <c r="BE151" s="14">
        <f>BD151*VLOOKUP('Données projet'!$B$11,Paramètres!$A$1:$I$89,3,0)*VLOOKUP('Données projet'!$B$11,Paramètres!$A$1:$I$89,5,0)</f>
        <v>278.74703999999912</v>
      </c>
      <c r="BF151" s="14">
        <f t="shared" si="145"/>
        <v>66.702153339553078</v>
      </c>
      <c r="BG151" s="22">
        <f t="shared" si="115"/>
        <v>601.65734506638671</v>
      </c>
      <c r="BH151" s="62">
        <f t="shared" si="116"/>
        <v>894.99067839972008</v>
      </c>
      <c r="BI151" s="62">
        <f ca="1">AVERAGE(OFFSET($BH$3,0,0,'Données projet'!$E$11+1,1))-AVERAGE(OFFSET($H$3,0,0,'Données projet'!$E$11+1,1))</f>
        <v>363.29716504383265</v>
      </c>
      <c r="BJ151" s="62">
        <f t="shared" si="146"/>
        <v>223.12394672673923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1.1368683772161603E-13</v>
      </c>
      <c r="BZ151" s="14">
        <f>BY151*VLOOKUP('Données projet'!$B$12,Paramètres!$A$1:$I$89,3,0)*VLOOKUP('Données projet'!$B$12,Paramètres!$A$1:$I$89,5,0)</f>
        <v>8.8675733422860506E-14</v>
      </c>
      <c r="CA151" s="14">
        <f t="shared" si="147"/>
        <v>1.3509285393066301E-12</v>
      </c>
      <c r="CB151" s="22">
        <f t="shared" si="118"/>
        <v>2.5073107750038623E-12</v>
      </c>
      <c r="CC151" s="62">
        <f t="shared" si="119"/>
        <v>293.33333333333582</v>
      </c>
      <c r="CD151" s="62">
        <f ca="1">AVERAGE(OFFSET($CC$3,0,0,'Données projet'!$E$12+1,1))-AVERAGE(OFFSET($H$3,0,0,'Données projet'!$E$12+1,1))</f>
        <v>249.25370091019835</v>
      </c>
      <c r="CE151" s="62">
        <f t="shared" si="148"/>
        <v>245.46410820099908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6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2">
        <f t="shared" si="140"/>
        <v>22.467920097706067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9">
        <f t="shared" si="110"/>
        <v>437.48984417017164</v>
      </c>
      <c r="I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-2.8421709430404007E-14</v>
      </c>
      <c r="O152" s="14">
        <f>N152*VLOOKUP('Données projet'!$B$9,Paramètres!$A$1:$I$89,3,0)*VLOOKUP('Données projet'!$B$9,Paramètres!$A$1:$I$89,5,0)</f>
        <v>-2.5715962692629544E-14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216.22465631364315</v>
      </c>
      <c r="T152" s="62">
        <f t="shared" si="142"/>
        <v>304.27938609150095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2.4</v>
      </c>
      <c r="AI152" s="14">
        <f>IF('Données projet'!$A$62&gt;35,AI151+AH152-AQ151,IF(A152&lt;'Données projet'!$A$62,$AF$205^A152,IF(A152='Données projet'!$A$62,'Données projet'!$B$62,AI151+AH152-AQ151)))</f>
        <v>290.59999999999906</v>
      </c>
      <c r="AJ152" s="14">
        <f>AI152*VLOOKUP('Données projet'!$B$10,Paramètres!$A$1:$I$89,3,0)*VLOOKUP('Données projet'!$B$10,Paramètres!$A$1:$I$89,5,0)</f>
        <v>262.93487999999911</v>
      </c>
      <c r="AK152" s="14">
        <f t="shared" si="143"/>
        <v>63.347566493432595</v>
      </c>
      <c r="AL152" s="22">
        <f t="shared" si="112"/>
        <v>568.27526097606028</v>
      </c>
      <c r="AM152" s="62">
        <f t="shared" si="113"/>
        <v>861.60859430939354</v>
      </c>
      <c r="AN152" s="62">
        <f ca="1">AVERAGE(OFFSET($AM$3,0,0,'Données projet'!$E$10+1,1))-AVERAGE(OFFSET($H$3,0,0,'Données projet'!$E$10+1,1))</f>
        <v>336.63786714776501</v>
      </c>
      <c r="AO152" s="62">
        <f t="shared" si="144"/>
        <v>208.9883766854885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2.4</v>
      </c>
      <c r="BD152" s="13">
        <f>IF('Données projet'!$A$88&gt;35,BD151+BC152-BL151,IF(A152&lt;'Données projet'!$A$88,$BA$205^A152,IF(A152='Données projet'!$A$88,'Données projet'!$B$88,BD151+BC152-BL151)))</f>
        <v>290.59999999999906</v>
      </c>
      <c r="BE152" s="14">
        <f>BD152*VLOOKUP('Données projet'!$B$11,Paramètres!$A$1:$I$89,3,0)*VLOOKUP('Données projet'!$B$11,Paramètres!$A$1:$I$89,5,0)</f>
        <v>281.06831999999906</v>
      </c>
      <c r="BF152" s="14">
        <f t="shared" si="145"/>
        <v>67.192725545416479</v>
      </c>
      <c r="BG152" s="22">
        <f t="shared" si="115"/>
        <v>606.55465432493213</v>
      </c>
      <c r="BH152" s="62">
        <f t="shared" si="116"/>
        <v>899.8879876582655</v>
      </c>
      <c r="BI152" s="62">
        <f ca="1">AVERAGE(OFFSET($BH$3,0,0,'Données projet'!$E$11+1,1))-AVERAGE(OFFSET($H$3,0,0,'Données projet'!$E$11+1,1))</f>
        <v>363.29716504383265</v>
      </c>
      <c r="BJ152" s="62">
        <f t="shared" si="146"/>
        <v>223.12394672673923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1.1368683772161603E-13</v>
      </c>
      <c r="BZ152" s="14">
        <f>BY152*VLOOKUP('Données projet'!$B$12,Paramètres!$A$1:$I$89,3,0)*VLOOKUP('Données projet'!$B$12,Paramètres!$A$1:$I$89,5,0)</f>
        <v>8.8675733422860506E-14</v>
      </c>
      <c r="CA152" s="14">
        <f t="shared" si="147"/>
        <v>1.3509285393066301E-12</v>
      </c>
      <c r="CB152" s="22">
        <f t="shared" si="118"/>
        <v>2.5073107750038623E-12</v>
      </c>
      <c r="CC152" s="62">
        <f t="shared" si="119"/>
        <v>293.33333333333582</v>
      </c>
      <c r="CD152" s="62">
        <f ca="1">AVERAGE(OFFSET($CC$3,0,0,'Données projet'!$E$12+1,1))-AVERAGE(OFFSET($H$3,0,0,'Données projet'!$E$12+1,1))</f>
        <v>249.25370091019835</v>
      </c>
      <c r="CE152" s="62">
        <f t="shared" si="148"/>
        <v>245.46410820099908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6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2">
        <f t="shared" si="140"/>
        <v>22.601107473346371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9">
        <f t="shared" si="110"/>
        <v>438.6727621827452</v>
      </c>
      <c r="I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-2.8421709430404007E-14</v>
      </c>
      <c r="O153" s="14">
        <f>N153*VLOOKUP('Données projet'!$B$9,Paramètres!$A$1:$I$89,3,0)*VLOOKUP('Données projet'!$B$9,Paramètres!$A$1:$I$89,5,0)</f>
        <v>-2.5715962692629544E-14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216.22465631364315</v>
      </c>
      <c r="T153" s="62">
        <f t="shared" si="142"/>
        <v>304.27938609150095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>
        <f>VLOOKUP(A153,'Données projet'!$A$61:$I$81,2,0)</f>
        <v>293</v>
      </c>
      <c r="AG153" s="13">
        <f>VLOOKUP(A153,'Données projet'!$A$61:$I$81,9,0)</f>
        <v>2.4</v>
      </c>
      <c r="AH153" s="13">
        <f t="array" ref="AH153">INDEX(AG:AG,MIN(IF(ISNUMBER(AG153:AG349),ROW(AG153:AG349),"")))</f>
        <v>2.4</v>
      </c>
      <c r="AI153" s="14">
        <f>IF('Données projet'!$A$62&gt;35,AI152+AH153-AQ152,IF(A153&lt;'Données projet'!$A$62,$AF$205^A153,IF(A153='Données projet'!$A$62,'Données projet'!$B$62,AI152+AH153-AQ152)))</f>
        <v>292.99999999999903</v>
      </c>
      <c r="AJ153" s="14">
        <f>AI153*VLOOKUP('Données projet'!$B$10,Paramètres!$A$1:$I$89,3,0)*VLOOKUP('Données projet'!$B$10,Paramètres!$A$1:$I$89,5,0)</f>
        <v>265.1063999999991</v>
      </c>
      <c r="AK153" s="14">
        <f t="shared" si="143"/>
        <v>63.809620899125136</v>
      </c>
      <c r="AL153" s="22">
        <f t="shared" si="112"/>
        <v>572.86206973264132</v>
      </c>
      <c r="AM153" s="62">
        <f t="shared" si="113"/>
        <v>866.19540306597469</v>
      </c>
      <c r="AN153" s="62">
        <f ca="1">AVERAGE(OFFSET($AM$3,0,0,'Données projet'!$E$10+1,1))-AVERAGE(OFFSET($H$3,0,0,'Données projet'!$E$10+1,1))</f>
        <v>336.63786714776501</v>
      </c>
      <c r="AO153" s="62">
        <f t="shared" si="144"/>
        <v>208.9883766854885</v>
      </c>
      <c r="AP153" s="16">
        <f>IF(ISNA(VLOOKUP(A153,'Données projet'!$A$61:$I$81,3,0)),0,VLOOKUP(A153,'Données projet'!$A$61:$I$81,3,0))</f>
        <v>13</v>
      </c>
      <c r="AQ153" s="16">
        <f>IF(ISNA(VLOOKUP(A153,'Données projet'!$A$61:$I$81,4,0)),0,VLOOKUP(A153,'Données projet'!$A$61:$I$81,4,0))</f>
        <v>293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>
        <f>VLOOKUP(A153,'Données projet'!$A$87:$I$107,2,0)</f>
        <v>293</v>
      </c>
      <c r="BB153" s="13">
        <f>VLOOKUP(A153,'Données projet'!$A$87:$I$107,9,0)</f>
        <v>2.4</v>
      </c>
      <c r="BC153" s="13">
        <f t="array" ref="BC153">INDEX(BB:BB,MIN(IF(ISNUMBER(BB153:BB349),ROW(BB153:BB349),"")))</f>
        <v>2.4</v>
      </c>
      <c r="BD153" s="13">
        <f>IF('Données projet'!$A$88&gt;35,BD152+BC153-BL152,IF(A153&lt;'Données projet'!$A$88,$BA$205^A153,IF(A153='Données projet'!$A$88,'Données projet'!$B$88,BD152+BC153-BL152)))</f>
        <v>292.99999999999903</v>
      </c>
      <c r="BE153" s="14">
        <f>BD153*VLOOKUP('Données projet'!$B$11,Paramètres!$A$1:$I$89,3,0)*VLOOKUP('Données projet'!$B$11,Paramètres!$A$1:$I$89,5,0)</f>
        <v>283.38959999999906</v>
      </c>
      <c r="BF153" s="14">
        <f t="shared" si="145"/>
        <v>67.682826374656187</v>
      </c>
      <c r="BG153" s="22">
        <f t="shared" si="115"/>
        <v>611.45114260252456</v>
      </c>
      <c r="BH153" s="62">
        <f t="shared" si="116"/>
        <v>904.78447593585793</v>
      </c>
      <c r="BI153" s="62">
        <f ca="1">AVERAGE(OFFSET($BH$3,0,0,'Données projet'!$E$11+1,1))-AVERAGE(OFFSET($H$3,0,0,'Données projet'!$E$11+1,1))</f>
        <v>363.29716504383265</v>
      </c>
      <c r="BJ153" s="62">
        <f t="shared" si="146"/>
        <v>223.12394672673923</v>
      </c>
      <c r="BK153" s="16">
        <f>IF(ISNA(VLOOKUP(A153,'Données projet'!$A$87:$I$107,3,0)),0,VLOOKUP(A153,'Données projet'!$A$87:$I$107,3,0))</f>
        <v>13</v>
      </c>
      <c r="BL153" s="16">
        <f>IF(ISNA(VLOOKUP(A153,'Données projet'!$A$87:$I$107,4,0)),0,VLOOKUP(A153,'Données projet'!$A$87:$I$107,4,0))</f>
        <v>293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1.1368683772161603E-13</v>
      </c>
      <c r="BZ153" s="14">
        <f>BY153*VLOOKUP('Données projet'!$B$12,Paramètres!$A$1:$I$89,3,0)*VLOOKUP('Données projet'!$B$12,Paramètres!$A$1:$I$89,5,0)</f>
        <v>8.8675733422860506E-14</v>
      </c>
      <c r="CA153" s="14">
        <f t="shared" si="147"/>
        <v>1.3509285393066301E-12</v>
      </c>
      <c r="CB153" s="22">
        <f t="shared" si="118"/>
        <v>2.5073107750038623E-12</v>
      </c>
      <c r="CC153" s="62">
        <f t="shared" si="119"/>
        <v>293.33333333333582</v>
      </c>
      <c r="CD153" s="62">
        <f ca="1">AVERAGE(OFFSET($CC$3,0,0,'Données projet'!$E$12+1,1))-AVERAGE(OFFSET($H$3,0,0,'Données projet'!$E$12+1,1))</f>
        <v>249.25370091019835</v>
      </c>
      <c r="CE153" s="62">
        <f t="shared" si="148"/>
        <v>245.46410820099908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6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2">
        <f t="shared" si="140"/>
        <v>22.734191534864422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9">
        <f t="shared" si="110"/>
        <v>439.85550025655579</v>
      </c>
      <c r="I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-2.8421709430404007E-14</v>
      </c>
      <c r="O154" s="14">
        <f>N154*VLOOKUP('Données projet'!$B$9,Paramètres!$A$1:$I$89,3,0)*VLOOKUP('Données projet'!$B$9,Paramètres!$A$1:$I$89,5,0)</f>
        <v>-2.5715962692629544E-14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216.22465631364315</v>
      </c>
      <c r="T154" s="62">
        <f t="shared" si="142"/>
        <v>304.27938609150095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-9.6633812063373625E-13</v>
      </c>
      <c r="AJ154" s="14">
        <f>AI154*VLOOKUP('Données projet'!$B$10,Paramètres!$A$1:$I$89,3,0)*VLOOKUP('Données projet'!$B$10,Paramètres!$A$1:$I$89,5,0)</f>
        <v>-8.7434273154940449E-13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336.63786714776501</v>
      </c>
      <c r="AO154" s="62">
        <f t="shared" si="144"/>
        <v>208.9883766854885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-9.6633812063373625E-13</v>
      </c>
      <c r="BE154" s="14">
        <f>BD154*VLOOKUP('Données projet'!$B$11,Paramètres!$A$1:$I$89,3,0)*VLOOKUP('Données projet'!$B$11,Paramètres!$A$1:$I$89,5,0)</f>
        <v>-9.3464223027694966E-13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363.29716504383265</v>
      </c>
      <c r="BJ154" s="62">
        <f t="shared" si="146"/>
        <v>223.12394672673923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1.1368683772161603E-13</v>
      </c>
      <c r="BZ154" s="14">
        <f>BY154*VLOOKUP('Données projet'!$B$12,Paramètres!$A$1:$I$89,3,0)*VLOOKUP('Données projet'!$B$12,Paramètres!$A$1:$I$89,5,0)</f>
        <v>8.8675733422860506E-14</v>
      </c>
      <c r="CA154" s="14">
        <f t="shared" ref="CA154:CA203" si="170">EXP(-1.0587+0.8836*LN(BZ154)+0.284)</f>
        <v>1.3509285393066301E-12</v>
      </c>
      <c r="CB154" s="22">
        <f t="shared" ref="CB154:CB203" si="171">(BZ154+CA154)*0.475*44/12</f>
        <v>2.5073107750038623E-12</v>
      </c>
      <c r="CC154" s="62">
        <f t="shared" si="119"/>
        <v>293.33333333333582</v>
      </c>
      <c r="CD154" s="62">
        <f ca="1">AVERAGE(OFFSET($CC$3,0,0,'Données projet'!$E$12+1,1))-AVERAGE(OFFSET($H$3,0,0,'Données projet'!$E$12+1,1))</f>
        <v>249.25370091019835</v>
      </c>
      <c r="CE154" s="62">
        <f t="shared" si="148"/>
        <v>245.46410820099908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6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2">
        <f t="shared" si="140"/>
        <v>22.867173045817363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9">
        <f t="shared" si="110"/>
        <v>441.03805972146552</v>
      </c>
      <c r="I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-2.8421709430404007E-14</v>
      </c>
      <c r="O155" s="14">
        <f>N155*VLOOKUP('Données projet'!$B$9,Paramètres!$A$1:$I$89,3,0)*VLOOKUP('Données projet'!$B$9,Paramètres!$A$1:$I$89,5,0)</f>
        <v>-2.5715962692629544E-14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216.22465631364315</v>
      </c>
      <c r="T155" s="62">
        <f t="shared" si="142"/>
        <v>304.27938609150095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-9.6633812063373625E-13</v>
      </c>
      <c r="AJ155" s="14">
        <f>AI155*VLOOKUP('Données projet'!$B$10,Paramètres!$A$1:$I$89,3,0)*VLOOKUP('Données projet'!$B$10,Paramètres!$A$1:$I$89,5,0)</f>
        <v>-8.7434273154940449E-13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336.63786714776501</v>
      </c>
      <c r="AO155" s="62">
        <f t="shared" si="144"/>
        <v>208.9883766854885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-9.6633812063373625E-13</v>
      </c>
      <c r="BE155" s="14">
        <f>BD155*VLOOKUP('Données projet'!$B$11,Paramètres!$A$1:$I$89,3,0)*VLOOKUP('Données projet'!$B$11,Paramètres!$A$1:$I$89,5,0)</f>
        <v>-9.3464223027694966E-13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363.29716504383265</v>
      </c>
      <c r="BJ155" s="62">
        <f t="shared" si="146"/>
        <v>223.12394672673923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1.1368683772161603E-13</v>
      </c>
      <c r="BZ155" s="14">
        <f>BY155*VLOOKUP('Données projet'!$B$12,Paramètres!$A$1:$I$89,3,0)*VLOOKUP('Données projet'!$B$12,Paramètres!$A$1:$I$89,5,0)</f>
        <v>8.8675733422860506E-14</v>
      </c>
      <c r="CA155" s="14">
        <f t="shared" si="170"/>
        <v>1.3509285393066301E-12</v>
      </c>
      <c r="CB155" s="22">
        <f t="shared" si="171"/>
        <v>2.5073107750038623E-12</v>
      </c>
      <c r="CC155" s="62">
        <f t="shared" si="119"/>
        <v>293.33333333333582</v>
      </c>
      <c r="CD155" s="62">
        <f ca="1">AVERAGE(OFFSET($CC$3,0,0,'Données projet'!$E$12+1,1))-AVERAGE(OFFSET($H$3,0,0,'Données projet'!$E$12+1,1))</f>
        <v>249.25370091019835</v>
      </c>
      <c r="CE155" s="62">
        <f t="shared" si="148"/>
        <v>245.46410820099908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6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2">
        <f t="shared" si="140"/>
        <v>23.000052759134679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9">
        <f t="shared" si="110"/>
        <v>442.22044188882654</v>
      </c>
      <c r="I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-2.8421709430404007E-14</v>
      </c>
      <c r="O156" s="14">
        <f>N156*VLOOKUP('Données projet'!$B$9,Paramètres!$A$1:$I$89,3,0)*VLOOKUP('Données projet'!$B$9,Paramètres!$A$1:$I$89,5,0)</f>
        <v>-2.5715962692629544E-14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216.22465631364315</v>
      </c>
      <c r="T156" s="62">
        <f t="shared" si="142"/>
        <v>304.27938609150095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-9.6633812063373625E-13</v>
      </c>
      <c r="AJ156" s="14">
        <f>AI156*VLOOKUP('Données projet'!$B$10,Paramètres!$A$1:$I$89,3,0)*VLOOKUP('Données projet'!$B$10,Paramètres!$A$1:$I$89,5,0)</f>
        <v>-8.7434273154940449E-13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336.63786714776501</v>
      </c>
      <c r="AO156" s="62">
        <f t="shared" si="144"/>
        <v>208.9883766854885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-9.6633812063373625E-13</v>
      </c>
      <c r="BE156" s="14">
        <f>BD156*VLOOKUP('Données projet'!$B$11,Paramètres!$A$1:$I$89,3,0)*VLOOKUP('Données projet'!$B$11,Paramètres!$A$1:$I$89,5,0)</f>
        <v>-9.3464223027694966E-13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363.29716504383265</v>
      </c>
      <c r="BJ156" s="62">
        <f t="shared" si="146"/>
        <v>223.12394672673923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1.1368683772161603E-13</v>
      </c>
      <c r="BZ156" s="14">
        <f>BY156*VLOOKUP('Données projet'!$B$12,Paramètres!$A$1:$I$89,3,0)*VLOOKUP('Données projet'!$B$12,Paramètres!$A$1:$I$89,5,0)</f>
        <v>8.8675733422860506E-14</v>
      </c>
      <c r="CA156" s="14">
        <f t="shared" si="170"/>
        <v>1.3509285393066301E-12</v>
      </c>
      <c r="CB156" s="22">
        <f t="shared" si="171"/>
        <v>2.5073107750038623E-12</v>
      </c>
      <c r="CC156" s="62">
        <f t="shared" si="119"/>
        <v>293.33333333333582</v>
      </c>
      <c r="CD156" s="62">
        <f ca="1">AVERAGE(OFFSET($CC$3,0,0,'Données projet'!$E$12+1,1))-AVERAGE(OFFSET($H$3,0,0,'Données projet'!$E$12+1,1))</f>
        <v>249.25370091019835</v>
      </c>
      <c r="CE156" s="62">
        <f t="shared" si="148"/>
        <v>245.46410820099908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6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2">
        <f t="shared" si="140"/>
        <v>23.132831417334586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9">
        <f t="shared" si="110"/>
        <v>443.40264805185802</v>
      </c>
      <c r="I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-2.8421709430404007E-14</v>
      </c>
      <c r="O157" s="14">
        <f>N157*VLOOKUP('Données projet'!$B$9,Paramètres!$A$1:$I$89,3,0)*VLOOKUP('Données projet'!$B$9,Paramètres!$A$1:$I$89,5,0)</f>
        <v>-2.5715962692629544E-14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216.22465631364315</v>
      </c>
      <c r="T157" s="62">
        <f t="shared" si="142"/>
        <v>304.27938609150095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-9.6633812063373625E-13</v>
      </c>
      <c r="AJ157" s="14">
        <f>AI157*VLOOKUP('Données projet'!$B$10,Paramètres!$A$1:$I$89,3,0)*VLOOKUP('Données projet'!$B$10,Paramètres!$A$1:$I$89,5,0)</f>
        <v>-8.7434273154940449E-13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336.63786714776501</v>
      </c>
      <c r="AO157" s="62">
        <f t="shared" si="144"/>
        <v>208.9883766854885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-9.6633812063373625E-13</v>
      </c>
      <c r="BE157" s="14">
        <f>BD157*VLOOKUP('Données projet'!$B$11,Paramètres!$A$1:$I$89,3,0)*VLOOKUP('Données projet'!$B$11,Paramètres!$A$1:$I$89,5,0)</f>
        <v>-9.3464223027694966E-13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363.29716504383265</v>
      </c>
      <c r="BJ157" s="62">
        <f t="shared" si="146"/>
        <v>223.12394672673923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1.1368683772161603E-13</v>
      </c>
      <c r="BZ157" s="14">
        <f>BY157*VLOOKUP('Données projet'!$B$12,Paramètres!$A$1:$I$89,3,0)*VLOOKUP('Données projet'!$B$12,Paramètres!$A$1:$I$89,5,0)</f>
        <v>8.8675733422860506E-14</v>
      </c>
      <c r="CA157" s="14">
        <f t="shared" si="170"/>
        <v>1.3509285393066301E-12</v>
      </c>
      <c r="CB157" s="22">
        <f t="shared" si="171"/>
        <v>2.5073107750038623E-12</v>
      </c>
      <c r="CC157" s="62">
        <f t="shared" si="119"/>
        <v>293.33333333333582</v>
      </c>
      <c r="CD157" s="62">
        <f ca="1">AVERAGE(OFFSET($CC$3,0,0,'Données projet'!$E$12+1,1))-AVERAGE(OFFSET($H$3,0,0,'Données projet'!$E$12+1,1))</f>
        <v>249.25370091019835</v>
      </c>
      <c r="CE157" s="62">
        <f t="shared" si="148"/>
        <v>245.46410820099908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6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2">
        <f t="shared" si="140"/>
        <v>23.265509752734562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9">
        <f t="shared" si="110"/>
        <v>444.58467948601304</v>
      </c>
      <c r="I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-2.8421709430404007E-14</v>
      </c>
      <c r="O158" s="14">
        <f>N158*VLOOKUP('Données projet'!$B$9,Paramètres!$A$1:$I$89,3,0)*VLOOKUP('Données projet'!$B$9,Paramètres!$A$1:$I$89,5,0)</f>
        <v>-2.5715962692629544E-14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216.22465631364315</v>
      </c>
      <c r="T158" s="62">
        <f t="shared" si="142"/>
        <v>304.27938609150095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-9.6633812063373625E-13</v>
      </c>
      <c r="AJ158" s="14">
        <f>AI158*VLOOKUP('Données projet'!$B$10,Paramètres!$A$1:$I$89,3,0)*VLOOKUP('Données projet'!$B$10,Paramètres!$A$1:$I$89,5,0)</f>
        <v>-8.7434273154940449E-13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336.63786714776501</v>
      </c>
      <c r="AO158" s="62">
        <f t="shared" si="144"/>
        <v>208.9883766854885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-9.6633812063373625E-13</v>
      </c>
      <c r="BE158" s="14">
        <f>BD158*VLOOKUP('Données projet'!$B$11,Paramètres!$A$1:$I$89,3,0)*VLOOKUP('Données projet'!$B$11,Paramètres!$A$1:$I$89,5,0)</f>
        <v>-9.3464223027694966E-13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363.29716504383265</v>
      </c>
      <c r="BJ158" s="62">
        <f t="shared" si="146"/>
        <v>223.12394672673923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1.1368683772161603E-13</v>
      </c>
      <c r="BZ158" s="14">
        <f>BY158*VLOOKUP('Données projet'!$B$12,Paramètres!$A$1:$I$89,3,0)*VLOOKUP('Données projet'!$B$12,Paramètres!$A$1:$I$89,5,0)</f>
        <v>8.8675733422860506E-14</v>
      </c>
      <c r="CA158" s="14">
        <f t="shared" si="170"/>
        <v>1.3509285393066301E-12</v>
      </c>
      <c r="CB158" s="22">
        <f t="shared" si="171"/>
        <v>2.5073107750038623E-12</v>
      </c>
      <c r="CC158" s="62">
        <f t="shared" si="119"/>
        <v>293.33333333333582</v>
      </c>
      <c r="CD158" s="62">
        <f ca="1">AVERAGE(OFFSET($CC$3,0,0,'Données projet'!$E$12+1,1))-AVERAGE(OFFSET($H$3,0,0,'Données projet'!$E$12+1,1))</f>
        <v>249.25370091019835</v>
      </c>
      <c r="CE158" s="62">
        <f t="shared" si="148"/>
        <v>245.46410820099908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6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2">
        <f t="shared" si="140"/>
        <v>23.398088487656484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9">
        <f t="shared" si="110"/>
        <v>445.76653744933537</v>
      </c>
      <c r="I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-2.8421709430404007E-14</v>
      </c>
      <c r="O159" s="14">
        <f>N159*VLOOKUP('Données projet'!$B$9,Paramètres!$A$1:$I$89,3,0)*VLOOKUP('Données projet'!$B$9,Paramètres!$A$1:$I$89,5,0)</f>
        <v>-2.5715962692629544E-14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216.22465631364315</v>
      </c>
      <c r="T159" s="62">
        <f t="shared" si="142"/>
        <v>304.27938609150095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-9.6633812063373625E-13</v>
      </c>
      <c r="AJ159" s="14">
        <f>AI159*VLOOKUP('Données projet'!$B$10,Paramètres!$A$1:$I$89,3,0)*VLOOKUP('Données projet'!$B$10,Paramètres!$A$1:$I$89,5,0)</f>
        <v>-8.7434273154940449E-13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336.63786714776501</v>
      </c>
      <c r="AO159" s="62">
        <f t="shared" si="144"/>
        <v>208.9883766854885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-9.6633812063373625E-13</v>
      </c>
      <c r="BE159" s="14">
        <f>BD159*VLOOKUP('Données projet'!$B$11,Paramètres!$A$1:$I$89,3,0)*VLOOKUP('Données projet'!$B$11,Paramètres!$A$1:$I$89,5,0)</f>
        <v>-9.3464223027694966E-13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363.29716504383265</v>
      </c>
      <c r="BJ159" s="62">
        <f t="shared" si="146"/>
        <v>223.12394672673923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1.1368683772161603E-13</v>
      </c>
      <c r="BZ159" s="14">
        <f>BY159*VLOOKUP('Données projet'!$B$12,Paramètres!$A$1:$I$89,3,0)*VLOOKUP('Données projet'!$B$12,Paramètres!$A$1:$I$89,5,0)</f>
        <v>8.8675733422860506E-14</v>
      </c>
      <c r="CA159" s="14">
        <f t="shared" si="170"/>
        <v>1.3509285393066301E-12</v>
      </c>
      <c r="CB159" s="22">
        <f t="shared" si="171"/>
        <v>2.5073107750038623E-12</v>
      </c>
      <c r="CC159" s="62">
        <f t="shared" si="119"/>
        <v>293.33333333333582</v>
      </c>
      <c r="CD159" s="62">
        <f ca="1">AVERAGE(OFFSET($CC$3,0,0,'Données projet'!$E$12+1,1))-AVERAGE(OFFSET($H$3,0,0,'Données projet'!$E$12+1,1))</f>
        <v>249.25370091019835</v>
      </c>
      <c r="CE159" s="62">
        <f t="shared" si="148"/>
        <v>245.46410820099908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6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2">
        <f t="shared" si="140"/>
        <v>23.530568334626178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9">
        <f t="shared" si="110"/>
        <v>446.94822318280762</v>
      </c>
      <c r="I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-2.8421709430404007E-14</v>
      </c>
      <c r="O160" s="14">
        <f>N160*VLOOKUP('Données projet'!$B$9,Paramètres!$A$1:$I$89,3,0)*VLOOKUP('Données projet'!$B$9,Paramètres!$A$1:$I$89,5,0)</f>
        <v>-2.5715962692629544E-14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216.22465631364315</v>
      </c>
      <c r="T160" s="62">
        <f t="shared" si="142"/>
        <v>304.27938609150095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-9.6633812063373625E-13</v>
      </c>
      <c r="AJ160" s="14">
        <f>AI160*VLOOKUP('Données projet'!$B$10,Paramètres!$A$1:$I$89,3,0)*VLOOKUP('Données projet'!$B$10,Paramètres!$A$1:$I$89,5,0)</f>
        <v>-8.7434273154940449E-13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336.63786714776501</v>
      </c>
      <c r="AO160" s="62">
        <f t="shared" si="144"/>
        <v>208.9883766854885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-9.6633812063373625E-13</v>
      </c>
      <c r="BE160" s="14">
        <f>BD160*VLOOKUP('Données projet'!$B$11,Paramètres!$A$1:$I$89,3,0)*VLOOKUP('Données projet'!$B$11,Paramètres!$A$1:$I$89,5,0)</f>
        <v>-9.3464223027694966E-13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363.29716504383265</v>
      </c>
      <c r="BJ160" s="62">
        <f t="shared" si="146"/>
        <v>223.12394672673923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1.1368683772161603E-13</v>
      </c>
      <c r="BZ160" s="14">
        <f>BY160*VLOOKUP('Données projet'!$B$12,Paramètres!$A$1:$I$89,3,0)*VLOOKUP('Données projet'!$B$12,Paramètres!$A$1:$I$89,5,0)</f>
        <v>8.8675733422860506E-14</v>
      </c>
      <c r="CA160" s="14">
        <f t="shared" si="170"/>
        <v>1.3509285393066301E-12</v>
      </c>
      <c r="CB160" s="22">
        <f t="shared" si="171"/>
        <v>2.5073107750038623E-12</v>
      </c>
      <c r="CC160" s="62">
        <f t="shared" si="119"/>
        <v>293.33333333333582</v>
      </c>
      <c r="CD160" s="62">
        <f ca="1">AVERAGE(OFFSET($CC$3,0,0,'Données projet'!$E$12+1,1))-AVERAGE(OFFSET($H$3,0,0,'Données projet'!$E$12+1,1))</f>
        <v>249.25370091019835</v>
      </c>
      <c r="CE160" s="62">
        <f t="shared" si="148"/>
        <v>245.46410820099908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6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2">
        <f t="shared" si="140"/>
        <v>23.662949996567761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9">
        <f t="shared" si="110"/>
        <v>448.12973791068919</v>
      </c>
      <c r="I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-2.8421709430404007E-14</v>
      </c>
      <c r="O161" s="14">
        <f>N161*VLOOKUP('Données projet'!$B$9,Paramètres!$A$1:$I$89,3,0)*VLOOKUP('Données projet'!$B$9,Paramètres!$A$1:$I$89,5,0)</f>
        <v>-2.5715962692629544E-14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216.22465631364315</v>
      </c>
      <c r="T161" s="62">
        <f t="shared" si="142"/>
        <v>304.27938609150095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-9.6633812063373625E-13</v>
      </c>
      <c r="AJ161" s="14">
        <f>AI161*VLOOKUP('Données projet'!$B$10,Paramètres!$A$1:$I$89,3,0)*VLOOKUP('Données projet'!$B$10,Paramètres!$A$1:$I$89,5,0)</f>
        <v>-8.7434273154940449E-13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336.63786714776501</v>
      </c>
      <c r="AO161" s="62">
        <f t="shared" si="144"/>
        <v>208.9883766854885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-9.6633812063373625E-13</v>
      </c>
      <c r="BE161" s="14">
        <f>BD161*VLOOKUP('Données projet'!$B$11,Paramètres!$A$1:$I$89,3,0)*VLOOKUP('Données projet'!$B$11,Paramètres!$A$1:$I$89,5,0)</f>
        <v>-9.3464223027694966E-13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363.29716504383265</v>
      </c>
      <c r="BJ161" s="62">
        <f t="shared" si="146"/>
        <v>223.12394672673923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1.1368683772161603E-13</v>
      </c>
      <c r="BZ161" s="14">
        <f>BY161*VLOOKUP('Données projet'!$B$12,Paramètres!$A$1:$I$89,3,0)*VLOOKUP('Données projet'!$B$12,Paramètres!$A$1:$I$89,5,0)</f>
        <v>8.8675733422860506E-14</v>
      </c>
      <c r="CA161" s="14">
        <f t="shared" si="170"/>
        <v>1.3509285393066301E-12</v>
      </c>
      <c r="CB161" s="22">
        <f t="shared" si="171"/>
        <v>2.5073107750038623E-12</v>
      </c>
      <c r="CC161" s="62">
        <f t="shared" si="119"/>
        <v>293.33333333333582</v>
      </c>
      <c r="CD161" s="62">
        <f ca="1">AVERAGE(OFFSET($CC$3,0,0,'Données projet'!$E$12+1,1))-AVERAGE(OFFSET($H$3,0,0,'Données projet'!$E$12+1,1))</f>
        <v>249.25370091019835</v>
      </c>
      <c r="CE161" s="62">
        <f t="shared" si="148"/>
        <v>245.46410820099908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6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2">
        <f t="shared" si="140"/>
        <v>23.795234166993069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9">
        <f t="shared" si="110"/>
        <v>449.31108284084667</v>
      </c>
      <c r="I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-2.8421709430404007E-14</v>
      </c>
      <c r="O162" s="14">
        <f>N162*VLOOKUP('Données projet'!$B$9,Paramètres!$A$1:$I$89,3,0)*VLOOKUP('Données projet'!$B$9,Paramètres!$A$1:$I$89,5,0)</f>
        <v>-2.5715962692629544E-14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216.22465631364315</v>
      </c>
      <c r="T162" s="62">
        <f t="shared" si="142"/>
        <v>304.27938609150095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-9.6633812063373625E-13</v>
      </c>
      <c r="AJ162" s="14">
        <f>AI162*VLOOKUP('Données projet'!$B$10,Paramètres!$A$1:$I$89,3,0)*VLOOKUP('Données projet'!$B$10,Paramètres!$A$1:$I$89,5,0)</f>
        <v>-8.7434273154940449E-13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336.63786714776501</v>
      </c>
      <c r="AO162" s="62">
        <f t="shared" si="144"/>
        <v>208.9883766854885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-9.6633812063373625E-13</v>
      </c>
      <c r="BE162" s="14">
        <f>BD162*VLOOKUP('Données projet'!$B$11,Paramètres!$A$1:$I$89,3,0)*VLOOKUP('Données projet'!$B$11,Paramètres!$A$1:$I$89,5,0)</f>
        <v>-9.3464223027694966E-13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363.29716504383265</v>
      </c>
      <c r="BJ162" s="62">
        <f t="shared" si="146"/>
        <v>223.12394672673923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1.1368683772161603E-13</v>
      </c>
      <c r="BZ162" s="14">
        <f>BY162*VLOOKUP('Données projet'!$B$12,Paramètres!$A$1:$I$89,3,0)*VLOOKUP('Données projet'!$B$12,Paramètres!$A$1:$I$89,5,0)</f>
        <v>8.8675733422860506E-14</v>
      </c>
      <c r="CA162" s="14">
        <f t="shared" si="170"/>
        <v>1.3509285393066301E-12</v>
      </c>
      <c r="CB162" s="22">
        <f t="shared" si="171"/>
        <v>2.5073107750038623E-12</v>
      </c>
      <c r="CC162" s="62">
        <f t="shared" si="119"/>
        <v>293.33333333333582</v>
      </c>
      <c r="CD162" s="62">
        <f ca="1">AVERAGE(OFFSET($CC$3,0,0,'Données projet'!$E$12+1,1))-AVERAGE(OFFSET($H$3,0,0,'Données projet'!$E$12+1,1))</f>
        <v>249.25370091019835</v>
      </c>
      <c r="CE162" s="62">
        <f t="shared" si="148"/>
        <v>245.46410820099908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6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2">
        <f t="shared" si="140"/>
        <v>23.927421530185995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9">
        <f t="shared" si="110"/>
        <v>450.4922591650743</v>
      </c>
      <c r="I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-2.8421709430404007E-14</v>
      </c>
      <c r="O163" s="14">
        <f>N163*VLOOKUP('Données projet'!$B$9,Paramètres!$A$1:$I$89,3,0)*VLOOKUP('Données projet'!$B$9,Paramètres!$A$1:$I$89,5,0)</f>
        <v>-2.5715962692629544E-14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216.22465631364315</v>
      </c>
      <c r="T163" s="62">
        <f t="shared" si="142"/>
        <v>304.27938609150095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-9.6633812063373625E-13</v>
      </c>
      <c r="AJ163" s="14">
        <f>AI163*VLOOKUP('Données projet'!$B$10,Paramètres!$A$1:$I$89,3,0)*VLOOKUP('Données projet'!$B$10,Paramètres!$A$1:$I$89,5,0)</f>
        <v>-8.7434273154940449E-13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336.63786714776501</v>
      </c>
      <c r="AO163" s="62">
        <f t="shared" si="144"/>
        <v>208.9883766854885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-9.6633812063373625E-13</v>
      </c>
      <c r="BE163" s="14">
        <f>BD163*VLOOKUP('Données projet'!$B$11,Paramètres!$A$1:$I$89,3,0)*VLOOKUP('Données projet'!$B$11,Paramètres!$A$1:$I$89,5,0)</f>
        <v>-9.3464223027694966E-13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363.29716504383265</v>
      </c>
      <c r="BJ163" s="62">
        <f t="shared" si="146"/>
        <v>223.12394672673923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1.1368683772161603E-13</v>
      </c>
      <c r="BZ163" s="14">
        <f>BY163*VLOOKUP('Données projet'!$B$12,Paramètres!$A$1:$I$89,3,0)*VLOOKUP('Données projet'!$B$12,Paramètres!$A$1:$I$89,5,0)</f>
        <v>8.8675733422860506E-14</v>
      </c>
      <c r="CA163" s="14">
        <f t="shared" si="170"/>
        <v>1.3509285393066301E-12</v>
      </c>
      <c r="CB163" s="22">
        <f t="shared" si="171"/>
        <v>2.5073107750038623E-12</v>
      </c>
      <c r="CC163" s="62">
        <f t="shared" si="119"/>
        <v>293.33333333333582</v>
      </c>
      <c r="CD163" s="62">
        <f ca="1">AVERAGE(OFFSET($CC$3,0,0,'Données projet'!$E$12+1,1))-AVERAGE(OFFSET($H$3,0,0,'Données projet'!$E$12+1,1))</f>
        <v>249.25370091019835</v>
      </c>
      <c r="CE163" s="62">
        <f t="shared" si="148"/>
        <v>245.46410820099908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6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2">
        <f t="shared" si="140"/>
        <v>24.059512761382141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9">
        <f t="shared" si="110"/>
        <v>451.67326805940763</v>
      </c>
      <c r="I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-2.8421709430404007E-14</v>
      </c>
      <c r="O164" s="14">
        <f>N164*VLOOKUP('Données projet'!$B$9,Paramètres!$A$1:$I$89,3,0)*VLOOKUP('Données projet'!$B$9,Paramètres!$A$1:$I$89,5,0)</f>
        <v>-2.5715962692629544E-14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216.22465631364315</v>
      </c>
      <c r="T164" s="62">
        <f t="shared" si="142"/>
        <v>304.27938609150095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-9.6633812063373625E-13</v>
      </c>
      <c r="AJ164" s="14">
        <f>AI164*VLOOKUP('Données projet'!$B$10,Paramètres!$A$1:$I$89,3,0)*VLOOKUP('Données projet'!$B$10,Paramètres!$A$1:$I$89,5,0)</f>
        <v>-8.7434273154940449E-13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336.63786714776501</v>
      </c>
      <c r="AO164" s="62">
        <f t="shared" si="144"/>
        <v>208.9883766854885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-9.6633812063373625E-13</v>
      </c>
      <c r="BE164" s="14">
        <f>BD164*VLOOKUP('Données projet'!$B$11,Paramètres!$A$1:$I$89,3,0)*VLOOKUP('Données projet'!$B$11,Paramètres!$A$1:$I$89,5,0)</f>
        <v>-9.3464223027694966E-13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363.29716504383265</v>
      </c>
      <c r="BJ164" s="62">
        <f t="shared" si="146"/>
        <v>223.12394672673923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1.1368683772161603E-13</v>
      </c>
      <c r="BZ164" s="14">
        <f>BY164*VLOOKUP('Données projet'!$B$12,Paramètres!$A$1:$I$89,3,0)*VLOOKUP('Données projet'!$B$12,Paramètres!$A$1:$I$89,5,0)</f>
        <v>8.8675733422860506E-14</v>
      </c>
      <c r="CA164" s="14">
        <f t="shared" si="170"/>
        <v>1.3509285393066301E-12</v>
      </c>
      <c r="CB164" s="22">
        <f t="shared" si="171"/>
        <v>2.5073107750038623E-12</v>
      </c>
      <c r="CC164" s="62">
        <f t="shared" si="119"/>
        <v>293.33333333333582</v>
      </c>
      <c r="CD164" s="62">
        <f ca="1">AVERAGE(OFFSET($CC$3,0,0,'Données projet'!$E$12+1,1))-AVERAGE(OFFSET($H$3,0,0,'Données projet'!$E$12+1,1))</f>
        <v>249.25370091019835</v>
      </c>
      <c r="CE164" s="62">
        <f t="shared" si="148"/>
        <v>245.46410820099908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6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2">
        <f t="shared" si="140"/>
        <v>24.191508526944009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9">
        <f t="shared" si="110"/>
        <v>452.85411068442789</v>
      </c>
      <c r="I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-2.8421709430404007E-14</v>
      </c>
      <c r="O165" s="14">
        <f>N165*VLOOKUP('Données projet'!$B$9,Paramètres!$A$1:$I$89,3,0)*VLOOKUP('Données projet'!$B$9,Paramètres!$A$1:$I$89,5,0)</f>
        <v>-2.5715962692629544E-14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216.22465631364315</v>
      </c>
      <c r="T165" s="62">
        <f t="shared" si="142"/>
        <v>304.27938609150095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-9.6633812063373625E-13</v>
      </c>
      <c r="AJ165" s="14">
        <f>AI165*VLOOKUP('Données projet'!$B$10,Paramètres!$A$1:$I$89,3,0)*VLOOKUP('Données projet'!$B$10,Paramètres!$A$1:$I$89,5,0)</f>
        <v>-8.7434273154940449E-13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336.63786714776501</v>
      </c>
      <c r="AO165" s="62">
        <f t="shared" si="144"/>
        <v>208.9883766854885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-9.6633812063373625E-13</v>
      </c>
      <c r="BE165" s="14">
        <f>BD165*VLOOKUP('Données projet'!$B$11,Paramètres!$A$1:$I$89,3,0)*VLOOKUP('Données projet'!$B$11,Paramètres!$A$1:$I$89,5,0)</f>
        <v>-9.3464223027694966E-13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363.29716504383265</v>
      </c>
      <c r="BJ165" s="62">
        <f t="shared" si="146"/>
        <v>223.12394672673923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1.1368683772161603E-13</v>
      </c>
      <c r="BZ165" s="14">
        <f>BY165*VLOOKUP('Données projet'!$B$12,Paramètres!$A$1:$I$89,3,0)*VLOOKUP('Données projet'!$B$12,Paramètres!$A$1:$I$89,5,0)</f>
        <v>8.8675733422860506E-14</v>
      </c>
      <c r="CA165" s="14">
        <f t="shared" si="170"/>
        <v>1.3509285393066301E-12</v>
      </c>
      <c r="CB165" s="22">
        <f t="shared" si="171"/>
        <v>2.5073107750038623E-12</v>
      </c>
      <c r="CC165" s="62">
        <f t="shared" si="119"/>
        <v>293.33333333333582</v>
      </c>
      <c r="CD165" s="62">
        <f ca="1">AVERAGE(OFFSET($CC$3,0,0,'Données projet'!$E$12+1,1))-AVERAGE(OFFSET($H$3,0,0,'Données projet'!$E$12+1,1))</f>
        <v>249.25370091019835</v>
      </c>
      <c r="CE165" s="62">
        <f t="shared" si="148"/>
        <v>245.46410820099908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6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2">
        <f t="shared" si="140"/>
        <v>24.323409484531542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9">
        <f t="shared" si="110"/>
        <v>454.03478818555948</v>
      </c>
      <c r="I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-2.8421709430404007E-14</v>
      </c>
      <c r="O166" s="14">
        <f>N166*VLOOKUP('Données projet'!$B$9,Paramètres!$A$1:$I$89,3,0)*VLOOKUP('Données projet'!$B$9,Paramètres!$A$1:$I$89,5,0)</f>
        <v>-2.5715962692629544E-14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216.22465631364315</v>
      </c>
      <c r="T166" s="62">
        <f t="shared" si="142"/>
        <v>304.27938609150095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-9.6633812063373625E-13</v>
      </c>
      <c r="AJ166" s="14">
        <f>AI166*VLOOKUP('Données projet'!$B$10,Paramètres!$A$1:$I$89,3,0)*VLOOKUP('Données projet'!$B$10,Paramètres!$A$1:$I$89,5,0)</f>
        <v>-8.7434273154940449E-13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336.63786714776501</v>
      </c>
      <c r="AO166" s="62">
        <f t="shared" si="144"/>
        <v>208.9883766854885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-9.6633812063373625E-13</v>
      </c>
      <c r="BE166" s="14">
        <f>BD166*VLOOKUP('Données projet'!$B$11,Paramètres!$A$1:$I$89,3,0)*VLOOKUP('Données projet'!$B$11,Paramètres!$A$1:$I$89,5,0)</f>
        <v>-9.3464223027694966E-13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363.29716504383265</v>
      </c>
      <c r="BJ166" s="62">
        <f t="shared" si="146"/>
        <v>223.12394672673923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1.1368683772161603E-13</v>
      </c>
      <c r="BZ166" s="14">
        <f>BY166*VLOOKUP('Données projet'!$B$12,Paramètres!$A$1:$I$89,3,0)*VLOOKUP('Données projet'!$B$12,Paramètres!$A$1:$I$89,5,0)</f>
        <v>8.8675733422860506E-14</v>
      </c>
      <c r="CA166" s="14">
        <f t="shared" si="170"/>
        <v>1.3509285393066301E-12</v>
      </c>
      <c r="CB166" s="22">
        <f t="shared" si="171"/>
        <v>2.5073107750038623E-12</v>
      </c>
      <c r="CC166" s="62">
        <f t="shared" si="119"/>
        <v>293.33333333333582</v>
      </c>
      <c r="CD166" s="62">
        <f ca="1">AVERAGE(OFFSET($CC$3,0,0,'Données projet'!$E$12+1,1))-AVERAGE(OFFSET($H$3,0,0,'Données projet'!$E$12+1,1))</f>
        <v>249.25370091019835</v>
      </c>
      <c r="CE166" s="62">
        <f t="shared" si="148"/>
        <v>245.46410820099908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6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2">
        <f t="shared" si="140"/>
        <v>24.455216283268463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9">
        <f t="shared" si="110"/>
        <v>455.21530169335966</v>
      </c>
      <c r="I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-2.8421709430404007E-14</v>
      </c>
      <c r="O167" s="14">
        <f>N167*VLOOKUP('Données projet'!$B$9,Paramètres!$A$1:$I$89,3,0)*VLOOKUP('Données projet'!$B$9,Paramètres!$A$1:$I$89,5,0)</f>
        <v>-2.5715962692629544E-14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216.22465631364315</v>
      </c>
      <c r="T167" s="62">
        <f t="shared" si="142"/>
        <v>304.27938609150095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-9.6633812063373625E-13</v>
      </c>
      <c r="AJ167" s="14">
        <f>AI167*VLOOKUP('Données projet'!$B$10,Paramètres!$A$1:$I$89,3,0)*VLOOKUP('Données projet'!$B$10,Paramètres!$A$1:$I$89,5,0)</f>
        <v>-8.7434273154940449E-13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336.63786714776501</v>
      </c>
      <c r="AO167" s="62">
        <f t="shared" si="144"/>
        <v>208.9883766854885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-9.6633812063373625E-13</v>
      </c>
      <c r="BE167" s="14">
        <f>BD167*VLOOKUP('Données projet'!$B$11,Paramètres!$A$1:$I$89,3,0)*VLOOKUP('Données projet'!$B$11,Paramètres!$A$1:$I$89,5,0)</f>
        <v>-9.3464223027694966E-13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363.29716504383265</v>
      </c>
      <c r="BJ167" s="62">
        <f t="shared" si="146"/>
        <v>223.12394672673923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1.1368683772161603E-13</v>
      </c>
      <c r="BZ167" s="14">
        <f>BY167*VLOOKUP('Données projet'!$B$12,Paramètres!$A$1:$I$89,3,0)*VLOOKUP('Données projet'!$B$12,Paramètres!$A$1:$I$89,5,0)</f>
        <v>8.8675733422860506E-14</v>
      </c>
      <c r="CA167" s="14">
        <f t="shared" si="170"/>
        <v>1.3509285393066301E-12</v>
      </c>
      <c r="CB167" s="22">
        <f t="shared" si="171"/>
        <v>2.5073107750038623E-12</v>
      </c>
      <c r="CC167" s="62">
        <f t="shared" si="119"/>
        <v>293.33333333333582</v>
      </c>
      <c r="CD167" s="62">
        <f ca="1">AVERAGE(OFFSET($CC$3,0,0,'Données projet'!$E$12+1,1))-AVERAGE(OFFSET($H$3,0,0,'Données projet'!$E$12+1,1))</f>
        <v>249.25370091019835</v>
      </c>
      <c r="CE167" s="62">
        <f t="shared" si="148"/>
        <v>245.46410820099908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6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2">
        <f t="shared" si="140"/>
        <v>24.586929563904505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9">
        <f t="shared" si="110"/>
        <v>456.39565232380079</v>
      </c>
      <c r="I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-2.8421709430404007E-14</v>
      </c>
      <c r="O168" s="14">
        <f>N168*VLOOKUP('Données projet'!$B$9,Paramètres!$A$1:$I$89,3,0)*VLOOKUP('Données projet'!$B$9,Paramètres!$A$1:$I$89,5,0)</f>
        <v>-2.5715962692629544E-14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216.22465631364315</v>
      </c>
      <c r="T168" s="62">
        <f t="shared" si="142"/>
        <v>304.27938609150095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-9.6633812063373625E-13</v>
      </c>
      <c r="AJ168" s="14">
        <f>AI168*VLOOKUP('Données projet'!$B$10,Paramètres!$A$1:$I$89,3,0)*VLOOKUP('Données projet'!$B$10,Paramètres!$A$1:$I$89,5,0)</f>
        <v>-8.7434273154940449E-13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336.63786714776501</v>
      </c>
      <c r="AO168" s="62">
        <f t="shared" si="144"/>
        <v>208.9883766854885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-9.6633812063373625E-13</v>
      </c>
      <c r="BE168" s="14">
        <f>BD168*VLOOKUP('Données projet'!$B$11,Paramètres!$A$1:$I$89,3,0)*VLOOKUP('Données projet'!$B$11,Paramètres!$A$1:$I$89,5,0)</f>
        <v>-9.3464223027694966E-13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363.29716504383265</v>
      </c>
      <c r="BJ168" s="62">
        <f t="shared" si="146"/>
        <v>223.12394672673923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1.1368683772161603E-13</v>
      </c>
      <c r="BZ168" s="14">
        <f>BY168*VLOOKUP('Données projet'!$B$12,Paramètres!$A$1:$I$89,3,0)*VLOOKUP('Données projet'!$B$12,Paramètres!$A$1:$I$89,5,0)</f>
        <v>8.8675733422860506E-14</v>
      </c>
      <c r="CA168" s="14">
        <f t="shared" si="170"/>
        <v>1.3509285393066301E-12</v>
      </c>
      <c r="CB168" s="22">
        <f t="shared" si="171"/>
        <v>2.5073107750038623E-12</v>
      </c>
      <c r="CC168" s="62">
        <f t="shared" si="119"/>
        <v>293.33333333333582</v>
      </c>
      <c r="CD168" s="62">
        <f ca="1">AVERAGE(OFFSET($CC$3,0,0,'Données projet'!$E$12+1,1))-AVERAGE(OFFSET($H$3,0,0,'Données projet'!$E$12+1,1))</f>
        <v>249.25370091019835</v>
      </c>
      <c r="CE168" s="62">
        <f t="shared" si="148"/>
        <v>245.46410820099908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6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2">
        <f t="shared" si="140"/>
        <v>24.718549958973419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9">
        <f t="shared" si="110"/>
        <v>457.57584117854583</v>
      </c>
      <c r="I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-2.8421709430404007E-14</v>
      </c>
      <c r="O169" s="14">
        <f>N169*VLOOKUP('Données projet'!$B$9,Paramètres!$A$1:$I$89,3,0)*VLOOKUP('Données projet'!$B$9,Paramètres!$A$1:$I$89,5,0)</f>
        <v>-2.5715962692629544E-14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216.22465631364315</v>
      </c>
      <c r="T169" s="62">
        <f t="shared" si="142"/>
        <v>304.27938609150095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-9.6633812063373625E-13</v>
      </c>
      <c r="AJ169" s="14">
        <f>AI169*VLOOKUP('Données projet'!$B$10,Paramètres!$A$1:$I$89,3,0)*VLOOKUP('Données projet'!$B$10,Paramètres!$A$1:$I$89,5,0)</f>
        <v>-8.7434273154940449E-13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336.63786714776501</v>
      </c>
      <c r="AO169" s="62">
        <f t="shared" si="144"/>
        <v>208.9883766854885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-9.6633812063373625E-13</v>
      </c>
      <c r="BE169" s="14">
        <f>BD169*VLOOKUP('Données projet'!$B$11,Paramètres!$A$1:$I$89,3,0)*VLOOKUP('Données projet'!$B$11,Paramètres!$A$1:$I$89,5,0)</f>
        <v>-9.3464223027694966E-13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363.29716504383265</v>
      </c>
      <c r="BJ169" s="62">
        <f t="shared" si="146"/>
        <v>223.12394672673923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1.1368683772161603E-13</v>
      </c>
      <c r="BZ169" s="14">
        <f>BY169*VLOOKUP('Données projet'!$B$12,Paramètres!$A$1:$I$89,3,0)*VLOOKUP('Données projet'!$B$12,Paramètres!$A$1:$I$89,5,0)</f>
        <v>8.8675733422860506E-14</v>
      </c>
      <c r="CA169" s="14">
        <f t="shared" si="170"/>
        <v>1.3509285393066301E-12</v>
      </c>
      <c r="CB169" s="22">
        <f t="shared" si="171"/>
        <v>2.5073107750038623E-12</v>
      </c>
      <c r="CC169" s="62">
        <f t="shared" si="119"/>
        <v>293.33333333333582</v>
      </c>
      <c r="CD169" s="62">
        <f ca="1">AVERAGE(OFFSET($CC$3,0,0,'Données projet'!$E$12+1,1))-AVERAGE(OFFSET($H$3,0,0,'Données projet'!$E$12+1,1))</f>
        <v>249.25370091019835</v>
      </c>
      <c r="CE169" s="62">
        <f t="shared" si="148"/>
        <v>245.46410820099908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6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2">
        <f t="shared" si="140"/>
        <v>24.850078092947228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9">
        <f t="shared" si="110"/>
        <v>458.75586934521687</v>
      </c>
      <c r="I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-2.8421709430404007E-14</v>
      </c>
      <c r="O170" s="14">
        <f>N170*VLOOKUP('Données projet'!$B$9,Paramètres!$A$1:$I$89,3,0)*VLOOKUP('Données projet'!$B$9,Paramètres!$A$1:$I$89,5,0)</f>
        <v>-2.5715962692629544E-14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216.22465631364315</v>
      </c>
      <c r="T170" s="62">
        <f t="shared" si="142"/>
        <v>304.27938609150095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-9.6633812063373625E-13</v>
      </c>
      <c r="AJ170" s="14">
        <f>AI170*VLOOKUP('Données projet'!$B$10,Paramètres!$A$1:$I$89,3,0)*VLOOKUP('Données projet'!$B$10,Paramètres!$A$1:$I$89,5,0)</f>
        <v>-8.7434273154940449E-13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336.63786714776501</v>
      </c>
      <c r="AO170" s="62">
        <f t="shared" si="144"/>
        <v>208.9883766854885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-9.6633812063373625E-13</v>
      </c>
      <c r="BE170" s="14">
        <f>BD170*VLOOKUP('Données projet'!$B$11,Paramètres!$A$1:$I$89,3,0)*VLOOKUP('Données projet'!$B$11,Paramètres!$A$1:$I$89,5,0)</f>
        <v>-9.3464223027694966E-13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363.29716504383265</v>
      </c>
      <c r="BJ170" s="62">
        <f t="shared" si="146"/>
        <v>223.12394672673923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1.1368683772161603E-13</v>
      </c>
      <c r="BZ170" s="14">
        <f>BY170*VLOOKUP('Données projet'!$B$12,Paramètres!$A$1:$I$89,3,0)*VLOOKUP('Données projet'!$B$12,Paramètres!$A$1:$I$89,5,0)</f>
        <v>8.8675733422860506E-14</v>
      </c>
      <c r="CA170" s="14">
        <f t="shared" si="170"/>
        <v>1.3509285393066301E-12</v>
      </c>
      <c r="CB170" s="22">
        <f t="shared" si="171"/>
        <v>2.5073107750038623E-12</v>
      </c>
      <c r="CC170" s="62">
        <f t="shared" si="119"/>
        <v>293.33333333333582</v>
      </c>
      <c r="CD170" s="62">
        <f ca="1">AVERAGE(OFFSET($CC$3,0,0,'Données projet'!$E$12+1,1))-AVERAGE(OFFSET($H$3,0,0,'Données projet'!$E$12+1,1))</f>
        <v>249.25370091019835</v>
      </c>
      <c r="CE170" s="62">
        <f t="shared" si="148"/>
        <v>245.46410820099908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6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2">
        <f t="shared" si="140"/>
        <v>24.981514582386627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9">
        <f t="shared" si="110"/>
        <v>459.93573789765719</v>
      </c>
      <c r="I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-2.8421709430404007E-14</v>
      </c>
      <c r="O171" s="14">
        <f>N171*VLOOKUP('Données projet'!$B$9,Paramètres!$A$1:$I$89,3,0)*VLOOKUP('Données projet'!$B$9,Paramètres!$A$1:$I$89,5,0)</f>
        <v>-2.5715962692629544E-14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216.22465631364315</v>
      </c>
      <c r="T171" s="62">
        <f t="shared" si="142"/>
        <v>304.27938609150095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-9.6633812063373625E-13</v>
      </c>
      <c r="AJ171" s="14">
        <f>AI171*VLOOKUP('Données projet'!$B$10,Paramètres!$A$1:$I$89,3,0)*VLOOKUP('Données projet'!$B$10,Paramètres!$A$1:$I$89,5,0)</f>
        <v>-8.7434273154940449E-13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336.63786714776501</v>
      </c>
      <c r="AO171" s="62">
        <f t="shared" si="144"/>
        <v>208.9883766854885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-9.6633812063373625E-13</v>
      </c>
      <c r="BE171" s="14">
        <f>BD171*VLOOKUP('Données projet'!$B$11,Paramètres!$A$1:$I$89,3,0)*VLOOKUP('Données projet'!$B$11,Paramètres!$A$1:$I$89,5,0)</f>
        <v>-9.3464223027694966E-13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363.29716504383265</v>
      </c>
      <c r="BJ171" s="62">
        <f t="shared" si="146"/>
        <v>223.12394672673923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1.1368683772161603E-13</v>
      </c>
      <c r="BZ171" s="14">
        <f>BY171*VLOOKUP('Données projet'!$B$12,Paramètres!$A$1:$I$89,3,0)*VLOOKUP('Données projet'!$B$12,Paramètres!$A$1:$I$89,5,0)</f>
        <v>8.8675733422860506E-14</v>
      </c>
      <c r="CA171" s="14">
        <f t="shared" si="170"/>
        <v>1.3509285393066301E-12</v>
      </c>
      <c r="CB171" s="22">
        <f t="shared" si="171"/>
        <v>2.5073107750038623E-12</v>
      </c>
      <c r="CC171" s="62">
        <f t="shared" si="119"/>
        <v>293.33333333333582</v>
      </c>
      <c r="CD171" s="62">
        <f ca="1">AVERAGE(OFFSET($CC$3,0,0,'Données projet'!$E$12+1,1))-AVERAGE(OFFSET($H$3,0,0,'Données projet'!$E$12+1,1))</f>
        <v>249.25370091019835</v>
      </c>
      <c r="CE171" s="62">
        <f t="shared" si="148"/>
        <v>245.46410820099908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6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2">
        <f t="shared" si="140"/>
        <v>25.112860036087632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9">
        <f t="shared" si="110"/>
        <v>461.11544789618642</v>
      </c>
      <c r="I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-2.8421709430404007E-14</v>
      </c>
      <c r="O172" s="14">
        <f>N172*VLOOKUP('Données projet'!$B$9,Paramètres!$A$1:$I$89,3,0)*VLOOKUP('Données projet'!$B$9,Paramètres!$A$1:$I$89,5,0)</f>
        <v>-2.5715962692629544E-14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216.22465631364315</v>
      </c>
      <c r="T172" s="62">
        <f t="shared" si="142"/>
        <v>304.27938609150095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-9.6633812063373625E-13</v>
      </c>
      <c r="AJ172" s="14">
        <f>AI172*VLOOKUP('Données projet'!$B$10,Paramètres!$A$1:$I$89,3,0)*VLOOKUP('Données projet'!$B$10,Paramètres!$A$1:$I$89,5,0)</f>
        <v>-8.7434273154940449E-13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336.63786714776501</v>
      </c>
      <c r="AO172" s="62">
        <f t="shared" si="144"/>
        <v>208.9883766854885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-9.6633812063373625E-13</v>
      </c>
      <c r="BE172" s="14">
        <f>BD172*VLOOKUP('Données projet'!$B$11,Paramètres!$A$1:$I$89,3,0)*VLOOKUP('Données projet'!$B$11,Paramètres!$A$1:$I$89,5,0)</f>
        <v>-9.3464223027694966E-13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363.29716504383265</v>
      </c>
      <c r="BJ172" s="62">
        <f t="shared" si="146"/>
        <v>223.12394672673923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1.1368683772161603E-13</v>
      </c>
      <c r="BZ172" s="14">
        <f>BY172*VLOOKUP('Données projet'!$B$12,Paramètres!$A$1:$I$89,3,0)*VLOOKUP('Données projet'!$B$12,Paramètres!$A$1:$I$89,5,0)</f>
        <v>8.8675733422860506E-14</v>
      </c>
      <c r="CA172" s="14">
        <f t="shared" si="170"/>
        <v>1.3509285393066301E-12</v>
      </c>
      <c r="CB172" s="22">
        <f t="shared" si="171"/>
        <v>2.5073107750038623E-12</v>
      </c>
      <c r="CC172" s="62">
        <f t="shared" si="119"/>
        <v>293.33333333333582</v>
      </c>
      <c r="CD172" s="62">
        <f ca="1">AVERAGE(OFFSET($CC$3,0,0,'Données projet'!$E$12+1,1))-AVERAGE(OFFSET($H$3,0,0,'Données projet'!$E$12+1,1))</f>
        <v>249.25370091019835</v>
      </c>
      <c r="CE172" s="62">
        <f t="shared" si="148"/>
        <v>245.46410820099908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6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2">
        <f t="shared" si="140"/>
        <v>25.244115055224771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9">
        <f t="shared" si="110"/>
        <v>462.29500038785034</v>
      </c>
      <c r="I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-2.8421709430404007E-14</v>
      </c>
      <c r="O173" s="14">
        <f>N173*VLOOKUP('Données projet'!$B$9,Paramètres!$A$1:$I$89,3,0)*VLOOKUP('Données projet'!$B$9,Paramètres!$A$1:$I$89,5,0)</f>
        <v>-2.5715962692629544E-14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216.22465631364315</v>
      </c>
      <c r="T173" s="62">
        <f t="shared" si="142"/>
        <v>304.27938609150095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-9.6633812063373625E-13</v>
      </c>
      <c r="AJ173" s="14">
        <f>AI173*VLOOKUP('Données projet'!$B$10,Paramètres!$A$1:$I$89,3,0)*VLOOKUP('Données projet'!$B$10,Paramètres!$A$1:$I$89,5,0)</f>
        <v>-8.7434273154940449E-13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336.63786714776501</v>
      </c>
      <c r="AO173" s="62">
        <f t="shared" si="144"/>
        <v>208.9883766854885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-9.6633812063373625E-13</v>
      </c>
      <c r="BE173" s="14">
        <f>BD173*VLOOKUP('Données projet'!$B$11,Paramètres!$A$1:$I$89,3,0)*VLOOKUP('Données projet'!$B$11,Paramètres!$A$1:$I$89,5,0)</f>
        <v>-9.3464223027694966E-13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363.29716504383265</v>
      </c>
      <c r="BJ173" s="62">
        <f t="shared" si="146"/>
        <v>223.12394672673923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1.1368683772161603E-13</v>
      </c>
      <c r="BZ173" s="14">
        <f>BY173*VLOOKUP('Données projet'!$B$12,Paramètres!$A$1:$I$89,3,0)*VLOOKUP('Données projet'!$B$12,Paramètres!$A$1:$I$89,5,0)</f>
        <v>8.8675733422860506E-14</v>
      </c>
      <c r="CA173" s="14">
        <f t="shared" si="170"/>
        <v>1.3509285393066301E-12</v>
      </c>
      <c r="CB173" s="22">
        <f t="shared" si="171"/>
        <v>2.5073107750038623E-12</v>
      </c>
      <c r="CC173" s="62">
        <f t="shared" si="119"/>
        <v>293.33333333333582</v>
      </c>
      <c r="CD173" s="62">
        <f ca="1">AVERAGE(OFFSET($CC$3,0,0,'Données projet'!$E$12+1,1))-AVERAGE(OFFSET($H$3,0,0,'Données projet'!$E$12+1,1))</f>
        <v>249.25370091019835</v>
      </c>
      <c r="CE173" s="62">
        <f t="shared" si="148"/>
        <v>245.46410820099908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6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2">
        <f t="shared" si="140"/>
        <v>25.375280233490745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9">
        <f t="shared" si="110"/>
        <v>463.47439640666357</v>
      </c>
      <c r="I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-2.8421709430404007E-14</v>
      </c>
      <c r="O174" s="14">
        <f>N174*VLOOKUP('Données projet'!$B$9,Paramètres!$A$1:$I$89,3,0)*VLOOKUP('Données projet'!$B$9,Paramètres!$A$1:$I$89,5,0)</f>
        <v>-2.5715962692629544E-14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216.22465631364315</v>
      </c>
      <c r="T174" s="62">
        <f t="shared" si="142"/>
        <v>304.27938609150095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-9.6633812063373625E-13</v>
      </c>
      <c r="AJ174" s="14">
        <f>AI174*VLOOKUP('Données projet'!$B$10,Paramètres!$A$1:$I$89,3,0)*VLOOKUP('Données projet'!$B$10,Paramètres!$A$1:$I$89,5,0)</f>
        <v>-8.7434273154940449E-13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336.63786714776501</v>
      </c>
      <c r="AO174" s="62">
        <f t="shared" si="144"/>
        <v>208.9883766854885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-9.6633812063373625E-13</v>
      </c>
      <c r="BE174" s="14">
        <f>BD174*VLOOKUP('Données projet'!$B$11,Paramètres!$A$1:$I$89,3,0)*VLOOKUP('Données projet'!$B$11,Paramètres!$A$1:$I$89,5,0)</f>
        <v>-9.3464223027694966E-13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363.29716504383265</v>
      </c>
      <c r="BJ174" s="62">
        <f t="shared" si="146"/>
        <v>223.12394672673923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1.1368683772161603E-13</v>
      </c>
      <c r="BZ174" s="14">
        <f>BY174*VLOOKUP('Données projet'!$B$12,Paramètres!$A$1:$I$89,3,0)*VLOOKUP('Données projet'!$B$12,Paramètres!$A$1:$I$89,5,0)</f>
        <v>8.8675733422860506E-14</v>
      </c>
      <c r="CA174" s="14">
        <f t="shared" si="170"/>
        <v>1.3509285393066301E-12</v>
      </c>
      <c r="CB174" s="22">
        <f t="shared" si="171"/>
        <v>2.5073107750038623E-12</v>
      </c>
      <c r="CC174" s="62">
        <f t="shared" si="119"/>
        <v>293.33333333333582</v>
      </c>
      <c r="CD174" s="62">
        <f ca="1">AVERAGE(OFFSET($CC$3,0,0,'Données projet'!$E$12+1,1))-AVERAGE(OFFSET($H$3,0,0,'Données projet'!$E$12+1,1))</f>
        <v>249.25370091019835</v>
      </c>
      <c r="CE174" s="62">
        <f t="shared" si="148"/>
        <v>245.46410820099908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6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2">
        <f t="shared" si="140"/>
        <v>25.506356157232712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9">
        <f t="shared" si="110"/>
        <v>464.65363697384748</v>
      </c>
      <c r="I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-2.8421709430404007E-14</v>
      </c>
      <c r="O175" s="14">
        <f>N175*VLOOKUP('Données projet'!$B$9,Paramètres!$A$1:$I$89,3,0)*VLOOKUP('Données projet'!$B$9,Paramètres!$A$1:$I$89,5,0)</f>
        <v>-2.5715962692629544E-14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216.22465631364315</v>
      </c>
      <c r="T175" s="62">
        <f t="shared" si="142"/>
        <v>304.27938609150095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-9.6633812063373625E-13</v>
      </c>
      <c r="AJ175" s="14">
        <f>AI175*VLOOKUP('Données projet'!$B$10,Paramètres!$A$1:$I$89,3,0)*VLOOKUP('Données projet'!$B$10,Paramètres!$A$1:$I$89,5,0)</f>
        <v>-8.7434273154940449E-13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336.63786714776501</v>
      </c>
      <c r="AO175" s="62">
        <f t="shared" si="144"/>
        <v>208.9883766854885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-9.6633812063373625E-13</v>
      </c>
      <c r="BE175" s="14">
        <f>BD175*VLOOKUP('Données projet'!$B$11,Paramètres!$A$1:$I$89,3,0)*VLOOKUP('Données projet'!$B$11,Paramètres!$A$1:$I$89,5,0)</f>
        <v>-9.3464223027694966E-13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363.29716504383265</v>
      </c>
      <c r="BJ175" s="62">
        <f t="shared" si="146"/>
        <v>223.12394672673923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1.1368683772161603E-13</v>
      </c>
      <c r="BZ175" s="14">
        <f>BY175*VLOOKUP('Données projet'!$B$12,Paramètres!$A$1:$I$89,3,0)*VLOOKUP('Données projet'!$B$12,Paramètres!$A$1:$I$89,5,0)</f>
        <v>8.8675733422860506E-14</v>
      </c>
      <c r="CA175" s="14">
        <f t="shared" si="170"/>
        <v>1.3509285393066301E-12</v>
      </c>
      <c r="CB175" s="22">
        <f t="shared" si="171"/>
        <v>2.5073107750038623E-12</v>
      </c>
      <c r="CC175" s="62">
        <f t="shared" si="119"/>
        <v>293.33333333333582</v>
      </c>
      <c r="CD175" s="62">
        <f ca="1">AVERAGE(OFFSET($CC$3,0,0,'Données projet'!$E$12+1,1))-AVERAGE(OFFSET($H$3,0,0,'Données projet'!$E$12+1,1))</f>
        <v>249.25370091019835</v>
      </c>
      <c r="CE175" s="62">
        <f t="shared" si="148"/>
        <v>245.46410820099908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6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2">
        <f t="shared" si="140"/>
        <v>25.637343405585391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9">
        <f t="shared" si="110"/>
        <v>465.83272309806171</v>
      </c>
      <c r="I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-2.8421709430404007E-14</v>
      </c>
      <c r="O176" s="14">
        <f>N176*VLOOKUP('Données projet'!$B$9,Paramètres!$A$1:$I$89,3,0)*VLOOKUP('Données projet'!$B$9,Paramètres!$A$1:$I$89,5,0)</f>
        <v>-2.5715962692629544E-14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216.22465631364315</v>
      </c>
      <c r="T176" s="62">
        <f t="shared" si="142"/>
        <v>304.27938609150095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-9.6633812063373625E-13</v>
      </c>
      <c r="AJ176" s="14">
        <f>AI176*VLOOKUP('Données projet'!$B$10,Paramètres!$A$1:$I$89,3,0)*VLOOKUP('Données projet'!$B$10,Paramètres!$A$1:$I$89,5,0)</f>
        <v>-8.7434273154940449E-13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336.63786714776501</v>
      </c>
      <c r="AO176" s="62">
        <f t="shared" si="144"/>
        <v>208.9883766854885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-9.6633812063373625E-13</v>
      </c>
      <c r="BE176" s="14">
        <f>BD176*VLOOKUP('Données projet'!$B$11,Paramètres!$A$1:$I$89,3,0)*VLOOKUP('Données projet'!$B$11,Paramètres!$A$1:$I$89,5,0)</f>
        <v>-9.3464223027694966E-13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363.29716504383265</v>
      </c>
      <c r="BJ176" s="62">
        <f t="shared" si="146"/>
        <v>223.12394672673923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1.1368683772161603E-13</v>
      </c>
      <c r="BZ176" s="14">
        <f>BY176*VLOOKUP('Données projet'!$B$12,Paramètres!$A$1:$I$89,3,0)*VLOOKUP('Données projet'!$B$12,Paramètres!$A$1:$I$89,5,0)</f>
        <v>8.8675733422860506E-14</v>
      </c>
      <c r="CA176" s="14">
        <f t="shared" si="170"/>
        <v>1.3509285393066301E-12</v>
      </c>
      <c r="CB176" s="22">
        <f t="shared" si="171"/>
        <v>2.5073107750038623E-12</v>
      </c>
      <c r="CC176" s="62">
        <f t="shared" si="119"/>
        <v>293.33333333333582</v>
      </c>
      <c r="CD176" s="62">
        <f ca="1">AVERAGE(OFFSET($CC$3,0,0,'Données projet'!$E$12+1,1))-AVERAGE(OFFSET($H$3,0,0,'Données projet'!$E$12+1,1))</f>
        <v>249.25370091019835</v>
      </c>
      <c r="CE176" s="62">
        <f t="shared" si="148"/>
        <v>245.46410820099908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6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2">
        <f t="shared" si="140"/>
        <v>25.768242550600831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9">
        <f t="shared" si="110"/>
        <v>467.01165577563029</v>
      </c>
      <c r="I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-2.8421709430404007E-14</v>
      </c>
      <c r="O177" s="14">
        <f>N177*VLOOKUP('Données projet'!$B$9,Paramètres!$A$1:$I$89,3,0)*VLOOKUP('Données projet'!$B$9,Paramètres!$A$1:$I$89,5,0)</f>
        <v>-2.5715962692629544E-14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216.22465631364315</v>
      </c>
      <c r="T177" s="62">
        <f t="shared" si="142"/>
        <v>304.27938609150095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-9.6633812063373625E-13</v>
      </c>
      <c r="AJ177" s="14">
        <f>AI177*VLOOKUP('Données projet'!$B$10,Paramètres!$A$1:$I$89,3,0)*VLOOKUP('Données projet'!$B$10,Paramètres!$A$1:$I$89,5,0)</f>
        <v>-8.7434273154940449E-13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336.63786714776501</v>
      </c>
      <c r="AO177" s="62">
        <f t="shared" si="144"/>
        <v>208.9883766854885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-9.6633812063373625E-13</v>
      </c>
      <c r="BE177" s="14">
        <f>BD177*VLOOKUP('Données projet'!$B$11,Paramètres!$A$1:$I$89,3,0)*VLOOKUP('Données projet'!$B$11,Paramètres!$A$1:$I$89,5,0)</f>
        <v>-9.3464223027694966E-13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363.29716504383265</v>
      </c>
      <c r="BJ177" s="62">
        <f t="shared" si="146"/>
        <v>223.12394672673923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1.1368683772161603E-13</v>
      </c>
      <c r="BZ177" s="14">
        <f>BY177*VLOOKUP('Données projet'!$B$12,Paramètres!$A$1:$I$89,3,0)*VLOOKUP('Données projet'!$B$12,Paramètres!$A$1:$I$89,5,0)</f>
        <v>8.8675733422860506E-14</v>
      </c>
      <c r="CA177" s="14">
        <f t="shared" si="170"/>
        <v>1.3509285393066301E-12</v>
      </c>
      <c r="CB177" s="22">
        <f t="shared" si="171"/>
        <v>2.5073107750038623E-12</v>
      </c>
      <c r="CC177" s="62">
        <f t="shared" si="119"/>
        <v>293.33333333333582</v>
      </c>
      <c r="CD177" s="62">
        <f ca="1">AVERAGE(OFFSET($CC$3,0,0,'Données projet'!$E$12+1,1))-AVERAGE(OFFSET($H$3,0,0,'Données projet'!$E$12+1,1))</f>
        <v>249.25370091019835</v>
      </c>
      <c r="CE177" s="62">
        <f t="shared" si="148"/>
        <v>245.46410820099908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6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2">
        <f t="shared" si="140"/>
        <v>25.89905415737541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9">
        <f t="shared" si="110"/>
        <v>468.19043599076269</v>
      </c>
      <c r="I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-2.8421709430404007E-14</v>
      </c>
      <c r="O178" s="14">
        <f>N178*VLOOKUP('Données projet'!$B$9,Paramètres!$A$1:$I$89,3,0)*VLOOKUP('Données projet'!$B$9,Paramètres!$A$1:$I$89,5,0)</f>
        <v>-2.5715962692629544E-14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216.22465631364315</v>
      </c>
      <c r="T178" s="62">
        <f t="shared" si="142"/>
        <v>304.27938609150095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-9.6633812063373625E-13</v>
      </c>
      <c r="AJ178" s="14">
        <f>AI178*VLOOKUP('Données projet'!$B$10,Paramètres!$A$1:$I$89,3,0)*VLOOKUP('Données projet'!$B$10,Paramètres!$A$1:$I$89,5,0)</f>
        <v>-8.7434273154940449E-13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336.63786714776501</v>
      </c>
      <c r="AO178" s="62">
        <f t="shared" si="144"/>
        <v>208.9883766854885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-9.6633812063373625E-13</v>
      </c>
      <c r="BE178" s="14">
        <f>BD178*VLOOKUP('Données projet'!$B$11,Paramètres!$A$1:$I$89,3,0)*VLOOKUP('Données projet'!$B$11,Paramètres!$A$1:$I$89,5,0)</f>
        <v>-9.3464223027694966E-13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363.29716504383265</v>
      </c>
      <c r="BJ178" s="62">
        <f t="shared" si="146"/>
        <v>223.12394672673923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1.1368683772161603E-13</v>
      </c>
      <c r="BZ178" s="14">
        <f>BY178*VLOOKUP('Données projet'!$B$12,Paramètres!$A$1:$I$89,3,0)*VLOOKUP('Données projet'!$B$12,Paramètres!$A$1:$I$89,5,0)</f>
        <v>8.8675733422860506E-14</v>
      </c>
      <c r="CA178" s="14">
        <f t="shared" si="170"/>
        <v>1.3509285393066301E-12</v>
      </c>
      <c r="CB178" s="22">
        <f t="shared" si="171"/>
        <v>2.5073107750038623E-12</v>
      </c>
      <c r="CC178" s="62">
        <f t="shared" si="119"/>
        <v>293.33333333333582</v>
      </c>
      <c r="CD178" s="62">
        <f ca="1">AVERAGE(OFFSET($CC$3,0,0,'Données projet'!$E$12+1,1))-AVERAGE(OFFSET($H$3,0,0,'Données projet'!$E$12+1,1))</f>
        <v>249.25370091019835</v>
      </c>
      <c r="CE178" s="62">
        <f t="shared" si="148"/>
        <v>245.46410820099908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6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2">
        <f t="shared" si="140"/>
        <v>26.029778784173445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9">
        <f t="shared" si="110"/>
        <v>469.3690647157693</v>
      </c>
      <c r="I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-2.8421709430404007E-14</v>
      </c>
      <c r="O179" s="14">
        <f>N179*VLOOKUP('Données projet'!$B$9,Paramètres!$A$1:$I$89,3,0)*VLOOKUP('Données projet'!$B$9,Paramètres!$A$1:$I$89,5,0)</f>
        <v>-2.5715962692629544E-14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216.22465631364315</v>
      </c>
      <c r="T179" s="62">
        <f t="shared" si="142"/>
        <v>304.27938609150095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-9.6633812063373625E-13</v>
      </c>
      <c r="AJ179" s="14">
        <f>AI179*VLOOKUP('Données projet'!$B$10,Paramètres!$A$1:$I$89,3,0)*VLOOKUP('Données projet'!$B$10,Paramètres!$A$1:$I$89,5,0)</f>
        <v>-8.7434273154940449E-13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336.63786714776501</v>
      </c>
      <c r="AO179" s="62">
        <f t="shared" si="144"/>
        <v>208.9883766854885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-9.6633812063373625E-13</v>
      </c>
      <c r="BE179" s="14">
        <f>BD179*VLOOKUP('Données projet'!$B$11,Paramètres!$A$1:$I$89,3,0)*VLOOKUP('Données projet'!$B$11,Paramètres!$A$1:$I$89,5,0)</f>
        <v>-9.3464223027694966E-13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363.29716504383265</v>
      </c>
      <c r="BJ179" s="62">
        <f t="shared" si="146"/>
        <v>223.12394672673923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1.1368683772161603E-13</v>
      </c>
      <c r="BZ179" s="14">
        <f>BY179*VLOOKUP('Données projet'!$B$12,Paramètres!$A$1:$I$89,3,0)*VLOOKUP('Données projet'!$B$12,Paramètres!$A$1:$I$89,5,0)</f>
        <v>8.8675733422860506E-14</v>
      </c>
      <c r="CA179" s="14">
        <f t="shared" si="170"/>
        <v>1.3509285393066301E-12</v>
      </c>
      <c r="CB179" s="22">
        <f t="shared" si="171"/>
        <v>2.5073107750038623E-12</v>
      </c>
      <c r="CC179" s="62">
        <f t="shared" si="119"/>
        <v>293.33333333333582</v>
      </c>
      <c r="CD179" s="62">
        <f ca="1">AVERAGE(OFFSET($CC$3,0,0,'Données projet'!$E$12+1,1))-AVERAGE(OFFSET($H$3,0,0,'Données projet'!$E$12+1,1))</f>
        <v>249.25370091019835</v>
      </c>
      <c r="CE179" s="62">
        <f t="shared" si="148"/>
        <v>245.46410820099908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6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2">
        <f t="shared" si="140"/>
        <v>26.160416982548288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9">
        <f t="shared" si="110"/>
        <v>470.54754291127216</v>
      </c>
      <c r="I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-2.8421709430404007E-14</v>
      </c>
      <c r="O180" s="14">
        <f>N180*VLOOKUP('Données projet'!$B$9,Paramètres!$A$1:$I$89,3,0)*VLOOKUP('Données projet'!$B$9,Paramètres!$A$1:$I$89,5,0)</f>
        <v>-2.5715962692629544E-14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216.22465631364315</v>
      </c>
      <c r="T180" s="62">
        <f t="shared" si="142"/>
        <v>304.27938609150095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-9.6633812063373625E-13</v>
      </c>
      <c r="AJ180" s="14">
        <f>AI180*VLOOKUP('Données projet'!$B$10,Paramètres!$A$1:$I$89,3,0)*VLOOKUP('Données projet'!$B$10,Paramètres!$A$1:$I$89,5,0)</f>
        <v>-8.7434273154940449E-13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336.63786714776501</v>
      </c>
      <c r="AO180" s="62">
        <f t="shared" si="144"/>
        <v>208.9883766854885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-9.6633812063373625E-13</v>
      </c>
      <c r="BE180" s="14">
        <f>BD180*VLOOKUP('Données projet'!$B$11,Paramètres!$A$1:$I$89,3,0)*VLOOKUP('Données projet'!$B$11,Paramètres!$A$1:$I$89,5,0)</f>
        <v>-9.3464223027694966E-13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363.29716504383265</v>
      </c>
      <c r="BJ180" s="62">
        <f t="shared" si="146"/>
        <v>223.12394672673923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1.1368683772161603E-13</v>
      </c>
      <c r="BZ180" s="14">
        <f>BY180*VLOOKUP('Données projet'!$B$12,Paramètres!$A$1:$I$89,3,0)*VLOOKUP('Données projet'!$B$12,Paramètres!$A$1:$I$89,5,0)</f>
        <v>8.8675733422860506E-14</v>
      </c>
      <c r="CA180" s="14">
        <f t="shared" si="170"/>
        <v>1.3509285393066301E-12</v>
      </c>
      <c r="CB180" s="22">
        <f t="shared" si="171"/>
        <v>2.5073107750038623E-12</v>
      </c>
      <c r="CC180" s="62">
        <f t="shared" si="119"/>
        <v>293.33333333333582</v>
      </c>
      <c r="CD180" s="62">
        <f ca="1">AVERAGE(OFFSET($CC$3,0,0,'Données projet'!$E$12+1,1))-AVERAGE(OFFSET($H$3,0,0,'Données projet'!$E$12+1,1))</f>
        <v>249.25370091019835</v>
      </c>
      <c r="CE180" s="62">
        <f t="shared" si="148"/>
        <v>245.46410820099908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6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2">
        <f t="shared" si="140"/>
        <v>26.290969297460425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9">
        <f t="shared" si="110"/>
        <v>471.7258715264108</v>
      </c>
      <c r="I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-2.8421709430404007E-14</v>
      </c>
      <c r="O181" s="14">
        <f>N181*VLOOKUP('Données projet'!$B$9,Paramètres!$A$1:$I$89,3,0)*VLOOKUP('Données projet'!$B$9,Paramètres!$A$1:$I$89,5,0)</f>
        <v>-2.5715962692629544E-14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216.22465631364315</v>
      </c>
      <c r="T181" s="62">
        <f t="shared" si="142"/>
        <v>304.27938609150095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-9.6633812063373625E-13</v>
      </c>
      <c r="AJ181" s="14">
        <f>AI181*VLOOKUP('Données projet'!$B$10,Paramètres!$A$1:$I$89,3,0)*VLOOKUP('Données projet'!$B$10,Paramètres!$A$1:$I$89,5,0)</f>
        <v>-8.7434273154940449E-13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336.63786714776501</v>
      </c>
      <c r="AO181" s="62">
        <f t="shared" si="144"/>
        <v>208.9883766854885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-9.6633812063373625E-13</v>
      </c>
      <c r="BE181" s="14">
        <f>BD181*VLOOKUP('Données projet'!$B$11,Paramètres!$A$1:$I$89,3,0)*VLOOKUP('Données projet'!$B$11,Paramètres!$A$1:$I$89,5,0)</f>
        <v>-9.3464223027694966E-13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363.29716504383265</v>
      </c>
      <c r="BJ181" s="62">
        <f t="shared" si="146"/>
        <v>223.12394672673923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1.1368683772161603E-13</v>
      </c>
      <c r="BZ181" s="14">
        <f>BY181*VLOOKUP('Données projet'!$B$12,Paramètres!$A$1:$I$89,3,0)*VLOOKUP('Données projet'!$B$12,Paramètres!$A$1:$I$89,5,0)</f>
        <v>8.8675733422860506E-14</v>
      </c>
      <c r="CA181" s="14">
        <f t="shared" si="170"/>
        <v>1.3509285393066301E-12</v>
      </c>
      <c r="CB181" s="22">
        <f t="shared" si="171"/>
        <v>2.5073107750038623E-12</v>
      </c>
      <c r="CC181" s="62">
        <f t="shared" si="119"/>
        <v>293.33333333333582</v>
      </c>
      <c r="CD181" s="62">
        <f ca="1">AVERAGE(OFFSET($CC$3,0,0,'Données projet'!$E$12+1,1))-AVERAGE(OFFSET($H$3,0,0,'Données projet'!$E$12+1,1))</f>
        <v>249.25370091019835</v>
      </c>
      <c r="CE181" s="62">
        <f t="shared" si="148"/>
        <v>245.46410820099908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6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2">
        <f t="shared" si="140"/>
        <v>26.421436267392767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9">
        <f t="shared" si="110"/>
        <v>472.90405149904302</v>
      </c>
      <c r="I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-2.8421709430404007E-14</v>
      </c>
      <c r="O182" s="14">
        <f>N182*VLOOKUP('Données projet'!$B$9,Paramètres!$A$1:$I$89,3,0)*VLOOKUP('Données projet'!$B$9,Paramètres!$A$1:$I$89,5,0)</f>
        <v>-2.5715962692629544E-14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216.22465631364315</v>
      </c>
      <c r="T182" s="62">
        <f t="shared" si="142"/>
        <v>304.27938609150095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-9.6633812063373625E-13</v>
      </c>
      <c r="AJ182" s="14">
        <f>AI182*VLOOKUP('Données projet'!$B$10,Paramètres!$A$1:$I$89,3,0)*VLOOKUP('Données projet'!$B$10,Paramètres!$A$1:$I$89,5,0)</f>
        <v>-8.7434273154940449E-13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336.63786714776501</v>
      </c>
      <c r="AO182" s="62">
        <f t="shared" si="144"/>
        <v>208.9883766854885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-9.6633812063373625E-13</v>
      </c>
      <c r="BE182" s="14">
        <f>BD182*VLOOKUP('Données projet'!$B$11,Paramètres!$A$1:$I$89,3,0)*VLOOKUP('Données projet'!$B$11,Paramètres!$A$1:$I$89,5,0)</f>
        <v>-9.3464223027694966E-13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363.29716504383265</v>
      </c>
      <c r="BJ182" s="62">
        <f t="shared" si="146"/>
        <v>223.12394672673923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1.1368683772161603E-13</v>
      </c>
      <c r="BZ182" s="14">
        <f>BY182*VLOOKUP('Données projet'!$B$12,Paramètres!$A$1:$I$89,3,0)*VLOOKUP('Données projet'!$B$12,Paramètres!$A$1:$I$89,5,0)</f>
        <v>8.8675733422860506E-14</v>
      </c>
      <c r="CA182" s="14">
        <f t="shared" si="170"/>
        <v>1.3509285393066301E-12</v>
      </c>
      <c r="CB182" s="22">
        <f t="shared" si="171"/>
        <v>2.5073107750038623E-12</v>
      </c>
      <c r="CC182" s="62">
        <f t="shared" si="119"/>
        <v>293.33333333333582</v>
      </c>
      <c r="CD182" s="62">
        <f ca="1">AVERAGE(OFFSET($CC$3,0,0,'Données projet'!$E$12+1,1))-AVERAGE(OFFSET($H$3,0,0,'Données projet'!$E$12+1,1))</f>
        <v>249.25370091019835</v>
      </c>
      <c r="CE182" s="62">
        <f t="shared" si="148"/>
        <v>245.46410820099908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6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2">
        <f t="shared" si="140"/>
        <v>26.551818424463544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9">
        <f t="shared" si="110"/>
        <v>474.08208375594126</v>
      </c>
      <c r="I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-2.8421709430404007E-14</v>
      </c>
      <c r="O183" s="14">
        <f>N183*VLOOKUP('Données projet'!$B$9,Paramètres!$A$1:$I$89,3,0)*VLOOKUP('Données projet'!$B$9,Paramètres!$A$1:$I$89,5,0)</f>
        <v>-2.5715962692629544E-14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216.22465631364315</v>
      </c>
      <c r="T183" s="62">
        <f t="shared" si="142"/>
        <v>304.27938609150095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-9.6633812063373625E-13</v>
      </c>
      <c r="AJ183" s="14">
        <f>AI183*VLOOKUP('Données projet'!$B$10,Paramètres!$A$1:$I$89,3,0)*VLOOKUP('Données projet'!$B$10,Paramètres!$A$1:$I$89,5,0)</f>
        <v>-8.7434273154940449E-13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336.63786714776501</v>
      </c>
      <c r="AO183" s="62">
        <f t="shared" si="144"/>
        <v>208.9883766854885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-9.6633812063373625E-13</v>
      </c>
      <c r="BE183" s="14">
        <f>BD183*VLOOKUP('Données projet'!$B$11,Paramètres!$A$1:$I$89,3,0)*VLOOKUP('Données projet'!$B$11,Paramètres!$A$1:$I$89,5,0)</f>
        <v>-9.3464223027694966E-13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363.29716504383265</v>
      </c>
      <c r="BJ183" s="62">
        <f t="shared" si="146"/>
        <v>223.12394672673923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1.1368683772161603E-13</v>
      </c>
      <c r="BZ183" s="14">
        <f>BY183*VLOOKUP('Données projet'!$B$12,Paramètres!$A$1:$I$89,3,0)*VLOOKUP('Données projet'!$B$12,Paramètres!$A$1:$I$89,5,0)</f>
        <v>8.8675733422860506E-14</v>
      </c>
      <c r="CA183" s="14">
        <f t="shared" si="170"/>
        <v>1.3509285393066301E-12</v>
      </c>
      <c r="CB183" s="22">
        <f t="shared" si="171"/>
        <v>2.5073107750038623E-12</v>
      </c>
      <c r="CC183" s="62">
        <f t="shared" si="119"/>
        <v>293.33333333333582</v>
      </c>
      <c r="CD183" s="62">
        <f ca="1">AVERAGE(OFFSET($CC$3,0,0,'Données projet'!$E$12+1,1))-AVERAGE(OFFSET($H$3,0,0,'Données projet'!$E$12+1,1))</f>
        <v>249.25370091019835</v>
      </c>
      <c r="CE183" s="62">
        <f t="shared" si="148"/>
        <v>245.46410820099908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6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2">
        <f t="shared" si="140"/>
        <v>26.682116294536339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9">
        <f t="shared" si="110"/>
        <v>475.25996921298474</v>
      </c>
      <c r="I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-2.8421709430404007E-14</v>
      </c>
      <c r="O184" s="14">
        <f>N184*VLOOKUP('Données projet'!$B$9,Paramètres!$A$1:$I$89,3,0)*VLOOKUP('Données projet'!$B$9,Paramètres!$A$1:$I$89,5,0)</f>
        <v>-2.5715962692629544E-14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216.22465631364315</v>
      </c>
      <c r="T184" s="62">
        <f t="shared" si="142"/>
        <v>304.27938609150095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-9.6633812063373625E-13</v>
      </c>
      <c r="AJ184" s="14">
        <f>AI184*VLOOKUP('Données projet'!$B$10,Paramètres!$A$1:$I$89,3,0)*VLOOKUP('Données projet'!$B$10,Paramètres!$A$1:$I$89,5,0)</f>
        <v>-8.7434273154940449E-13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336.63786714776501</v>
      </c>
      <c r="AO184" s="62">
        <f t="shared" si="144"/>
        <v>208.9883766854885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-9.6633812063373625E-13</v>
      </c>
      <c r="BE184" s="14">
        <f>BD184*VLOOKUP('Données projet'!$B$11,Paramètres!$A$1:$I$89,3,0)*VLOOKUP('Données projet'!$B$11,Paramètres!$A$1:$I$89,5,0)</f>
        <v>-9.3464223027694966E-13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363.29716504383265</v>
      </c>
      <c r="BJ184" s="62">
        <f t="shared" si="146"/>
        <v>223.12394672673923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1.1368683772161603E-13</v>
      </c>
      <c r="BZ184" s="14">
        <f>BY184*VLOOKUP('Données projet'!$B$12,Paramètres!$A$1:$I$89,3,0)*VLOOKUP('Données projet'!$B$12,Paramètres!$A$1:$I$89,5,0)</f>
        <v>8.8675733422860506E-14</v>
      </c>
      <c r="CA184" s="14">
        <f t="shared" si="170"/>
        <v>1.3509285393066301E-12</v>
      </c>
      <c r="CB184" s="22">
        <f t="shared" si="171"/>
        <v>2.5073107750038623E-12</v>
      </c>
      <c r="CC184" s="62">
        <f t="shared" si="119"/>
        <v>293.33333333333582</v>
      </c>
      <c r="CD184" s="62">
        <f ca="1">AVERAGE(OFFSET($CC$3,0,0,'Données projet'!$E$12+1,1))-AVERAGE(OFFSET($H$3,0,0,'Données projet'!$E$12+1,1))</f>
        <v>249.25370091019835</v>
      </c>
      <c r="CE184" s="62">
        <f t="shared" si="148"/>
        <v>245.46410820099908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6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2">
        <f t="shared" si="140"/>
        <v>26.812330397327784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9">
        <f t="shared" si="110"/>
        <v>476.43770877534655</v>
      </c>
      <c r="I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-2.8421709430404007E-14</v>
      </c>
      <c r="O185" s="14">
        <f>N185*VLOOKUP('Données projet'!$B$9,Paramètres!$A$1:$I$89,3,0)*VLOOKUP('Données projet'!$B$9,Paramètres!$A$1:$I$89,5,0)</f>
        <v>-2.5715962692629544E-14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216.22465631364315</v>
      </c>
      <c r="T185" s="62">
        <f t="shared" si="142"/>
        <v>304.27938609150095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-9.6633812063373625E-13</v>
      </c>
      <c r="AJ185" s="14">
        <f>AI185*VLOOKUP('Données projet'!$B$10,Paramètres!$A$1:$I$89,3,0)*VLOOKUP('Données projet'!$B$10,Paramètres!$A$1:$I$89,5,0)</f>
        <v>-8.7434273154940449E-13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336.63786714776501</v>
      </c>
      <c r="AO185" s="62">
        <f t="shared" si="144"/>
        <v>208.9883766854885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-9.6633812063373625E-13</v>
      </c>
      <c r="BE185" s="14">
        <f>BD185*VLOOKUP('Données projet'!$B$11,Paramètres!$A$1:$I$89,3,0)*VLOOKUP('Données projet'!$B$11,Paramètres!$A$1:$I$89,5,0)</f>
        <v>-9.3464223027694966E-13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363.29716504383265</v>
      </c>
      <c r="BJ185" s="62">
        <f t="shared" si="146"/>
        <v>223.12394672673923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1.1368683772161603E-13</v>
      </c>
      <c r="BZ185" s="14">
        <f>BY185*VLOOKUP('Données projet'!$B$12,Paramètres!$A$1:$I$89,3,0)*VLOOKUP('Données projet'!$B$12,Paramètres!$A$1:$I$89,5,0)</f>
        <v>8.8675733422860506E-14</v>
      </c>
      <c r="CA185" s="14">
        <f t="shared" si="170"/>
        <v>1.3509285393066301E-12</v>
      </c>
      <c r="CB185" s="22">
        <f t="shared" si="171"/>
        <v>2.5073107750038623E-12</v>
      </c>
      <c r="CC185" s="62">
        <f t="shared" si="119"/>
        <v>293.33333333333582</v>
      </c>
      <c r="CD185" s="62">
        <f ca="1">AVERAGE(OFFSET($CC$3,0,0,'Données projet'!$E$12+1,1))-AVERAGE(OFFSET($H$3,0,0,'Données projet'!$E$12+1,1))</f>
        <v>249.25370091019835</v>
      </c>
      <c r="CE185" s="62">
        <f t="shared" si="148"/>
        <v>245.46410820099908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6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2">
        <f t="shared" si="140"/>
        <v>26.942461246512842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9">
        <f t="shared" si="110"/>
        <v>477.61530333767718</v>
      </c>
      <c r="I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-2.8421709430404007E-14</v>
      </c>
      <c r="O186" s="14">
        <f>N186*VLOOKUP('Données projet'!$B$9,Paramètres!$A$1:$I$89,3,0)*VLOOKUP('Données projet'!$B$9,Paramètres!$A$1:$I$89,5,0)</f>
        <v>-2.5715962692629544E-14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216.22465631364315</v>
      </c>
      <c r="T186" s="62">
        <f t="shared" si="142"/>
        <v>304.27938609150095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-9.6633812063373625E-13</v>
      </c>
      <c r="AJ186" s="14">
        <f>AI186*VLOOKUP('Données projet'!$B$10,Paramètres!$A$1:$I$89,3,0)*VLOOKUP('Données projet'!$B$10,Paramètres!$A$1:$I$89,5,0)</f>
        <v>-8.7434273154940449E-13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336.63786714776501</v>
      </c>
      <c r="AO186" s="62">
        <f t="shared" si="144"/>
        <v>208.9883766854885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-9.6633812063373625E-13</v>
      </c>
      <c r="BE186" s="14">
        <f>BD186*VLOOKUP('Données projet'!$B$11,Paramètres!$A$1:$I$89,3,0)*VLOOKUP('Données projet'!$B$11,Paramètres!$A$1:$I$89,5,0)</f>
        <v>-9.3464223027694966E-13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363.29716504383265</v>
      </c>
      <c r="BJ186" s="62">
        <f t="shared" si="146"/>
        <v>223.12394672673923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1.1368683772161603E-13</v>
      </c>
      <c r="BZ186" s="14">
        <f>BY186*VLOOKUP('Données projet'!$B$12,Paramètres!$A$1:$I$89,3,0)*VLOOKUP('Données projet'!$B$12,Paramètres!$A$1:$I$89,5,0)</f>
        <v>8.8675733422860506E-14</v>
      </c>
      <c r="CA186" s="14">
        <f t="shared" si="170"/>
        <v>1.3509285393066301E-12</v>
      </c>
      <c r="CB186" s="22">
        <f t="shared" si="171"/>
        <v>2.5073107750038623E-12</v>
      </c>
      <c r="CC186" s="62">
        <f t="shared" si="119"/>
        <v>293.33333333333582</v>
      </c>
      <c r="CD186" s="62">
        <f ca="1">AVERAGE(OFFSET($CC$3,0,0,'Données projet'!$E$12+1,1))-AVERAGE(OFFSET($H$3,0,0,'Données projet'!$E$12+1,1))</f>
        <v>249.25370091019835</v>
      </c>
      <c r="CE186" s="62">
        <f t="shared" si="148"/>
        <v>245.46410820099908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6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2">
        <f t="shared" si="140"/>
        <v>27.072509349827552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9">
        <f t="shared" si="110"/>
        <v>478.79275378428366</v>
      </c>
      <c r="I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-2.8421709430404007E-14</v>
      </c>
      <c r="O187" s="14">
        <f>N187*VLOOKUP('Données projet'!$B$9,Paramètres!$A$1:$I$89,3,0)*VLOOKUP('Données projet'!$B$9,Paramètres!$A$1:$I$89,5,0)</f>
        <v>-2.5715962692629544E-14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216.22465631364315</v>
      </c>
      <c r="T187" s="62">
        <f t="shared" si="142"/>
        <v>304.27938609150095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-9.6633812063373625E-13</v>
      </c>
      <c r="AJ187" s="14">
        <f>AI187*VLOOKUP('Données projet'!$B$10,Paramètres!$A$1:$I$89,3,0)*VLOOKUP('Données projet'!$B$10,Paramètres!$A$1:$I$89,5,0)</f>
        <v>-8.7434273154940449E-13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336.63786714776501</v>
      </c>
      <c r="AO187" s="62">
        <f t="shared" si="144"/>
        <v>208.9883766854885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-9.6633812063373625E-13</v>
      </c>
      <c r="BE187" s="14">
        <f>BD187*VLOOKUP('Données projet'!$B$11,Paramètres!$A$1:$I$89,3,0)*VLOOKUP('Données projet'!$B$11,Paramètres!$A$1:$I$89,5,0)</f>
        <v>-9.3464223027694966E-13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363.29716504383265</v>
      </c>
      <c r="BJ187" s="62">
        <f t="shared" si="146"/>
        <v>223.12394672673923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1.1368683772161603E-13</v>
      </c>
      <c r="BZ187" s="14">
        <f>BY187*VLOOKUP('Données projet'!$B$12,Paramètres!$A$1:$I$89,3,0)*VLOOKUP('Données projet'!$B$12,Paramètres!$A$1:$I$89,5,0)</f>
        <v>8.8675733422860506E-14</v>
      </c>
      <c r="CA187" s="14">
        <f t="shared" si="170"/>
        <v>1.3509285393066301E-12</v>
      </c>
      <c r="CB187" s="22">
        <f t="shared" si="171"/>
        <v>2.5073107750038623E-12</v>
      </c>
      <c r="CC187" s="62">
        <f t="shared" si="119"/>
        <v>293.33333333333582</v>
      </c>
      <c r="CD187" s="62">
        <f ca="1">AVERAGE(OFFSET($CC$3,0,0,'Données projet'!$E$12+1,1))-AVERAGE(OFFSET($H$3,0,0,'Données projet'!$E$12+1,1))</f>
        <v>249.25370091019835</v>
      </c>
      <c r="CE187" s="62">
        <f t="shared" si="148"/>
        <v>245.46410820099908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6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2">
        <f t="shared" si="140"/>
        <v>27.202475209169677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9">
        <f t="shared" si="110"/>
        <v>479.97006098930456</v>
      </c>
      <c r="I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-2.8421709430404007E-14</v>
      </c>
      <c r="O188" s="14">
        <f>N188*VLOOKUP('Données projet'!$B$9,Paramètres!$A$1:$I$89,3,0)*VLOOKUP('Données projet'!$B$9,Paramètres!$A$1:$I$89,5,0)</f>
        <v>-2.5715962692629544E-14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216.22465631364315</v>
      </c>
      <c r="T188" s="62">
        <f t="shared" si="142"/>
        <v>304.27938609150095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-9.6633812063373625E-13</v>
      </c>
      <c r="AJ188" s="14">
        <f>AI188*VLOOKUP('Données projet'!$B$10,Paramètres!$A$1:$I$89,3,0)*VLOOKUP('Données projet'!$B$10,Paramètres!$A$1:$I$89,5,0)</f>
        <v>-8.7434273154940449E-13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336.63786714776501</v>
      </c>
      <c r="AO188" s="62">
        <f t="shared" si="144"/>
        <v>208.9883766854885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-9.6633812063373625E-13</v>
      </c>
      <c r="BE188" s="14">
        <f>BD188*VLOOKUP('Données projet'!$B$11,Paramètres!$A$1:$I$89,3,0)*VLOOKUP('Données projet'!$B$11,Paramètres!$A$1:$I$89,5,0)</f>
        <v>-9.3464223027694966E-13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363.29716504383265</v>
      </c>
      <c r="BJ188" s="62">
        <f t="shared" si="146"/>
        <v>223.12394672673923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1.1368683772161603E-13</v>
      </c>
      <c r="BZ188" s="14">
        <f>BY188*VLOOKUP('Données projet'!$B$12,Paramètres!$A$1:$I$89,3,0)*VLOOKUP('Données projet'!$B$12,Paramètres!$A$1:$I$89,5,0)</f>
        <v>8.8675733422860506E-14</v>
      </c>
      <c r="CA188" s="14">
        <f t="shared" si="170"/>
        <v>1.3509285393066301E-12</v>
      </c>
      <c r="CB188" s="22">
        <f t="shared" si="171"/>
        <v>2.5073107750038623E-12</v>
      </c>
      <c r="CC188" s="62">
        <f t="shared" si="119"/>
        <v>293.33333333333582</v>
      </c>
      <c r="CD188" s="62">
        <f ca="1">AVERAGE(OFFSET($CC$3,0,0,'Données projet'!$E$12+1,1))-AVERAGE(OFFSET($H$3,0,0,'Données projet'!$E$12+1,1))</f>
        <v>249.25370091019835</v>
      </c>
      <c r="CE188" s="62">
        <f t="shared" si="148"/>
        <v>245.46410820099908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6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2">
        <f t="shared" si="140"/>
        <v>27.332359320697009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9">
        <f t="shared" si="110"/>
        <v>481.1472258168813</v>
      </c>
      <c r="I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-2.8421709430404007E-14</v>
      </c>
      <c r="O189" s="14">
        <f>N189*VLOOKUP('Données projet'!$B$9,Paramètres!$A$1:$I$89,3,0)*VLOOKUP('Données projet'!$B$9,Paramètres!$A$1:$I$89,5,0)</f>
        <v>-2.5715962692629544E-14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216.22465631364315</v>
      </c>
      <c r="T189" s="62">
        <f t="shared" si="142"/>
        <v>304.27938609150095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-9.6633812063373625E-13</v>
      </c>
      <c r="AJ189" s="14">
        <f>AI189*VLOOKUP('Données projet'!$B$10,Paramètres!$A$1:$I$89,3,0)*VLOOKUP('Données projet'!$B$10,Paramètres!$A$1:$I$89,5,0)</f>
        <v>-8.7434273154940449E-13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336.63786714776501</v>
      </c>
      <c r="AO189" s="62">
        <f t="shared" si="144"/>
        <v>208.9883766854885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-9.6633812063373625E-13</v>
      </c>
      <c r="BE189" s="14">
        <f>BD189*VLOOKUP('Données projet'!$B$11,Paramètres!$A$1:$I$89,3,0)*VLOOKUP('Données projet'!$B$11,Paramètres!$A$1:$I$89,5,0)</f>
        <v>-9.3464223027694966E-13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363.29716504383265</v>
      </c>
      <c r="BJ189" s="62">
        <f t="shared" si="146"/>
        <v>223.12394672673923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1.1368683772161603E-13</v>
      </c>
      <c r="BZ189" s="14">
        <f>BY189*VLOOKUP('Données projet'!$B$12,Paramètres!$A$1:$I$89,3,0)*VLOOKUP('Données projet'!$B$12,Paramètres!$A$1:$I$89,5,0)</f>
        <v>8.8675733422860506E-14</v>
      </c>
      <c r="CA189" s="14">
        <f t="shared" si="170"/>
        <v>1.3509285393066301E-12</v>
      </c>
      <c r="CB189" s="22">
        <f t="shared" si="171"/>
        <v>2.5073107750038623E-12</v>
      </c>
      <c r="CC189" s="62">
        <f t="shared" si="119"/>
        <v>293.33333333333582</v>
      </c>
      <c r="CD189" s="62">
        <f ca="1">AVERAGE(OFFSET($CC$3,0,0,'Données projet'!$E$12+1,1))-AVERAGE(OFFSET($H$3,0,0,'Données projet'!$E$12+1,1))</f>
        <v>249.25370091019835</v>
      </c>
      <c r="CE189" s="62">
        <f t="shared" si="148"/>
        <v>245.46410820099908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6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2">
        <f t="shared" si="140"/>
        <v>27.462162174923463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9">
        <f t="shared" si="110"/>
        <v>482.32424912132575</v>
      </c>
      <c r="I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-2.8421709430404007E-14</v>
      </c>
      <c r="O190" s="14">
        <f>N190*VLOOKUP('Données projet'!$B$9,Paramètres!$A$1:$I$89,3,0)*VLOOKUP('Données projet'!$B$9,Paramètres!$A$1:$I$89,5,0)</f>
        <v>-2.5715962692629544E-14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216.22465631364315</v>
      </c>
      <c r="T190" s="62">
        <f t="shared" si="142"/>
        <v>304.27938609150095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-9.6633812063373625E-13</v>
      </c>
      <c r="AJ190" s="14">
        <f>AI190*VLOOKUP('Données projet'!$B$10,Paramètres!$A$1:$I$89,3,0)*VLOOKUP('Données projet'!$B$10,Paramètres!$A$1:$I$89,5,0)</f>
        <v>-8.7434273154940449E-13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336.63786714776501</v>
      </c>
      <c r="AO190" s="62">
        <f t="shared" si="144"/>
        <v>208.9883766854885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-9.6633812063373625E-13</v>
      </c>
      <c r="BE190" s="14">
        <f>BD190*VLOOKUP('Données projet'!$B$11,Paramètres!$A$1:$I$89,3,0)*VLOOKUP('Données projet'!$B$11,Paramètres!$A$1:$I$89,5,0)</f>
        <v>-9.3464223027694966E-13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363.29716504383265</v>
      </c>
      <c r="BJ190" s="62">
        <f t="shared" si="146"/>
        <v>223.12394672673923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1.1368683772161603E-13</v>
      </c>
      <c r="BZ190" s="14">
        <f>BY190*VLOOKUP('Données projet'!$B$12,Paramètres!$A$1:$I$89,3,0)*VLOOKUP('Données projet'!$B$12,Paramètres!$A$1:$I$89,5,0)</f>
        <v>8.8675733422860506E-14</v>
      </c>
      <c r="CA190" s="14">
        <f t="shared" si="170"/>
        <v>1.3509285393066301E-12</v>
      </c>
      <c r="CB190" s="22">
        <f t="shared" si="171"/>
        <v>2.5073107750038623E-12</v>
      </c>
      <c r="CC190" s="62">
        <f t="shared" si="119"/>
        <v>293.33333333333582</v>
      </c>
      <c r="CD190" s="62">
        <f ca="1">AVERAGE(OFFSET($CC$3,0,0,'Données projet'!$E$12+1,1))-AVERAGE(OFFSET($H$3,0,0,'Données projet'!$E$12+1,1))</f>
        <v>249.25370091019835</v>
      </c>
      <c r="CE190" s="62">
        <f t="shared" si="148"/>
        <v>245.46410820099908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6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2">
        <f t="shared" si="140"/>
        <v>27.591884256813145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9">
        <f t="shared" si="110"/>
        <v>483.50113174728358</v>
      </c>
      <c r="I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-2.8421709430404007E-14</v>
      </c>
      <c r="O191" s="14">
        <f>N191*VLOOKUP('Données projet'!$B$9,Paramètres!$A$1:$I$89,3,0)*VLOOKUP('Données projet'!$B$9,Paramètres!$A$1:$I$89,5,0)</f>
        <v>-2.5715962692629544E-14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216.22465631364315</v>
      </c>
      <c r="T191" s="62">
        <f t="shared" si="142"/>
        <v>304.27938609150095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-9.6633812063373625E-13</v>
      </c>
      <c r="AJ191" s="14">
        <f>AI191*VLOOKUP('Données projet'!$B$10,Paramètres!$A$1:$I$89,3,0)*VLOOKUP('Données projet'!$B$10,Paramètres!$A$1:$I$89,5,0)</f>
        <v>-8.7434273154940449E-13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336.63786714776501</v>
      </c>
      <c r="AO191" s="62">
        <f t="shared" si="144"/>
        <v>208.9883766854885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-9.6633812063373625E-13</v>
      </c>
      <c r="BE191" s="14">
        <f>BD191*VLOOKUP('Données projet'!$B$11,Paramètres!$A$1:$I$89,3,0)*VLOOKUP('Données projet'!$B$11,Paramètres!$A$1:$I$89,5,0)</f>
        <v>-9.3464223027694966E-13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363.29716504383265</v>
      </c>
      <c r="BJ191" s="62">
        <f t="shared" si="146"/>
        <v>223.12394672673923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1.1368683772161603E-13</v>
      </c>
      <c r="BZ191" s="14">
        <f>BY191*VLOOKUP('Données projet'!$B$12,Paramètres!$A$1:$I$89,3,0)*VLOOKUP('Données projet'!$B$12,Paramètres!$A$1:$I$89,5,0)</f>
        <v>8.8675733422860506E-14</v>
      </c>
      <c r="CA191" s="14">
        <f t="shared" si="170"/>
        <v>1.3509285393066301E-12</v>
      </c>
      <c r="CB191" s="22">
        <f t="shared" si="171"/>
        <v>2.5073107750038623E-12</v>
      </c>
      <c r="CC191" s="62">
        <f t="shared" si="119"/>
        <v>293.33333333333582</v>
      </c>
      <c r="CD191" s="62">
        <f ca="1">AVERAGE(OFFSET($CC$3,0,0,'Données projet'!$E$12+1,1))-AVERAGE(OFFSET($H$3,0,0,'Données projet'!$E$12+1,1))</f>
        <v>249.25370091019835</v>
      </c>
      <c r="CE191" s="62">
        <f t="shared" si="148"/>
        <v>245.46410820099908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6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2">
        <f t="shared" si="140"/>
        <v>27.721526045872363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9">
        <f t="shared" si="110"/>
        <v>484.67787452989506</v>
      </c>
      <c r="I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-2.8421709430404007E-14</v>
      </c>
      <c r="O192" s="14">
        <f>N192*VLOOKUP('Données projet'!$B$9,Paramètres!$A$1:$I$89,3,0)*VLOOKUP('Données projet'!$B$9,Paramètres!$A$1:$I$89,5,0)</f>
        <v>-2.5715962692629544E-14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216.22465631364315</v>
      </c>
      <c r="T192" s="62">
        <f t="shared" si="142"/>
        <v>304.27938609150095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-9.6633812063373625E-13</v>
      </c>
      <c r="AJ192" s="14">
        <f>AI192*VLOOKUP('Données projet'!$B$10,Paramètres!$A$1:$I$89,3,0)*VLOOKUP('Données projet'!$B$10,Paramètres!$A$1:$I$89,5,0)</f>
        <v>-8.7434273154940449E-13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336.63786714776501</v>
      </c>
      <c r="AO192" s="62">
        <f t="shared" si="144"/>
        <v>208.9883766854885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-9.6633812063373625E-13</v>
      </c>
      <c r="BE192" s="14">
        <f>BD192*VLOOKUP('Données projet'!$B$11,Paramètres!$A$1:$I$89,3,0)*VLOOKUP('Données projet'!$B$11,Paramètres!$A$1:$I$89,5,0)</f>
        <v>-9.3464223027694966E-13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363.29716504383265</v>
      </c>
      <c r="BJ192" s="62">
        <f t="shared" si="146"/>
        <v>223.12394672673923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1.1368683772161603E-13</v>
      </c>
      <c r="BZ192" s="14">
        <f>BY192*VLOOKUP('Données projet'!$B$12,Paramètres!$A$1:$I$89,3,0)*VLOOKUP('Données projet'!$B$12,Paramètres!$A$1:$I$89,5,0)</f>
        <v>8.8675733422860506E-14</v>
      </c>
      <c r="CA192" s="14">
        <f t="shared" si="170"/>
        <v>1.3509285393066301E-12</v>
      </c>
      <c r="CB192" s="22">
        <f t="shared" si="171"/>
        <v>2.5073107750038623E-12</v>
      </c>
      <c r="CC192" s="62">
        <f t="shared" si="119"/>
        <v>293.33333333333582</v>
      </c>
      <c r="CD192" s="62">
        <f ca="1">AVERAGE(OFFSET($CC$3,0,0,'Données projet'!$E$12+1,1))-AVERAGE(OFFSET($H$3,0,0,'Données projet'!$E$12+1,1))</f>
        <v>249.25370091019835</v>
      </c>
      <c r="CE192" s="62">
        <f t="shared" si="148"/>
        <v>245.46410820099908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6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2">
        <f t="shared" si="140"/>
        <v>27.851088016239451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9">
        <f t="shared" si="110"/>
        <v>485.85447829495109</v>
      </c>
      <c r="I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-2.8421709430404007E-14</v>
      </c>
      <c r="O193" s="14">
        <f>N193*VLOOKUP('Données projet'!$B$9,Paramètres!$A$1:$I$89,3,0)*VLOOKUP('Données projet'!$B$9,Paramètres!$A$1:$I$89,5,0)</f>
        <v>-2.5715962692629544E-14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216.22465631364315</v>
      </c>
      <c r="T193" s="62">
        <f t="shared" si="142"/>
        <v>304.27938609150095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-9.6633812063373625E-13</v>
      </c>
      <c r="AJ193" s="14">
        <f>AI193*VLOOKUP('Données projet'!$B$10,Paramètres!$A$1:$I$89,3,0)*VLOOKUP('Données projet'!$B$10,Paramètres!$A$1:$I$89,5,0)</f>
        <v>-8.7434273154940449E-13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336.63786714776501</v>
      </c>
      <c r="AO193" s="62">
        <f t="shared" si="144"/>
        <v>208.9883766854885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-9.6633812063373625E-13</v>
      </c>
      <c r="BE193" s="14">
        <f>BD193*VLOOKUP('Données projet'!$B$11,Paramètres!$A$1:$I$89,3,0)*VLOOKUP('Données projet'!$B$11,Paramètres!$A$1:$I$89,5,0)</f>
        <v>-9.3464223027694966E-13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363.29716504383265</v>
      </c>
      <c r="BJ193" s="62">
        <f t="shared" si="146"/>
        <v>223.12394672673923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1.1368683772161603E-13</v>
      </c>
      <c r="BZ193" s="14">
        <f>BY193*VLOOKUP('Données projet'!$B$12,Paramètres!$A$1:$I$89,3,0)*VLOOKUP('Données projet'!$B$12,Paramètres!$A$1:$I$89,5,0)</f>
        <v>8.8675733422860506E-14</v>
      </c>
      <c r="CA193" s="14">
        <f t="shared" si="170"/>
        <v>1.3509285393066301E-12</v>
      </c>
      <c r="CB193" s="22">
        <f t="shared" si="171"/>
        <v>2.5073107750038623E-12</v>
      </c>
      <c r="CC193" s="62">
        <f t="shared" si="119"/>
        <v>293.33333333333582</v>
      </c>
      <c r="CD193" s="62">
        <f ca="1">AVERAGE(OFFSET($CC$3,0,0,'Données projet'!$E$12+1,1))-AVERAGE(OFFSET($H$3,0,0,'Données projet'!$E$12+1,1))</f>
        <v>249.25370091019835</v>
      </c>
      <c r="CE193" s="62">
        <f t="shared" si="148"/>
        <v>245.46410820099908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6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2">
        <f t="shared" si="140"/>
        <v>27.98057063677302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9">
        <f t="shared" si="110"/>
        <v>487.03094385904706</v>
      </c>
      <c r="I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-2.8421709430404007E-14</v>
      </c>
      <c r="O194" s="14">
        <f>N194*VLOOKUP('Données projet'!$B$9,Paramètres!$A$1:$I$89,3,0)*VLOOKUP('Données projet'!$B$9,Paramètres!$A$1:$I$89,5,0)</f>
        <v>-2.5715962692629544E-14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216.22465631364315</v>
      </c>
      <c r="T194" s="62">
        <f t="shared" si="142"/>
        <v>304.27938609150095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-9.6633812063373625E-13</v>
      </c>
      <c r="AJ194" s="14">
        <f>AI194*VLOOKUP('Données projet'!$B$10,Paramètres!$A$1:$I$89,3,0)*VLOOKUP('Données projet'!$B$10,Paramètres!$A$1:$I$89,5,0)</f>
        <v>-8.7434273154940449E-13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336.63786714776501</v>
      </c>
      <c r="AO194" s="62">
        <f t="shared" si="144"/>
        <v>208.9883766854885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-9.6633812063373625E-13</v>
      </c>
      <c r="BE194" s="14">
        <f>BD194*VLOOKUP('Données projet'!$B$11,Paramètres!$A$1:$I$89,3,0)*VLOOKUP('Données projet'!$B$11,Paramètres!$A$1:$I$89,5,0)</f>
        <v>-9.3464223027694966E-13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363.29716504383265</v>
      </c>
      <c r="BJ194" s="62">
        <f t="shared" si="146"/>
        <v>223.12394672673923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1.1368683772161603E-13</v>
      </c>
      <c r="BZ194" s="14">
        <f>BY194*VLOOKUP('Données projet'!$B$12,Paramètres!$A$1:$I$89,3,0)*VLOOKUP('Données projet'!$B$12,Paramètres!$A$1:$I$89,5,0)</f>
        <v>8.8675733422860506E-14</v>
      </c>
      <c r="CA194" s="14">
        <f t="shared" si="170"/>
        <v>1.3509285393066301E-12</v>
      </c>
      <c r="CB194" s="22">
        <f t="shared" si="171"/>
        <v>2.5073107750038623E-12</v>
      </c>
      <c r="CC194" s="62">
        <f t="shared" si="119"/>
        <v>293.33333333333582</v>
      </c>
      <c r="CD194" s="62">
        <f ca="1">AVERAGE(OFFSET($CC$3,0,0,'Données projet'!$E$12+1,1))-AVERAGE(OFFSET($H$3,0,0,'Données projet'!$E$12+1,1))</f>
        <v>249.25370091019835</v>
      </c>
      <c r="CE194" s="62">
        <f t="shared" si="148"/>
        <v>245.46410820099908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6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2">
        <f t="shared" si="140"/>
        <v>28.10997437113782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9">
        <f t="shared" si="110"/>
        <v>488.20727202973239</v>
      </c>
      <c r="I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-2.8421709430404007E-14</v>
      </c>
      <c r="O195" s="14">
        <f>N195*VLOOKUP('Données projet'!$B$9,Paramètres!$A$1:$I$89,3,0)*VLOOKUP('Données projet'!$B$9,Paramètres!$A$1:$I$89,5,0)</f>
        <v>-2.5715962692629544E-14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216.22465631364315</v>
      </c>
      <c r="T195" s="62">
        <f t="shared" si="142"/>
        <v>304.27938609150095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-9.6633812063373625E-13</v>
      </c>
      <c r="AJ195" s="14">
        <f>AI195*VLOOKUP('Données projet'!$B$10,Paramètres!$A$1:$I$89,3,0)*VLOOKUP('Données projet'!$B$10,Paramètres!$A$1:$I$89,5,0)</f>
        <v>-8.7434273154940449E-13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336.63786714776501</v>
      </c>
      <c r="AO195" s="62">
        <f t="shared" si="144"/>
        <v>208.9883766854885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-9.6633812063373625E-13</v>
      </c>
      <c r="BE195" s="14">
        <f>BD195*VLOOKUP('Données projet'!$B$11,Paramètres!$A$1:$I$89,3,0)*VLOOKUP('Données projet'!$B$11,Paramètres!$A$1:$I$89,5,0)</f>
        <v>-9.3464223027694966E-13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363.29716504383265</v>
      </c>
      <c r="BJ195" s="62">
        <f t="shared" si="146"/>
        <v>223.12394672673923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1.1368683772161603E-13</v>
      </c>
      <c r="BZ195" s="14">
        <f>BY195*VLOOKUP('Données projet'!$B$12,Paramètres!$A$1:$I$89,3,0)*VLOOKUP('Données projet'!$B$12,Paramètres!$A$1:$I$89,5,0)</f>
        <v>8.8675733422860506E-14</v>
      </c>
      <c r="CA195" s="14">
        <f t="shared" si="170"/>
        <v>1.3509285393066301E-12</v>
      </c>
      <c r="CB195" s="22">
        <f t="shared" si="171"/>
        <v>2.5073107750038623E-12</v>
      </c>
      <c r="CC195" s="62">
        <f t="shared" si="119"/>
        <v>293.33333333333582</v>
      </c>
      <c r="CD195" s="62">
        <f ca="1">AVERAGE(OFFSET($CC$3,0,0,'Données projet'!$E$12+1,1))-AVERAGE(OFFSET($H$3,0,0,'Données projet'!$E$12+1,1))</f>
        <v>249.25370091019835</v>
      </c>
      <c r="CE195" s="62">
        <f t="shared" si="148"/>
        <v>245.46410820099908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6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2">
        <f t="shared" si="140"/>
        <v>28.239299677889207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9">
        <f t="shared" ref="H196:H203" si="192">(B196+E196+F196)*44/12+(C196+D196)*0.475*44/12</f>
        <v>489.38346360565777</v>
      </c>
      <c r="I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-2.8421709430404007E-14</v>
      </c>
      <c r="O196" s="14">
        <f>N196*VLOOKUP('Données projet'!$B$9,Paramètres!$A$1:$I$89,3,0)*VLOOKUP('Données projet'!$B$9,Paramètres!$A$1:$I$89,5,0)</f>
        <v>-2.5715962692629544E-14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216.22465631364315</v>
      </c>
      <c r="T196" s="62">
        <f t="shared" si="142"/>
        <v>304.27938609150095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-9.6633812063373625E-13</v>
      </c>
      <c r="AJ196" s="14">
        <f>AI196*VLOOKUP('Données projet'!$B$10,Paramètres!$A$1:$I$89,3,0)*VLOOKUP('Données projet'!$B$10,Paramètres!$A$1:$I$89,5,0)</f>
        <v>-8.7434273154940449E-13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336.63786714776501</v>
      </c>
      <c r="AO196" s="62">
        <f t="shared" si="144"/>
        <v>208.9883766854885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-9.6633812063373625E-13</v>
      </c>
      <c r="BE196" s="14">
        <f>BD196*VLOOKUP('Données projet'!$B$11,Paramètres!$A$1:$I$89,3,0)*VLOOKUP('Données projet'!$B$11,Paramètres!$A$1:$I$89,5,0)</f>
        <v>-9.3464223027694966E-13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363.29716504383265</v>
      </c>
      <c r="BJ196" s="62">
        <f t="shared" si="146"/>
        <v>223.12394672673923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1.1368683772161603E-13</v>
      </c>
      <c r="BZ196" s="14">
        <f>BY196*VLOOKUP('Données projet'!$B$12,Paramètres!$A$1:$I$89,3,0)*VLOOKUP('Données projet'!$B$12,Paramètres!$A$1:$I$89,5,0)</f>
        <v>8.8675733422860506E-14</v>
      </c>
      <c r="CA196" s="14">
        <f t="shared" si="170"/>
        <v>1.3509285393066301E-12</v>
      </c>
      <c r="CB196" s="22">
        <f t="shared" si="171"/>
        <v>2.5073107750038623E-12</v>
      </c>
      <c r="CC196" s="62">
        <f t="shared" ref="CC196:CC203" si="195">CB196+(BT196+BU196)*44/12</f>
        <v>293.33333333333582</v>
      </c>
      <c r="CD196" s="62">
        <f ca="1">AVERAGE(OFFSET($CC$3,0,0,'Données projet'!$E$12+1,1))-AVERAGE(OFFSET($H$3,0,0,'Données projet'!$E$12+1,1))</f>
        <v>249.25370091019835</v>
      </c>
      <c r="CE196" s="62">
        <f t="shared" si="148"/>
        <v>245.46410820099908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6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2">
        <f t="shared" ref="D197:D203" si="202">IFERROR(EXP(-1.0587+0.8836*LN(C197)+0.284),0)</f>
        <v>28.368547010555559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9">
        <f t="shared" si="192"/>
        <v>490.55951937671841</v>
      </c>
      <c r="I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-2.8421709430404007E-14</v>
      </c>
      <c r="O197" s="14">
        <f>N197*VLOOKUP('Données projet'!$B$9,Paramètres!$A$1:$I$89,3,0)*VLOOKUP('Données projet'!$B$9,Paramètres!$A$1:$I$89,5,0)</f>
        <v>-2.5715962692629544E-14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216.22465631364315</v>
      </c>
      <c r="T197" s="62">
        <f t="shared" ref="T197:T203" si="204">$T$3</f>
        <v>304.27938609150095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-9.6633812063373625E-13</v>
      </c>
      <c r="AJ197" s="14">
        <f>AI197*VLOOKUP('Données projet'!$B$10,Paramètres!$A$1:$I$89,3,0)*VLOOKUP('Données projet'!$B$10,Paramètres!$A$1:$I$89,5,0)</f>
        <v>-8.7434273154940449E-13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336.63786714776501</v>
      </c>
      <c r="AO197" s="62">
        <f t="shared" ref="AO197:AO203" si="205">$AO$3</f>
        <v>208.9883766854885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-9.6633812063373625E-13</v>
      </c>
      <c r="BE197" s="14">
        <f>BD197*VLOOKUP('Données projet'!$B$11,Paramètres!$A$1:$I$89,3,0)*VLOOKUP('Données projet'!$B$11,Paramètres!$A$1:$I$89,5,0)</f>
        <v>-9.3464223027694966E-13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363.29716504383265</v>
      </c>
      <c r="BJ197" s="62">
        <f t="shared" ref="BJ197:BJ203" si="206">$BJ$3</f>
        <v>223.12394672673923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1.1368683772161603E-13</v>
      </c>
      <c r="BZ197" s="14">
        <f>BY197*VLOOKUP('Données projet'!$B$12,Paramètres!$A$1:$I$89,3,0)*VLOOKUP('Données projet'!$B$12,Paramètres!$A$1:$I$89,5,0)</f>
        <v>8.8675733422860506E-14</v>
      </c>
      <c r="CA197" s="14">
        <f t="shared" si="170"/>
        <v>1.3509285393066301E-12</v>
      </c>
      <c r="CB197" s="22">
        <f t="shared" si="171"/>
        <v>2.5073107750038623E-12</v>
      </c>
      <c r="CC197" s="62">
        <f t="shared" si="195"/>
        <v>293.33333333333582</v>
      </c>
      <c r="CD197" s="62">
        <f ca="1">AVERAGE(OFFSET($CC$3,0,0,'Données projet'!$E$12+1,1))-AVERAGE(OFFSET($H$3,0,0,'Données projet'!$E$12+1,1))</f>
        <v>249.25370091019835</v>
      </c>
      <c r="CE197" s="62">
        <f t="shared" ref="CE197:CE203" si="207">$CE$3</f>
        <v>245.46410820099908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6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2">
        <f t="shared" si="202"/>
        <v>28.497716817719009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9">
        <f t="shared" si="192"/>
        <v>491.73544012419472</v>
      </c>
      <c r="I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-2.8421709430404007E-14</v>
      </c>
      <c r="O198" s="14">
        <f>N198*VLOOKUP('Données projet'!$B$9,Paramètres!$A$1:$I$89,3,0)*VLOOKUP('Données projet'!$B$9,Paramètres!$A$1:$I$89,5,0)</f>
        <v>-2.5715962692629544E-14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216.22465631364315</v>
      </c>
      <c r="T198" s="62">
        <f t="shared" si="204"/>
        <v>304.27938609150095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-9.6633812063373625E-13</v>
      </c>
      <c r="AJ198" s="14">
        <f>AI198*VLOOKUP('Données projet'!$B$10,Paramètres!$A$1:$I$89,3,0)*VLOOKUP('Données projet'!$B$10,Paramètres!$A$1:$I$89,5,0)</f>
        <v>-8.7434273154940449E-13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336.63786714776501</v>
      </c>
      <c r="AO198" s="62">
        <f t="shared" si="205"/>
        <v>208.9883766854885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-9.6633812063373625E-13</v>
      </c>
      <c r="BE198" s="14">
        <f>BD198*VLOOKUP('Données projet'!$B$11,Paramètres!$A$1:$I$89,3,0)*VLOOKUP('Données projet'!$B$11,Paramètres!$A$1:$I$89,5,0)</f>
        <v>-9.3464223027694966E-13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363.29716504383265</v>
      </c>
      <c r="BJ198" s="62">
        <f t="shared" si="206"/>
        <v>223.12394672673923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1.1368683772161603E-13</v>
      </c>
      <c r="BZ198" s="14">
        <f>BY198*VLOOKUP('Données projet'!$B$12,Paramètres!$A$1:$I$89,3,0)*VLOOKUP('Données projet'!$B$12,Paramètres!$A$1:$I$89,5,0)</f>
        <v>8.8675733422860506E-14</v>
      </c>
      <c r="CA198" s="14">
        <f t="shared" si="170"/>
        <v>1.3509285393066301E-12</v>
      </c>
      <c r="CB198" s="22">
        <f t="shared" si="171"/>
        <v>2.5073107750038623E-12</v>
      </c>
      <c r="CC198" s="62">
        <f t="shared" si="195"/>
        <v>293.33333333333582</v>
      </c>
      <c r="CD198" s="62">
        <f ca="1">AVERAGE(OFFSET($CC$3,0,0,'Données projet'!$E$12+1,1))-AVERAGE(OFFSET($H$3,0,0,'Données projet'!$E$12+1,1))</f>
        <v>249.25370091019835</v>
      </c>
      <c r="CE198" s="62">
        <f t="shared" si="207"/>
        <v>245.46410820099908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6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2">
        <f t="shared" si="202"/>
        <v>28.626809543094431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9">
        <f t="shared" si="192"/>
        <v>492.91122662089026</v>
      </c>
      <c r="I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-2.8421709430404007E-14</v>
      </c>
      <c r="O199" s="14">
        <f>N199*VLOOKUP('Données projet'!$B$9,Paramètres!$A$1:$I$89,3,0)*VLOOKUP('Données projet'!$B$9,Paramètres!$A$1:$I$89,5,0)</f>
        <v>-2.5715962692629544E-14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216.22465631364315</v>
      </c>
      <c r="T199" s="62">
        <f t="shared" si="204"/>
        <v>304.27938609150095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-9.6633812063373625E-13</v>
      </c>
      <c r="AJ199" s="14">
        <f>AI199*VLOOKUP('Données projet'!$B$10,Paramètres!$A$1:$I$89,3,0)*VLOOKUP('Données projet'!$B$10,Paramètres!$A$1:$I$89,5,0)</f>
        <v>-8.7434273154940449E-13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336.63786714776501</v>
      </c>
      <c r="AO199" s="62">
        <f t="shared" si="205"/>
        <v>208.9883766854885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-9.6633812063373625E-13</v>
      </c>
      <c r="BE199" s="14">
        <f>BD199*VLOOKUP('Données projet'!$B$11,Paramètres!$A$1:$I$89,3,0)*VLOOKUP('Données projet'!$B$11,Paramètres!$A$1:$I$89,5,0)</f>
        <v>-9.3464223027694966E-13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363.29716504383265</v>
      </c>
      <c r="BJ199" s="62">
        <f t="shared" si="206"/>
        <v>223.12394672673923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1.1368683772161603E-13</v>
      </c>
      <c r="BZ199" s="14">
        <f>BY199*VLOOKUP('Données projet'!$B$12,Paramètres!$A$1:$I$89,3,0)*VLOOKUP('Données projet'!$B$12,Paramètres!$A$1:$I$89,5,0)</f>
        <v>8.8675733422860506E-14</v>
      </c>
      <c r="CA199" s="14">
        <f t="shared" si="170"/>
        <v>1.3509285393066301E-12</v>
      </c>
      <c r="CB199" s="22">
        <f t="shared" si="171"/>
        <v>2.5073107750038623E-12</v>
      </c>
      <c r="CC199" s="62">
        <f t="shared" si="195"/>
        <v>293.33333333333582</v>
      </c>
      <c r="CD199" s="62">
        <f ca="1">AVERAGE(OFFSET($CC$3,0,0,'Données projet'!$E$12+1,1))-AVERAGE(OFFSET($H$3,0,0,'Données projet'!$E$12+1,1))</f>
        <v>249.25370091019835</v>
      </c>
      <c r="CE199" s="62">
        <f t="shared" si="207"/>
        <v>245.46410820099908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6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2">
        <f t="shared" si="202"/>
        <v>28.755825625606846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9">
        <f t="shared" si="192"/>
        <v>494.08687963126607</v>
      </c>
      <c r="I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-2.8421709430404007E-14</v>
      </c>
      <c r="O200" s="14">
        <f>N200*VLOOKUP('Données projet'!$B$9,Paramètres!$A$1:$I$89,3,0)*VLOOKUP('Données projet'!$B$9,Paramètres!$A$1:$I$89,5,0)</f>
        <v>-2.5715962692629544E-14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216.22465631364315</v>
      </c>
      <c r="T200" s="62">
        <f t="shared" si="204"/>
        <v>304.27938609150095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-9.6633812063373625E-13</v>
      </c>
      <c r="AJ200" s="14">
        <f>AI200*VLOOKUP('Données projet'!$B$10,Paramètres!$A$1:$I$89,3,0)*VLOOKUP('Données projet'!$B$10,Paramètres!$A$1:$I$89,5,0)</f>
        <v>-8.7434273154940449E-13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336.63786714776501</v>
      </c>
      <c r="AO200" s="62">
        <f t="shared" si="205"/>
        <v>208.9883766854885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-9.6633812063373625E-13</v>
      </c>
      <c r="BE200" s="14">
        <f>BD200*VLOOKUP('Données projet'!$B$11,Paramètres!$A$1:$I$89,3,0)*VLOOKUP('Données projet'!$B$11,Paramètres!$A$1:$I$89,5,0)</f>
        <v>-9.3464223027694966E-13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363.29716504383265</v>
      </c>
      <c r="BJ200" s="62">
        <f t="shared" si="206"/>
        <v>223.12394672673923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1.1368683772161603E-13</v>
      </c>
      <c r="BZ200" s="14">
        <f>BY200*VLOOKUP('Données projet'!$B$12,Paramètres!$A$1:$I$89,3,0)*VLOOKUP('Données projet'!$B$12,Paramètres!$A$1:$I$89,5,0)</f>
        <v>8.8675733422860506E-14</v>
      </c>
      <c r="CA200" s="14">
        <f t="shared" si="170"/>
        <v>1.3509285393066301E-12</v>
      </c>
      <c r="CB200" s="22">
        <f t="shared" si="171"/>
        <v>2.5073107750038623E-12</v>
      </c>
      <c r="CC200" s="62">
        <f t="shared" si="195"/>
        <v>293.33333333333582</v>
      </c>
      <c r="CD200" s="62">
        <f ca="1">AVERAGE(OFFSET($CC$3,0,0,'Données projet'!$E$12+1,1))-AVERAGE(OFFSET($H$3,0,0,'Données projet'!$E$12+1,1))</f>
        <v>249.25370091019835</v>
      </c>
      <c r="CE200" s="62">
        <f t="shared" si="207"/>
        <v>245.46410820099908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6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2">
        <f t="shared" si="202"/>
        <v>28.884765499467239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9">
        <f t="shared" si="192"/>
        <v>495.26239991157297</v>
      </c>
      <c r="I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-2.8421709430404007E-14</v>
      </c>
      <c r="O201" s="14">
        <f>N201*VLOOKUP('Données projet'!$B$9,Paramètres!$A$1:$I$89,3,0)*VLOOKUP('Données projet'!$B$9,Paramètres!$A$1:$I$89,5,0)</f>
        <v>-2.5715962692629544E-14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216.22465631364315</v>
      </c>
      <c r="T201" s="62">
        <f t="shared" si="204"/>
        <v>304.27938609150095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-9.6633812063373625E-13</v>
      </c>
      <c r="AJ201" s="14">
        <f>AI201*VLOOKUP('Données projet'!$B$10,Paramètres!$A$1:$I$89,3,0)*VLOOKUP('Données projet'!$B$10,Paramètres!$A$1:$I$89,5,0)</f>
        <v>-8.7434273154940449E-13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336.63786714776501</v>
      </c>
      <c r="AO201" s="62">
        <f t="shared" si="205"/>
        <v>208.9883766854885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-9.6633812063373625E-13</v>
      </c>
      <c r="BE201" s="14">
        <f>BD201*VLOOKUP('Données projet'!$B$11,Paramètres!$A$1:$I$89,3,0)*VLOOKUP('Données projet'!$B$11,Paramètres!$A$1:$I$89,5,0)</f>
        <v>-9.3464223027694966E-13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363.29716504383265</v>
      </c>
      <c r="BJ201" s="62">
        <f t="shared" si="206"/>
        <v>223.12394672673923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1.1368683772161603E-13</v>
      </c>
      <c r="BZ201" s="14">
        <f>BY201*VLOOKUP('Données projet'!$B$12,Paramètres!$A$1:$I$89,3,0)*VLOOKUP('Données projet'!$B$12,Paramètres!$A$1:$I$89,5,0)</f>
        <v>8.8675733422860506E-14</v>
      </c>
      <c r="CA201" s="14">
        <f t="shared" si="170"/>
        <v>1.3509285393066301E-12</v>
      </c>
      <c r="CB201" s="22">
        <f t="shared" si="171"/>
        <v>2.5073107750038623E-12</v>
      </c>
      <c r="CC201" s="62">
        <f t="shared" si="195"/>
        <v>293.33333333333582</v>
      </c>
      <c r="CD201" s="62">
        <f ca="1">AVERAGE(OFFSET($CC$3,0,0,'Données projet'!$E$12+1,1))-AVERAGE(OFFSET($H$3,0,0,'Données projet'!$E$12+1,1))</f>
        <v>249.25370091019835</v>
      </c>
      <c r="CE201" s="62">
        <f t="shared" si="207"/>
        <v>245.46410820099908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6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2">
        <f t="shared" si="202"/>
        <v>29.013629594246641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9">
        <f t="shared" si="192"/>
        <v>496.43778820998034</v>
      </c>
      <c r="I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-2.8421709430404007E-14</v>
      </c>
      <c r="O202" s="14">
        <f>N202*VLOOKUP('Données projet'!$B$9,Paramètres!$A$1:$I$89,3,0)*VLOOKUP('Données projet'!$B$9,Paramètres!$A$1:$I$89,5,0)</f>
        <v>-2.5715962692629544E-14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216.22465631364315</v>
      </c>
      <c r="T202" s="62">
        <f t="shared" si="204"/>
        <v>304.27938609150095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-9.6633812063373625E-13</v>
      </c>
      <c r="AJ202" s="14">
        <f>AI202*VLOOKUP('Données projet'!$B$10,Paramètres!$A$1:$I$89,3,0)*VLOOKUP('Données projet'!$B$10,Paramètres!$A$1:$I$89,5,0)</f>
        <v>-8.7434273154940449E-13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336.63786714776501</v>
      </c>
      <c r="AO202" s="62">
        <f t="shared" si="205"/>
        <v>208.9883766854885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-9.6633812063373625E-13</v>
      </c>
      <c r="BE202" s="14">
        <f>BD202*VLOOKUP('Données projet'!$B$11,Paramètres!$A$1:$I$89,3,0)*VLOOKUP('Données projet'!$B$11,Paramètres!$A$1:$I$89,5,0)</f>
        <v>-9.3464223027694966E-13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363.29716504383265</v>
      </c>
      <c r="BJ202" s="62">
        <f t="shared" si="206"/>
        <v>223.12394672673923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1.1368683772161603E-13</v>
      </c>
      <c r="BZ202" s="14">
        <f>BY202*VLOOKUP('Données projet'!$B$12,Paramètres!$A$1:$I$89,3,0)*VLOOKUP('Données projet'!$B$12,Paramètres!$A$1:$I$89,5,0)</f>
        <v>8.8675733422860506E-14</v>
      </c>
      <c r="CA202" s="14">
        <f t="shared" si="170"/>
        <v>1.3509285393066301E-12</v>
      </c>
      <c r="CB202" s="22">
        <f t="shared" si="171"/>
        <v>2.5073107750038623E-12</v>
      </c>
      <c r="CC202" s="62">
        <f t="shared" si="195"/>
        <v>293.33333333333582</v>
      </c>
      <c r="CD202" s="62">
        <f ca="1">AVERAGE(OFFSET($CC$3,0,0,'Données projet'!$E$12+1,1))-AVERAGE(OFFSET($H$3,0,0,'Données projet'!$E$12+1,1))</f>
        <v>249.25370091019835</v>
      </c>
      <c r="CE202" s="62">
        <f t="shared" si="207"/>
        <v>245.46410820099908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6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2">
        <f t="shared" si="202"/>
        <v>29.142418334948719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9">
        <f t="shared" si="192"/>
        <v>497.61304526670318</v>
      </c>
      <c r="I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-2.8421709430404007E-14</v>
      </c>
      <c r="O203" s="14">
        <f>N203*VLOOKUP('Données projet'!$B$9,Paramètres!$A$1:$I$89,3,0)*VLOOKUP('Données projet'!$B$9,Paramètres!$A$1:$I$89,5,0)</f>
        <v>-2.5715962692629544E-14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216.22465631364315</v>
      </c>
      <c r="T203" s="62">
        <f t="shared" si="204"/>
        <v>304.27938609150095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-9.6633812063373625E-13</v>
      </c>
      <c r="AJ203" s="14">
        <f>AI203*VLOOKUP('Données projet'!$B$10,Paramètres!$A$1:$I$89,3,0)*VLOOKUP('Données projet'!$B$10,Paramètres!$A$1:$I$89,5,0)</f>
        <v>-8.7434273154940449E-13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336.63786714776501</v>
      </c>
      <c r="AO203" s="62">
        <f t="shared" si="205"/>
        <v>208.9883766854885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-9.6633812063373625E-13</v>
      </c>
      <c r="BE203" s="14">
        <f>BD203*VLOOKUP('Données projet'!$B$11,Paramètres!$A$1:$I$89,3,0)*VLOOKUP('Données projet'!$B$11,Paramètres!$A$1:$I$89,5,0)</f>
        <v>-9.3464223027694966E-13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363.29716504383265</v>
      </c>
      <c r="BJ203" s="62">
        <f t="shared" si="206"/>
        <v>223.12394672673923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1.1368683772161603E-13</v>
      </c>
      <c r="BZ203" s="14">
        <f>BY203*VLOOKUP('Données projet'!$B$12,Paramètres!$A$1:$I$89,3,0)*VLOOKUP('Données projet'!$B$12,Paramètres!$A$1:$I$89,5,0)</f>
        <v>8.8675733422860506E-14</v>
      </c>
      <c r="CA203" s="14">
        <f t="shared" si="170"/>
        <v>1.3509285393066301E-12</v>
      </c>
      <c r="CB203" s="22">
        <f t="shared" si="171"/>
        <v>2.5073107750038623E-12</v>
      </c>
      <c r="CC203" s="62">
        <f t="shared" si="195"/>
        <v>293.33333333333582</v>
      </c>
      <c r="CD203" s="62">
        <f ca="1">AVERAGE(OFFSET($CC$3,0,0,'Données projet'!$E$12+1,1))-AVERAGE(OFFSET($H$3,0,0,'Données projet'!$E$12+1,1))</f>
        <v>249.25370091019835</v>
      </c>
      <c r="CE203" s="62">
        <f t="shared" si="207"/>
        <v>245.46410820099908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2"/>
      <c r="C204" s="80"/>
      <c r="D204" s="81"/>
      <c r="E204" s="81"/>
      <c r="F204" s="81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0"/>
      <c r="I204" s="80"/>
      <c r="J204" s="80"/>
      <c r="K204" s="89" t="s">
        <v>293</v>
      </c>
      <c r="L204" s="83"/>
      <c r="M204" s="83"/>
      <c r="N204" s="83"/>
      <c r="O204" s="80"/>
      <c r="P204" s="80"/>
      <c r="Q204" s="81"/>
      <c r="R204" s="84"/>
      <c r="S204" s="84"/>
      <c r="T204" s="84"/>
      <c r="U204" s="83"/>
      <c r="V204" s="83"/>
      <c r="W204" s="85"/>
      <c r="X204" s="85"/>
      <c r="Y204" s="85"/>
      <c r="Z204" s="80"/>
      <c r="AA204" s="80"/>
      <c r="AB204" s="80"/>
      <c r="AC204" s="80"/>
      <c r="AD204" s="80"/>
      <c r="AE204" s="80"/>
      <c r="AF204" s="86" t="s">
        <v>293</v>
      </c>
      <c r="BA204" s="86" t="s">
        <v>293</v>
      </c>
      <c r="BV204" s="86" t="s">
        <v>293</v>
      </c>
      <c r="CQ204" s="86" t="s">
        <v>293</v>
      </c>
      <c r="DL204" s="86" t="s">
        <v>293</v>
      </c>
      <c r="EG204" s="86" t="s">
        <v>293</v>
      </c>
      <c r="FB204" s="86" t="s">
        <v>293</v>
      </c>
      <c r="FW204" s="86" t="s">
        <v>293</v>
      </c>
      <c r="GR204" s="86" t="s">
        <v>293</v>
      </c>
    </row>
    <row r="205" spans="1:218" ht="15" thickBot="1" x14ac:dyDescent="0.35">
      <c r="B205" s="82"/>
      <c r="C205" s="80"/>
      <c r="D205" s="81"/>
      <c r="E205" s="81"/>
      <c r="F205" s="81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0"/>
      <c r="I205" s="80"/>
      <c r="J205" s="80"/>
      <c r="K205" s="87">
        <f>EXP(LN('Données projet'!B36)/'Données projet'!A36)</f>
        <v>1.8556007362580844</v>
      </c>
      <c r="L205" s="83"/>
      <c r="M205" s="83"/>
      <c r="N205" s="83"/>
      <c r="O205" s="80"/>
      <c r="P205" s="80"/>
      <c r="Q205" s="81"/>
      <c r="R205" s="84"/>
      <c r="S205" s="84"/>
      <c r="T205" s="84"/>
      <c r="U205" s="83"/>
      <c r="V205" s="83"/>
      <c r="W205" s="85"/>
      <c r="X205" s="85"/>
      <c r="Y205" s="85"/>
      <c r="Z205" s="80"/>
      <c r="AA205" s="80"/>
      <c r="AB205" s="80"/>
      <c r="AC205" s="80"/>
      <c r="AD205" s="80"/>
      <c r="AE205" s="80"/>
      <c r="AF205" s="88">
        <f>EXP(LN('Données projet'!B62)/'Données projet'!A62)</f>
        <v>1.2054868146447177</v>
      </c>
      <c r="BA205" s="87">
        <f>EXP(LN('Données projet'!B88)/'Données projet'!A88)</f>
        <v>1.2054868146447177</v>
      </c>
      <c r="BV205" s="87">
        <f>EXP(LN('Données projet'!B114)/'Données projet'!A114)</f>
        <v>1.2788040393997409</v>
      </c>
      <c r="CQ205" s="87" t="e">
        <f>EXP(LN('Données projet'!B140)/'Données projet'!A140)</f>
        <v>#NUM!</v>
      </c>
      <c r="DL205" s="87" t="e">
        <f>EXP(LN('Données projet'!B166)/'Données projet'!A166)</f>
        <v>#NUM!</v>
      </c>
      <c r="EG205" s="87" t="e">
        <f>EXP(LN('Données projet'!B192)/'Données projet'!A192)</f>
        <v>#NUM!</v>
      </c>
      <c r="FB205" s="87" t="e">
        <f>EXP(LN('Données projet'!B218)/'Données projet'!A218)</f>
        <v>#NUM!</v>
      </c>
      <c r="FW205" s="87" t="e">
        <f>EXP(LN('Données projet'!B244)/'Données projet'!A244)</f>
        <v>#NUM!</v>
      </c>
      <c r="GR205" s="87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19" t="s">
        <v>0</v>
      </c>
      <c r="B1" s="120" t="s">
        <v>106</v>
      </c>
      <c r="C1" s="121" t="s">
        <v>144</v>
      </c>
      <c r="D1" s="120" t="s">
        <v>100</v>
      </c>
      <c r="E1" s="121" t="s">
        <v>145</v>
      </c>
      <c r="F1" s="121" t="s">
        <v>100</v>
      </c>
      <c r="G1" s="121" t="s">
        <v>146</v>
      </c>
      <c r="H1" s="121" t="s">
        <v>100</v>
      </c>
      <c r="I1" s="122" t="s">
        <v>147</v>
      </c>
      <c r="J1" s="99"/>
      <c r="K1" s="99"/>
      <c r="L1" s="99"/>
      <c r="M1" s="99"/>
      <c r="N1" s="99"/>
    </row>
    <row r="2" spans="1:16" x14ac:dyDescent="0.3">
      <c r="A2" s="123" t="s">
        <v>1</v>
      </c>
      <c r="B2" s="124" t="s">
        <v>53</v>
      </c>
      <c r="C2" s="125">
        <v>0.62</v>
      </c>
      <c r="D2" s="125" t="s">
        <v>161</v>
      </c>
      <c r="E2" s="125">
        <v>1.56</v>
      </c>
      <c r="F2" s="125" t="s">
        <v>274</v>
      </c>
      <c r="G2" s="126">
        <v>0.43</v>
      </c>
      <c r="H2" s="127" t="s">
        <v>278</v>
      </c>
      <c r="I2" s="128">
        <v>0.25</v>
      </c>
      <c r="J2" s="99"/>
      <c r="K2" s="99"/>
      <c r="L2" s="99"/>
      <c r="M2" s="99"/>
      <c r="N2" s="99"/>
      <c r="O2" s="316" t="s">
        <v>238</v>
      </c>
      <c r="P2" s="129">
        <v>0</v>
      </c>
    </row>
    <row r="3" spans="1:16" ht="15" thickBot="1" x14ac:dyDescent="0.35">
      <c r="A3" s="130" t="s">
        <v>2</v>
      </c>
      <c r="B3" s="131" t="s">
        <v>54</v>
      </c>
      <c r="C3" s="132">
        <v>0.64</v>
      </c>
      <c r="D3" s="132" t="s">
        <v>161</v>
      </c>
      <c r="E3" s="132">
        <v>1.56</v>
      </c>
      <c r="F3" s="133" t="s">
        <v>274</v>
      </c>
      <c r="G3" s="134">
        <v>0.43</v>
      </c>
      <c r="H3" s="132" t="s">
        <v>278</v>
      </c>
      <c r="I3" s="135">
        <v>0.25</v>
      </c>
      <c r="J3" s="99"/>
      <c r="K3" s="99"/>
      <c r="L3" s="99"/>
      <c r="M3" s="99"/>
      <c r="N3" s="99"/>
      <c r="O3" s="317"/>
      <c r="P3" s="136">
        <v>0.2</v>
      </c>
    </row>
    <row r="4" spans="1:16" ht="15" thickBot="1" x14ac:dyDescent="0.35">
      <c r="A4" s="130" t="s">
        <v>98</v>
      </c>
      <c r="B4" s="131" t="s">
        <v>99</v>
      </c>
      <c r="C4" s="132">
        <v>0.42</v>
      </c>
      <c r="D4" s="132" t="s">
        <v>161</v>
      </c>
      <c r="E4" s="132">
        <v>1.56</v>
      </c>
      <c r="F4" s="133" t="s">
        <v>274</v>
      </c>
      <c r="G4" s="134">
        <v>0.43</v>
      </c>
      <c r="H4" s="132" t="s">
        <v>278</v>
      </c>
      <c r="I4" s="135">
        <v>0.25</v>
      </c>
      <c r="J4" s="99"/>
      <c r="K4" s="99"/>
      <c r="L4" s="99"/>
      <c r="M4" s="99"/>
      <c r="N4" s="99"/>
    </row>
    <row r="5" spans="1:16" x14ac:dyDescent="0.3">
      <c r="A5" s="130" t="s">
        <v>4</v>
      </c>
      <c r="B5" s="131" t="s">
        <v>55</v>
      </c>
      <c r="C5" s="132">
        <v>0.42</v>
      </c>
      <c r="D5" s="132" t="s">
        <v>161</v>
      </c>
      <c r="E5" s="132">
        <v>1.56</v>
      </c>
      <c r="F5" s="133" t="s">
        <v>274</v>
      </c>
      <c r="G5" s="134">
        <v>0.43</v>
      </c>
      <c r="H5" s="132" t="s">
        <v>278</v>
      </c>
      <c r="I5" s="135">
        <v>0.25</v>
      </c>
      <c r="J5" s="99"/>
      <c r="K5" s="99"/>
      <c r="L5" s="99"/>
      <c r="M5" s="99"/>
      <c r="N5" s="99"/>
      <c r="O5" s="316" t="s">
        <v>237</v>
      </c>
      <c r="P5" s="129">
        <v>0</v>
      </c>
    </row>
    <row r="6" spans="1:16" x14ac:dyDescent="0.3">
      <c r="A6" s="130" t="s">
        <v>3</v>
      </c>
      <c r="B6" s="131" t="s">
        <v>97</v>
      </c>
      <c r="C6" s="132">
        <v>0.42</v>
      </c>
      <c r="D6" s="132" t="s">
        <v>161</v>
      </c>
      <c r="E6" s="132">
        <v>1.56</v>
      </c>
      <c r="F6" s="133" t="s">
        <v>274</v>
      </c>
      <c r="G6" s="134">
        <v>0.43</v>
      </c>
      <c r="H6" s="132" t="s">
        <v>278</v>
      </c>
      <c r="I6" s="135">
        <v>0.25</v>
      </c>
      <c r="J6" s="99"/>
      <c r="K6" s="99"/>
      <c r="L6" s="99"/>
      <c r="M6" s="99"/>
      <c r="N6" s="99"/>
      <c r="O6" s="318"/>
      <c r="P6" s="137">
        <v>0.05</v>
      </c>
    </row>
    <row r="7" spans="1:16" x14ac:dyDescent="0.3">
      <c r="A7" s="130" t="s">
        <v>5</v>
      </c>
      <c r="B7" s="131" t="s">
        <v>56</v>
      </c>
      <c r="C7" s="132">
        <v>0.52</v>
      </c>
      <c r="D7" s="132" t="s">
        <v>161</v>
      </c>
      <c r="E7" s="132">
        <v>1.56</v>
      </c>
      <c r="F7" s="133" t="s">
        <v>274</v>
      </c>
      <c r="G7" s="134">
        <v>0.43</v>
      </c>
      <c r="H7" s="132" t="s">
        <v>278</v>
      </c>
      <c r="I7" s="135">
        <v>0.25</v>
      </c>
      <c r="J7" s="99"/>
      <c r="K7" s="99"/>
      <c r="L7" s="99"/>
      <c r="M7" s="99"/>
      <c r="N7" s="99"/>
      <c r="O7" s="318"/>
      <c r="P7" s="137">
        <v>0.1</v>
      </c>
    </row>
    <row r="8" spans="1:16" ht="15" thickBot="1" x14ac:dyDescent="0.35">
      <c r="A8" s="130" t="s">
        <v>164</v>
      </c>
      <c r="B8" s="131" t="s">
        <v>57</v>
      </c>
      <c r="C8" s="132">
        <v>0.36</v>
      </c>
      <c r="D8" s="132" t="s">
        <v>161</v>
      </c>
      <c r="E8" s="132">
        <v>1.3</v>
      </c>
      <c r="F8" s="133" t="s">
        <v>274</v>
      </c>
      <c r="G8" s="134">
        <v>0.55000000000000004</v>
      </c>
      <c r="H8" s="132" t="s">
        <v>153</v>
      </c>
      <c r="I8" s="135">
        <v>0.43</v>
      </c>
      <c r="J8" s="99"/>
      <c r="K8" s="99"/>
      <c r="L8" s="99"/>
      <c r="M8" s="99"/>
      <c r="N8" s="99"/>
      <c r="O8" s="317"/>
      <c r="P8" s="136">
        <v>0.15</v>
      </c>
    </row>
    <row r="9" spans="1:16" ht="15" thickBot="1" x14ac:dyDescent="0.35">
      <c r="A9" s="130" t="s">
        <v>6</v>
      </c>
      <c r="B9" s="131" t="s">
        <v>58</v>
      </c>
      <c r="C9" s="132">
        <v>0.61</v>
      </c>
      <c r="D9" s="132" t="s">
        <v>161</v>
      </c>
      <c r="E9" s="132">
        <v>1.56</v>
      </c>
      <c r="F9" s="133" t="s">
        <v>274</v>
      </c>
      <c r="G9" s="134">
        <v>0.43</v>
      </c>
      <c r="H9" s="132" t="s">
        <v>278</v>
      </c>
      <c r="I9" s="135">
        <v>0.25</v>
      </c>
      <c r="J9" s="99"/>
      <c r="K9" s="99"/>
      <c r="L9" s="99"/>
      <c r="M9" s="99"/>
      <c r="N9" s="99"/>
    </row>
    <row r="10" spans="1:16" x14ac:dyDescent="0.3">
      <c r="A10" s="130" t="s">
        <v>7</v>
      </c>
      <c r="B10" s="131" t="s">
        <v>59</v>
      </c>
      <c r="C10" s="132">
        <v>0.66</v>
      </c>
      <c r="D10" s="132" t="s">
        <v>161</v>
      </c>
      <c r="E10" s="132">
        <v>1.56</v>
      </c>
      <c r="F10" s="133" t="s">
        <v>274</v>
      </c>
      <c r="G10" s="134">
        <v>0.43</v>
      </c>
      <c r="H10" s="132" t="s">
        <v>278</v>
      </c>
      <c r="I10" s="135">
        <v>0.25</v>
      </c>
      <c r="J10" s="99"/>
      <c r="K10" s="99"/>
      <c r="L10" s="99"/>
      <c r="M10" s="99"/>
      <c r="N10" s="99"/>
      <c r="O10" s="316" t="s">
        <v>236</v>
      </c>
      <c r="P10" s="129">
        <v>0</v>
      </c>
    </row>
    <row r="11" spans="1:16" ht="15" thickBot="1" x14ac:dyDescent="0.35">
      <c r="A11" s="130" t="s">
        <v>8</v>
      </c>
      <c r="B11" s="131" t="s">
        <v>60</v>
      </c>
      <c r="C11" s="132">
        <v>0.47</v>
      </c>
      <c r="D11" s="132" t="s">
        <v>161</v>
      </c>
      <c r="E11" s="132">
        <v>1.56</v>
      </c>
      <c r="F11" s="133" t="s">
        <v>274</v>
      </c>
      <c r="G11" s="134">
        <v>0.43</v>
      </c>
      <c r="H11" s="132" t="s">
        <v>278</v>
      </c>
      <c r="I11" s="135">
        <v>0.25</v>
      </c>
      <c r="J11" s="99"/>
      <c r="K11" s="99"/>
      <c r="L11" s="99"/>
      <c r="M11" s="99"/>
      <c r="N11" s="99"/>
      <c r="O11" s="317"/>
      <c r="P11" s="136">
        <v>0.1</v>
      </c>
    </row>
    <row r="12" spans="1:16" x14ac:dyDescent="0.3">
      <c r="A12" s="130" t="s">
        <v>9</v>
      </c>
      <c r="B12" s="131" t="s">
        <v>61</v>
      </c>
      <c r="C12" s="132">
        <v>0.67</v>
      </c>
      <c r="D12" s="132" t="s">
        <v>161</v>
      </c>
      <c r="E12" s="132">
        <v>1.56</v>
      </c>
      <c r="F12" s="133" t="s">
        <v>274</v>
      </c>
      <c r="G12" s="134">
        <v>0.43</v>
      </c>
      <c r="H12" s="132" t="s">
        <v>152</v>
      </c>
      <c r="I12" s="135">
        <v>0.25</v>
      </c>
      <c r="J12" s="99"/>
      <c r="K12" s="99"/>
      <c r="L12" s="99"/>
      <c r="M12" s="99"/>
      <c r="N12" s="99"/>
    </row>
    <row r="13" spans="1:16" x14ac:dyDescent="0.3">
      <c r="A13" s="130" t="s">
        <v>10</v>
      </c>
      <c r="B13" s="131" t="s">
        <v>62</v>
      </c>
      <c r="C13" s="132">
        <v>0.7</v>
      </c>
      <c r="D13" s="132" t="s">
        <v>161</v>
      </c>
      <c r="E13" s="132">
        <v>1.56</v>
      </c>
      <c r="F13" s="133" t="s">
        <v>274</v>
      </c>
      <c r="G13" s="134">
        <v>0.43</v>
      </c>
      <c r="H13" s="132" t="s">
        <v>152</v>
      </c>
      <c r="I13" s="135">
        <v>0.25</v>
      </c>
      <c r="J13" s="99"/>
      <c r="K13" s="99"/>
      <c r="L13" s="99"/>
      <c r="M13" s="99"/>
      <c r="N13" s="99"/>
    </row>
    <row r="14" spans="1:16" x14ac:dyDescent="0.3">
      <c r="A14" s="130" t="s">
        <v>11</v>
      </c>
      <c r="B14" s="131" t="s">
        <v>63</v>
      </c>
      <c r="C14" s="132">
        <v>0.54</v>
      </c>
      <c r="D14" s="132" t="s">
        <v>161</v>
      </c>
      <c r="E14" s="132">
        <v>1.56</v>
      </c>
      <c r="F14" s="133" t="s">
        <v>274</v>
      </c>
      <c r="G14" s="134">
        <v>0.43</v>
      </c>
      <c r="H14" s="132" t="s">
        <v>152</v>
      </c>
      <c r="I14" s="135">
        <v>0.25</v>
      </c>
      <c r="J14" s="99"/>
      <c r="K14" s="99"/>
      <c r="L14" s="99"/>
      <c r="M14" s="99"/>
      <c r="N14" s="99"/>
    </row>
    <row r="15" spans="1:16" x14ac:dyDescent="0.3">
      <c r="A15" s="130" t="s">
        <v>12</v>
      </c>
      <c r="B15" s="131" t="s">
        <v>64</v>
      </c>
      <c r="C15" s="132">
        <v>0.65</v>
      </c>
      <c r="D15" s="132" t="s">
        <v>161</v>
      </c>
      <c r="E15" s="132">
        <v>1.56</v>
      </c>
      <c r="F15" s="133" t="s">
        <v>274</v>
      </c>
      <c r="G15" s="134">
        <v>0.43</v>
      </c>
      <c r="H15" s="132" t="s">
        <v>152</v>
      </c>
      <c r="I15" s="135">
        <v>0.25</v>
      </c>
      <c r="J15" s="99"/>
      <c r="K15" s="99"/>
      <c r="L15" s="99"/>
      <c r="M15" s="99"/>
      <c r="N15" s="99"/>
    </row>
    <row r="16" spans="1:16" x14ac:dyDescent="0.3">
      <c r="A16" s="130" t="s">
        <v>13</v>
      </c>
      <c r="B16" s="131" t="s">
        <v>65</v>
      </c>
      <c r="C16" s="132">
        <v>0.56000000000000005</v>
      </c>
      <c r="D16" s="132" t="s">
        <v>161</v>
      </c>
      <c r="E16" s="132">
        <v>1.56</v>
      </c>
      <c r="F16" s="133" t="s">
        <v>274</v>
      </c>
      <c r="G16" s="134">
        <v>0.43</v>
      </c>
      <c r="H16" s="132" t="s">
        <v>152</v>
      </c>
      <c r="I16" s="135">
        <v>0.25</v>
      </c>
      <c r="J16" s="99"/>
      <c r="K16" s="99"/>
      <c r="L16" s="99"/>
      <c r="M16" s="99"/>
      <c r="N16" s="99"/>
    </row>
    <row r="17" spans="1:14" x14ac:dyDescent="0.3">
      <c r="A17" s="130" t="s">
        <v>14</v>
      </c>
      <c r="B17" s="131" t="s">
        <v>66</v>
      </c>
      <c r="C17" s="132">
        <v>0.57999999999999996</v>
      </c>
      <c r="D17" s="132" t="s">
        <v>161</v>
      </c>
      <c r="E17" s="132">
        <v>1.56</v>
      </c>
      <c r="F17" s="133" t="s">
        <v>274</v>
      </c>
      <c r="G17" s="134">
        <v>0.43</v>
      </c>
      <c r="H17" s="132" t="s">
        <v>152</v>
      </c>
      <c r="I17" s="135">
        <v>0.25</v>
      </c>
      <c r="J17" s="99"/>
      <c r="K17" s="99"/>
      <c r="L17" s="99"/>
      <c r="M17" s="99"/>
      <c r="N17" s="99"/>
    </row>
    <row r="18" spans="1:14" x14ac:dyDescent="0.3">
      <c r="A18" s="130" t="s">
        <v>15</v>
      </c>
      <c r="B18" s="131" t="s">
        <v>67</v>
      </c>
      <c r="C18" s="132">
        <v>0.64</v>
      </c>
      <c r="D18" s="132" t="s">
        <v>161</v>
      </c>
      <c r="E18" s="132">
        <v>1.56</v>
      </c>
      <c r="F18" s="133" t="s">
        <v>274</v>
      </c>
      <c r="G18" s="134">
        <v>0.43</v>
      </c>
      <c r="H18" s="132" t="s">
        <v>152</v>
      </c>
      <c r="I18" s="135">
        <v>0.25</v>
      </c>
      <c r="J18" s="99"/>
      <c r="K18" s="99"/>
      <c r="L18" s="99"/>
      <c r="M18" s="99"/>
      <c r="N18" s="99"/>
    </row>
    <row r="19" spans="1:14" x14ac:dyDescent="0.3">
      <c r="A19" s="130" t="s">
        <v>16</v>
      </c>
      <c r="B19" s="131" t="s">
        <v>68</v>
      </c>
      <c r="C19" s="132">
        <v>0.73</v>
      </c>
      <c r="D19" s="132" t="s">
        <v>161</v>
      </c>
      <c r="E19" s="132">
        <v>1.56</v>
      </c>
      <c r="F19" s="133" t="s">
        <v>274</v>
      </c>
      <c r="G19" s="134">
        <v>0.43</v>
      </c>
      <c r="H19" s="132" t="s">
        <v>152</v>
      </c>
      <c r="I19" s="135">
        <v>0.25</v>
      </c>
      <c r="J19" s="99"/>
      <c r="K19" s="99"/>
      <c r="L19" s="99"/>
      <c r="M19" s="99"/>
      <c r="N19" s="99"/>
    </row>
    <row r="20" spans="1:14" x14ac:dyDescent="0.3">
      <c r="A20" s="130" t="s">
        <v>52</v>
      </c>
      <c r="B20" s="131" t="s">
        <v>69</v>
      </c>
      <c r="C20" s="132">
        <v>0.69</v>
      </c>
      <c r="D20" s="132" t="s">
        <v>131</v>
      </c>
      <c r="E20" s="132">
        <v>1.56</v>
      </c>
      <c r="F20" s="133" t="s">
        <v>274</v>
      </c>
      <c r="G20" s="134">
        <v>0.43</v>
      </c>
      <c r="H20" s="132" t="s">
        <v>282</v>
      </c>
      <c r="I20" s="135">
        <v>0.25</v>
      </c>
      <c r="J20" s="99"/>
      <c r="K20" s="99"/>
      <c r="L20" s="99"/>
      <c r="M20" s="99"/>
      <c r="N20" s="99"/>
    </row>
    <row r="21" spans="1:14" x14ac:dyDescent="0.3">
      <c r="A21" s="130" t="s">
        <v>154</v>
      </c>
      <c r="B21" s="131" t="s">
        <v>155</v>
      </c>
      <c r="C21" s="132">
        <v>0.36</v>
      </c>
      <c r="D21" s="132" t="s">
        <v>161</v>
      </c>
      <c r="E21" s="132">
        <v>1.3</v>
      </c>
      <c r="F21" s="133" t="s">
        <v>274</v>
      </c>
      <c r="G21" s="134">
        <v>0.55000000000000004</v>
      </c>
      <c r="H21" s="132" t="s">
        <v>153</v>
      </c>
      <c r="I21" s="135">
        <v>0.43</v>
      </c>
      <c r="J21" s="99"/>
      <c r="K21" s="99"/>
      <c r="L21" s="99"/>
      <c r="M21" s="99"/>
      <c r="N21" s="99"/>
    </row>
    <row r="22" spans="1:14" x14ac:dyDescent="0.3">
      <c r="A22" s="130" t="s">
        <v>17</v>
      </c>
      <c r="B22" s="131" t="s">
        <v>70</v>
      </c>
      <c r="C22" s="132">
        <v>0.4</v>
      </c>
      <c r="D22" s="132" t="s">
        <v>161</v>
      </c>
      <c r="E22" s="132">
        <v>1.3</v>
      </c>
      <c r="F22" s="133" t="s">
        <v>274</v>
      </c>
      <c r="G22" s="134">
        <v>0.55000000000000004</v>
      </c>
      <c r="H22" s="132" t="s">
        <v>153</v>
      </c>
      <c r="I22" s="135">
        <v>0.43</v>
      </c>
      <c r="J22" s="99"/>
      <c r="K22" s="99"/>
      <c r="L22" s="99"/>
      <c r="M22" s="99"/>
      <c r="N22" s="99"/>
    </row>
    <row r="23" spans="1:14" x14ac:dyDescent="0.3">
      <c r="A23" s="130" t="s">
        <v>18</v>
      </c>
      <c r="B23" s="131" t="s">
        <v>71</v>
      </c>
      <c r="C23" s="132">
        <v>0.43</v>
      </c>
      <c r="D23" s="132" t="s">
        <v>161</v>
      </c>
      <c r="E23" s="132">
        <v>1.3</v>
      </c>
      <c r="F23" s="133" t="s">
        <v>274</v>
      </c>
      <c r="G23" s="134">
        <v>0.55000000000000004</v>
      </c>
      <c r="H23" s="132" t="s">
        <v>153</v>
      </c>
      <c r="I23" s="135">
        <v>0.43</v>
      </c>
      <c r="J23" s="99"/>
      <c r="K23" s="99"/>
      <c r="L23" s="99"/>
      <c r="M23" s="99"/>
      <c r="N23" s="99"/>
    </row>
    <row r="24" spans="1:14" x14ac:dyDescent="0.3">
      <c r="A24" s="130" t="s">
        <v>19</v>
      </c>
      <c r="B24" s="131" t="s">
        <v>72</v>
      </c>
      <c r="C24" s="132">
        <v>0.37</v>
      </c>
      <c r="D24" s="132" t="s">
        <v>161</v>
      </c>
      <c r="E24" s="132">
        <v>1.3</v>
      </c>
      <c r="F24" s="133" t="s">
        <v>274</v>
      </c>
      <c r="G24" s="134">
        <v>0.55000000000000004</v>
      </c>
      <c r="H24" s="132" t="s">
        <v>152</v>
      </c>
      <c r="I24" s="135">
        <v>0.43</v>
      </c>
      <c r="J24" s="99"/>
      <c r="K24" s="99"/>
      <c r="L24" s="99"/>
      <c r="M24" s="99"/>
      <c r="N24" s="99"/>
    </row>
    <row r="25" spans="1:14" x14ac:dyDescent="0.3">
      <c r="A25" s="130" t="s">
        <v>20</v>
      </c>
      <c r="B25" s="131" t="s">
        <v>73</v>
      </c>
      <c r="C25" s="132">
        <v>0.36</v>
      </c>
      <c r="D25" s="132" t="s">
        <v>161</v>
      </c>
      <c r="E25" s="132">
        <v>1.3</v>
      </c>
      <c r="F25" s="133" t="s">
        <v>274</v>
      </c>
      <c r="G25" s="134">
        <v>0.55000000000000004</v>
      </c>
      <c r="H25" s="132" t="s">
        <v>152</v>
      </c>
      <c r="I25" s="135">
        <v>0.43</v>
      </c>
      <c r="J25" s="99"/>
      <c r="K25" s="99"/>
      <c r="L25" s="99"/>
      <c r="M25" s="99"/>
      <c r="N25" s="99"/>
    </row>
    <row r="26" spans="1:14" x14ac:dyDescent="0.3">
      <c r="A26" s="130" t="s">
        <v>21</v>
      </c>
      <c r="B26" s="131" t="s">
        <v>74</v>
      </c>
      <c r="C26" s="132">
        <v>0.56000000000000005</v>
      </c>
      <c r="D26" s="132" t="s">
        <v>161</v>
      </c>
      <c r="E26" s="132">
        <v>1.56</v>
      </c>
      <c r="F26" s="133" t="s">
        <v>274</v>
      </c>
      <c r="G26" s="134">
        <v>0.53</v>
      </c>
      <c r="H26" s="132" t="s">
        <v>275</v>
      </c>
      <c r="I26" s="135">
        <v>0.25</v>
      </c>
      <c r="J26" s="99"/>
      <c r="K26" s="99"/>
      <c r="L26" s="99"/>
      <c r="M26" s="99"/>
      <c r="N26" s="99"/>
    </row>
    <row r="27" spans="1:14" x14ac:dyDescent="0.3">
      <c r="A27" s="130" t="s">
        <v>22</v>
      </c>
      <c r="B27" s="131" t="s">
        <v>75</v>
      </c>
      <c r="C27" s="132">
        <v>0.51</v>
      </c>
      <c r="D27" s="132" t="s">
        <v>161</v>
      </c>
      <c r="E27" s="132">
        <v>1.56</v>
      </c>
      <c r="F27" s="133" t="s">
        <v>274</v>
      </c>
      <c r="G27" s="134">
        <v>0.53</v>
      </c>
      <c r="H27" s="132" t="s">
        <v>275</v>
      </c>
      <c r="I27" s="135">
        <v>0.25</v>
      </c>
      <c r="J27" s="99"/>
      <c r="K27" s="99"/>
      <c r="L27" s="99"/>
      <c r="M27" s="99"/>
      <c r="N27" s="99"/>
    </row>
    <row r="28" spans="1:14" x14ac:dyDescent="0.3">
      <c r="A28" s="130" t="s">
        <v>23</v>
      </c>
      <c r="B28" s="131" t="s">
        <v>76</v>
      </c>
      <c r="C28" s="132">
        <v>0.51</v>
      </c>
      <c r="D28" s="132" t="s">
        <v>161</v>
      </c>
      <c r="E28" s="132">
        <v>1.56</v>
      </c>
      <c r="F28" s="133" t="s">
        <v>274</v>
      </c>
      <c r="G28" s="134">
        <v>0.53</v>
      </c>
      <c r="H28" s="132" t="s">
        <v>275</v>
      </c>
      <c r="I28" s="135">
        <v>0.25</v>
      </c>
      <c r="J28" s="99"/>
      <c r="K28" s="99"/>
      <c r="L28" s="99"/>
      <c r="M28" s="99"/>
      <c r="N28" s="99"/>
    </row>
    <row r="29" spans="1:14" x14ac:dyDescent="0.3">
      <c r="A29" s="130" t="s">
        <v>24</v>
      </c>
      <c r="B29" s="131" t="s">
        <v>24</v>
      </c>
      <c r="C29" s="132">
        <v>0.56000000000000005</v>
      </c>
      <c r="D29" s="132" t="s">
        <v>161</v>
      </c>
      <c r="E29" s="132">
        <v>1.56</v>
      </c>
      <c r="F29" s="133" t="s">
        <v>274</v>
      </c>
      <c r="G29" s="134">
        <v>0.53</v>
      </c>
      <c r="H29" s="132" t="s">
        <v>275</v>
      </c>
      <c r="I29" s="135">
        <v>0.25</v>
      </c>
      <c r="J29" s="99"/>
      <c r="K29" s="99"/>
      <c r="L29" s="99"/>
      <c r="M29" s="99"/>
      <c r="N29" s="99"/>
    </row>
    <row r="30" spans="1:14" x14ac:dyDescent="0.3">
      <c r="A30" s="130" t="s">
        <v>25</v>
      </c>
      <c r="B30" s="131" t="s">
        <v>77</v>
      </c>
      <c r="C30" s="132">
        <v>0.55000000000000004</v>
      </c>
      <c r="D30" s="132" t="s">
        <v>161</v>
      </c>
      <c r="E30" s="132">
        <v>1.56</v>
      </c>
      <c r="F30" s="133" t="s">
        <v>274</v>
      </c>
      <c r="G30" s="134">
        <v>0.53</v>
      </c>
      <c r="H30" s="132" t="s">
        <v>152</v>
      </c>
      <c r="I30" s="135">
        <v>0.25</v>
      </c>
      <c r="J30" s="99"/>
      <c r="K30" s="99"/>
      <c r="L30" s="99"/>
      <c r="M30" s="99"/>
      <c r="N30" s="99"/>
    </row>
    <row r="31" spans="1:14" x14ac:dyDescent="0.3">
      <c r="A31" s="130" t="s">
        <v>26</v>
      </c>
      <c r="B31" s="131" t="s">
        <v>78</v>
      </c>
      <c r="C31" s="132">
        <v>0.56000000000000005</v>
      </c>
      <c r="D31" s="132" t="s">
        <v>161</v>
      </c>
      <c r="E31" s="132">
        <v>1.56</v>
      </c>
      <c r="F31" s="133" t="s">
        <v>274</v>
      </c>
      <c r="G31" s="134">
        <v>0.43</v>
      </c>
      <c r="H31" s="132" t="s">
        <v>278</v>
      </c>
      <c r="I31" s="135">
        <v>0.25</v>
      </c>
      <c r="J31" s="99"/>
      <c r="K31" s="99"/>
      <c r="L31" s="99"/>
      <c r="M31" s="99"/>
      <c r="N31" s="99"/>
    </row>
    <row r="32" spans="1:14" x14ac:dyDescent="0.3">
      <c r="A32" s="130" t="s">
        <v>27</v>
      </c>
      <c r="B32" s="131" t="s">
        <v>79</v>
      </c>
      <c r="C32" s="132">
        <v>0.48</v>
      </c>
      <c r="D32" s="132" t="s">
        <v>161</v>
      </c>
      <c r="E32" s="132">
        <v>1.3</v>
      </c>
      <c r="F32" s="133" t="s">
        <v>274</v>
      </c>
      <c r="G32" s="134">
        <v>0.6</v>
      </c>
      <c r="H32" s="132" t="s">
        <v>281</v>
      </c>
      <c r="I32" s="135">
        <v>0.43</v>
      </c>
      <c r="J32" s="99"/>
      <c r="K32" s="99"/>
      <c r="L32" s="99"/>
      <c r="M32" s="99"/>
      <c r="N32" s="99"/>
    </row>
    <row r="33" spans="1:14" x14ac:dyDescent="0.3">
      <c r="A33" s="130" t="s">
        <v>28</v>
      </c>
      <c r="B33" s="131" t="s">
        <v>80</v>
      </c>
      <c r="C33" s="132">
        <v>0.42</v>
      </c>
      <c r="D33" s="132" t="s">
        <v>161</v>
      </c>
      <c r="E33" s="132">
        <v>1.3</v>
      </c>
      <c r="F33" s="133" t="s">
        <v>274</v>
      </c>
      <c r="G33" s="134">
        <v>0.6</v>
      </c>
      <c r="H33" s="132" t="s">
        <v>281</v>
      </c>
      <c r="I33" s="135">
        <v>0.43</v>
      </c>
      <c r="J33" s="99"/>
      <c r="K33" s="99"/>
      <c r="L33" s="99"/>
      <c r="M33" s="99"/>
      <c r="N33" s="99"/>
    </row>
    <row r="34" spans="1:14" x14ac:dyDescent="0.3">
      <c r="A34" s="130" t="s">
        <v>81</v>
      </c>
      <c r="B34" s="131" t="s">
        <v>163</v>
      </c>
      <c r="C34" s="132">
        <v>0.42</v>
      </c>
      <c r="D34" s="132" t="s">
        <v>103</v>
      </c>
      <c r="E34" s="132">
        <v>1.3</v>
      </c>
      <c r="F34" s="133" t="s">
        <v>274</v>
      </c>
      <c r="G34" s="134">
        <v>0.6</v>
      </c>
      <c r="H34" s="131" t="s">
        <v>280</v>
      </c>
      <c r="I34" s="135">
        <v>0.43</v>
      </c>
      <c r="J34" s="99"/>
      <c r="K34" s="99"/>
      <c r="L34" s="99"/>
      <c r="M34" s="99"/>
      <c r="N34" s="99"/>
    </row>
    <row r="35" spans="1:14" x14ac:dyDescent="0.3">
      <c r="A35" s="130" t="s">
        <v>29</v>
      </c>
      <c r="B35" s="131" t="s">
        <v>82</v>
      </c>
      <c r="C35" s="132">
        <v>0.5</v>
      </c>
      <c r="D35" s="132" t="s">
        <v>161</v>
      </c>
      <c r="E35" s="132">
        <v>1.56</v>
      </c>
      <c r="F35" s="133" t="s">
        <v>274</v>
      </c>
      <c r="G35" s="134">
        <v>0.43</v>
      </c>
      <c r="H35" s="132" t="s">
        <v>278</v>
      </c>
      <c r="I35" s="135">
        <v>0.25</v>
      </c>
      <c r="J35" s="99"/>
      <c r="K35" s="99"/>
      <c r="L35" s="99"/>
      <c r="M35" s="99"/>
      <c r="N35" s="99"/>
    </row>
    <row r="36" spans="1:14" x14ac:dyDescent="0.3">
      <c r="A36" s="130" t="s">
        <v>102</v>
      </c>
      <c r="B36" s="131" t="s">
        <v>101</v>
      </c>
      <c r="C36" s="132">
        <v>0.55000000000000004</v>
      </c>
      <c r="D36" s="132" t="s">
        <v>161</v>
      </c>
      <c r="E36" s="132">
        <v>1.56</v>
      </c>
      <c r="F36" s="133" t="s">
        <v>274</v>
      </c>
      <c r="G36" s="134">
        <v>0.53</v>
      </c>
      <c r="H36" s="132" t="s">
        <v>275</v>
      </c>
      <c r="I36" s="135">
        <v>0.25</v>
      </c>
      <c r="J36" s="99"/>
      <c r="K36" s="99"/>
      <c r="L36" s="99"/>
      <c r="M36" s="99"/>
      <c r="N36" s="99"/>
    </row>
    <row r="37" spans="1:14" x14ac:dyDescent="0.3">
      <c r="A37" s="130" t="s">
        <v>30</v>
      </c>
      <c r="B37" s="131" t="s">
        <v>104</v>
      </c>
      <c r="C37" s="132">
        <v>0.52</v>
      </c>
      <c r="D37" s="132" t="s">
        <v>161</v>
      </c>
      <c r="E37" s="132">
        <v>1.56</v>
      </c>
      <c r="F37" s="133" t="s">
        <v>274</v>
      </c>
      <c r="G37" s="134">
        <v>0.53</v>
      </c>
      <c r="H37" s="132" t="s">
        <v>275</v>
      </c>
      <c r="I37" s="135">
        <v>0.25</v>
      </c>
      <c r="J37" s="99"/>
      <c r="K37" s="99"/>
      <c r="L37" s="99"/>
      <c r="M37" s="99"/>
      <c r="N37" s="99"/>
    </row>
    <row r="38" spans="1:14" x14ac:dyDescent="0.3">
      <c r="A38" s="130" t="s">
        <v>31</v>
      </c>
      <c r="B38" s="131" t="s">
        <v>105</v>
      </c>
      <c r="C38" s="132">
        <v>0.52</v>
      </c>
      <c r="D38" s="132" t="s">
        <v>161</v>
      </c>
      <c r="E38" s="132">
        <v>1.56</v>
      </c>
      <c r="F38" s="133" t="s">
        <v>274</v>
      </c>
      <c r="G38" s="134">
        <v>0.43</v>
      </c>
      <c r="H38" s="132" t="s">
        <v>278</v>
      </c>
      <c r="I38" s="135">
        <v>0.25</v>
      </c>
      <c r="J38" s="99"/>
      <c r="K38" s="99"/>
      <c r="L38" s="99"/>
      <c r="M38" s="99"/>
      <c r="N38" s="99"/>
    </row>
    <row r="39" spans="1:14" x14ac:dyDescent="0.3">
      <c r="A39" s="130" t="s">
        <v>107</v>
      </c>
      <c r="B39" s="131" t="s">
        <v>132</v>
      </c>
      <c r="C39" s="132">
        <v>0.313</v>
      </c>
      <c r="D39" s="132" t="s">
        <v>130</v>
      </c>
      <c r="E39" s="132">
        <v>1.56</v>
      </c>
      <c r="F39" s="133" t="s">
        <v>274</v>
      </c>
      <c r="G39" s="134">
        <v>0.6</v>
      </c>
      <c r="H39" s="132" t="s">
        <v>283</v>
      </c>
      <c r="I39" s="135">
        <v>1.03</v>
      </c>
      <c r="J39" s="99"/>
      <c r="K39" s="99"/>
      <c r="L39" s="99"/>
      <c r="M39" s="99"/>
      <c r="N39" s="99"/>
    </row>
    <row r="40" spans="1:14" x14ac:dyDescent="0.3">
      <c r="A40" s="130" t="s">
        <v>108</v>
      </c>
      <c r="B40" s="131" t="s">
        <v>132</v>
      </c>
      <c r="C40" s="132">
        <v>0.35199999999999998</v>
      </c>
      <c r="D40" s="132" t="s">
        <v>130</v>
      </c>
      <c r="E40" s="132">
        <v>1.56</v>
      </c>
      <c r="F40" s="133" t="s">
        <v>274</v>
      </c>
      <c r="G40" s="134">
        <v>0.6</v>
      </c>
      <c r="H40" s="132" t="s">
        <v>283</v>
      </c>
      <c r="I40" s="135">
        <v>1.03</v>
      </c>
      <c r="J40" s="99"/>
      <c r="K40" s="99"/>
      <c r="L40" s="99"/>
      <c r="M40" s="99"/>
      <c r="N40" s="99"/>
    </row>
    <row r="41" spans="1:14" x14ac:dyDescent="0.3">
      <c r="A41" s="130" t="s">
        <v>121</v>
      </c>
      <c r="B41" s="131" t="s">
        <v>132</v>
      </c>
      <c r="C41" s="132">
        <v>0.32200000000000001</v>
      </c>
      <c r="D41" s="132" t="s">
        <v>130</v>
      </c>
      <c r="E41" s="132">
        <v>1.56</v>
      </c>
      <c r="F41" s="133" t="s">
        <v>274</v>
      </c>
      <c r="G41" s="134">
        <v>0.6</v>
      </c>
      <c r="H41" s="132" t="s">
        <v>283</v>
      </c>
      <c r="I41" s="135">
        <v>1.03</v>
      </c>
      <c r="J41" s="99"/>
      <c r="K41" s="99"/>
      <c r="L41" s="99"/>
      <c r="M41" s="99"/>
      <c r="N41" s="99"/>
    </row>
    <row r="42" spans="1:14" x14ac:dyDescent="0.3">
      <c r="A42" s="130" t="s">
        <v>122</v>
      </c>
      <c r="B42" s="131" t="s">
        <v>132</v>
      </c>
      <c r="C42" s="132">
        <v>0.311</v>
      </c>
      <c r="D42" s="132" t="s">
        <v>130</v>
      </c>
      <c r="E42" s="132">
        <v>1.56</v>
      </c>
      <c r="F42" s="133" t="s">
        <v>274</v>
      </c>
      <c r="G42" s="134">
        <v>0.6</v>
      </c>
      <c r="H42" s="132" t="s">
        <v>283</v>
      </c>
      <c r="I42" s="135">
        <v>1.03</v>
      </c>
      <c r="J42" s="99"/>
      <c r="K42" s="99"/>
      <c r="L42" s="99"/>
      <c r="M42" s="99"/>
      <c r="N42" s="99"/>
    </row>
    <row r="43" spans="1:14" x14ac:dyDescent="0.3">
      <c r="A43" s="130" t="s">
        <v>109</v>
      </c>
      <c r="B43" s="131" t="s">
        <v>132</v>
      </c>
      <c r="C43" s="132">
        <v>0.33900000000000002</v>
      </c>
      <c r="D43" s="132" t="s">
        <v>130</v>
      </c>
      <c r="E43" s="132">
        <v>1.56</v>
      </c>
      <c r="F43" s="133" t="s">
        <v>274</v>
      </c>
      <c r="G43" s="134">
        <v>0.6</v>
      </c>
      <c r="H43" s="132" t="s">
        <v>283</v>
      </c>
      <c r="I43" s="135">
        <v>1.03</v>
      </c>
      <c r="J43" s="99"/>
      <c r="K43" s="99"/>
      <c r="L43" s="99"/>
      <c r="M43" s="99"/>
      <c r="N43" s="99"/>
    </row>
    <row r="44" spans="1:14" x14ac:dyDescent="0.3">
      <c r="A44" s="130" t="s">
        <v>123</v>
      </c>
      <c r="B44" s="131" t="s">
        <v>132</v>
      </c>
      <c r="C44" s="132">
        <v>0.33600000000000002</v>
      </c>
      <c r="D44" s="132" t="s">
        <v>130</v>
      </c>
      <c r="E44" s="132">
        <v>1.56</v>
      </c>
      <c r="F44" s="133" t="s">
        <v>274</v>
      </c>
      <c r="G44" s="134">
        <v>0.6</v>
      </c>
      <c r="H44" s="132" t="s">
        <v>283</v>
      </c>
      <c r="I44" s="135">
        <v>1.03</v>
      </c>
      <c r="J44" s="99"/>
      <c r="K44" s="99"/>
      <c r="L44" s="99"/>
      <c r="M44" s="99"/>
      <c r="N44" s="99"/>
    </row>
    <row r="45" spans="1:14" x14ac:dyDescent="0.3">
      <c r="A45" s="130" t="s">
        <v>110</v>
      </c>
      <c r="B45" s="131" t="s">
        <v>132</v>
      </c>
      <c r="C45" s="132">
        <v>0.32900000000000001</v>
      </c>
      <c r="D45" s="132" t="s">
        <v>130</v>
      </c>
      <c r="E45" s="132">
        <v>1.56</v>
      </c>
      <c r="F45" s="133" t="s">
        <v>274</v>
      </c>
      <c r="G45" s="134">
        <v>0.6</v>
      </c>
      <c r="H45" s="132" t="s">
        <v>283</v>
      </c>
      <c r="I45" s="135">
        <v>1.03</v>
      </c>
      <c r="J45" s="99"/>
      <c r="K45" s="99"/>
      <c r="L45" s="99"/>
      <c r="M45" s="99"/>
      <c r="N45" s="99"/>
    </row>
    <row r="46" spans="1:14" x14ac:dyDescent="0.3">
      <c r="A46" s="130" t="s">
        <v>124</v>
      </c>
      <c r="B46" s="131" t="s">
        <v>132</v>
      </c>
      <c r="C46" s="132">
        <v>0.34300000000000003</v>
      </c>
      <c r="D46" s="132" t="s">
        <v>130</v>
      </c>
      <c r="E46" s="132">
        <v>1.56</v>
      </c>
      <c r="F46" s="133" t="s">
        <v>274</v>
      </c>
      <c r="G46" s="134">
        <v>0.6</v>
      </c>
      <c r="H46" s="132" t="s">
        <v>283</v>
      </c>
      <c r="I46" s="135">
        <v>1.03</v>
      </c>
      <c r="J46" s="99"/>
      <c r="K46" s="99"/>
      <c r="L46" s="99"/>
      <c r="M46" s="99"/>
      <c r="N46" s="99"/>
    </row>
    <row r="47" spans="1:14" x14ac:dyDescent="0.3">
      <c r="A47" s="130" t="s">
        <v>125</v>
      </c>
      <c r="B47" s="131" t="s">
        <v>132</v>
      </c>
      <c r="C47" s="132">
        <v>0.32500000000000001</v>
      </c>
      <c r="D47" s="132" t="s">
        <v>130</v>
      </c>
      <c r="E47" s="132">
        <v>1.56</v>
      </c>
      <c r="F47" s="133" t="s">
        <v>274</v>
      </c>
      <c r="G47" s="134">
        <v>0.6</v>
      </c>
      <c r="H47" s="132" t="s">
        <v>283</v>
      </c>
      <c r="I47" s="135">
        <v>1.03</v>
      </c>
      <c r="J47" s="99"/>
      <c r="K47" s="99"/>
      <c r="L47" s="99"/>
      <c r="M47" s="99"/>
      <c r="N47" s="99"/>
    </row>
    <row r="48" spans="1:14" x14ac:dyDescent="0.3">
      <c r="A48" s="130" t="s">
        <v>126</v>
      </c>
      <c r="B48" s="131" t="s">
        <v>132</v>
      </c>
      <c r="C48" s="132">
        <v>0.32</v>
      </c>
      <c r="D48" s="132" t="s">
        <v>130</v>
      </c>
      <c r="E48" s="132">
        <v>1.56</v>
      </c>
      <c r="F48" s="133" t="s">
        <v>274</v>
      </c>
      <c r="G48" s="134">
        <v>0.6</v>
      </c>
      <c r="H48" s="132" t="s">
        <v>283</v>
      </c>
      <c r="I48" s="135">
        <v>1.03</v>
      </c>
      <c r="J48" s="99"/>
      <c r="K48" s="99"/>
      <c r="L48" s="99"/>
      <c r="M48" s="99"/>
      <c r="N48" s="99"/>
    </row>
    <row r="49" spans="1:14" x14ac:dyDescent="0.3">
      <c r="A49" s="130" t="s">
        <v>111</v>
      </c>
      <c r="B49" s="131" t="s">
        <v>132</v>
      </c>
      <c r="C49" s="132">
        <v>0.28199999999999997</v>
      </c>
      <c r="D49" s="132" t="s">
        <v>130</v>
      </c>
      <c r="E49" s="132">
        <v>1.56</v>
      </c>
      <c r="F49" s="133" t="s">
        <v>274</v>
      </c>
      <c r="G49" s="134">
        <v>0.6</v>
      </c>
      <c r="H49" s="132" t="s">
        <v>283</v>
      </c>
      <c r="I49" s="135">
        <v>1.03</v>
      </c>
      <c r="J49" s="99"/>
      <c r="K49" s="99"/>
      <c r="L49" s="99"/>
      <c r="M49" s="99"/>
      <c r="N49" s="99"/>
    </row>
    <row r="50" spans="1:14" x14ac:dyDescent="0.3">
      <c r="A50" s="130" t="s">
        <v>127</v>
      </c>
      <c r="B50" s="131" t="s">
        <v>132</v>
      </c>
      <c r="C50" s="132">
        <v>0.32800000000000001</v>
      </c>
      <c r="D50" s="132" t="s">
        <v>130</v>
      </c>
      <c r="E50" s="132">
        <v>1.56</v>
      </c>
      <c r="F50" s="133" t="s">
        <v>274</v>
      </c>
      <c r="G50" s="134">
        <v>0.6</v>
      </c>
      <c r="H50" s="132" t="s">
        <v>283</v>
      </c>
      <c r="I50" s="135">
        <v>1.03</v>
      </c>
      <c r="J50" s="99"/>
      <c r="K50" s="99"/>
      <c r="L50" s="99"/>
      <c r="M50" s="99"/>
      <c r="N50" s="99"/>
    </row>
    <row r="51" spans="1:14" x14ac:dyDescent="0.3">
      <c r="A51" s="130" t="s">
        <v>112</v>
      </c>
      <c r="B51" s="131" t="s">
        <v>132</v>
      </c>
      <c r="C51" s="132">
        <v>0.32600000000000001</v>
      </c>
      <c r="D51" s="132" t="s">
        <v>130</v>
      </c>
      <c r="E51" s="132">
        <v>1.56</v>
      </c>
      <c r="F51" s="133" t="s">
        <v>274</v>
      </c>
      <c r="G51" s="134">
        <v>0.6</v>
      </c>
      <c r="H51" s="132" t="s">
        <v>283</v>
      </c>
      <c r="I51" s="135">
        <v>1.03</v>
      </c>
      <c r="J51" s="99"/>
      <c r="K51" s="99"/>
      <c r="L51" s="99"/>
      <c r="M51" s="99"/>
      <c r="N51" s="99"/>
    </row>
    <row r="52" spans="1:14" x14ac:dyDescent="0.3">
      <c r="A52" s="130" t="s">
        <v>113</v>
      </c>
      <c r="B52" s="131" t="s">
        <v>132</v>
      </c>
      <c r="C52" s="132">
        <v>0.35899999999999999</v>
      </c>
      <c r="D52" s="132" t="s">
        <v>130</v>
      </c>
      <c r="E52" s="132">
        <v>1.56</v>
      </c>
      <c r="F52" s="133" t="s">
        <v>274</v>
      </c>
      <c r="G52" s="134">
        <v>0.6</v>
      </c>
      <c r="H52" s="132" t="s">
        <v>283</v>
      </c>
      <c r="I52" s="135">
        <v>1.03</v>
      </c>
      <c r="J52" s="99"/>
      <c r="K52" s="99"/>
      <c r="L52" s="99"/>
      <c r="M52" s="99"/>
      <c r="N52" s="99"/>
    </row>
    <row r="53" spans="1:14" x14ac:dyDescent="0.3">
      <c r="A53" s="130" t="s">
        <v>114</v>
      </c>
      <c r="B53" s="131" t="s">
        <v>132</v>
      </c>
      <c r="C53" s="132">
        <v>0.34599999999999997</v>
      </c>
      <c r="D53" s="132" t="s">
        <v>130</v>
      </c>
      <c r="E53" s="132">
        <v>1.56</v>
      </c>
      <c r="F53" s="133" t="s">
        <v>274</v>
      </c>
      <c r="G53" s="134">
        <v>0.6</v>
      </c>
      <c r="H53" s="132" t="s">
        <v>283</v>
      </c>
      <c r="I53" s="135">
        <v>1.03</v>
      </c>
      <c r="J53" s="99"/>
      <c r="K53" s="99"/>
      <c r="L53" s="99"/>
      <c r="M53" s="99"/>
      <c r="N53" s="99"/>
    </row>
    <row r="54" spans="1:14" x14ac:dyDescent="0.3">
      <c r="A54" s="130" t="s">
        <v>115</v>
      </c>
      <c r="B54" s="131" t="s">
        <v>132</v>
      </c>
      <c r="C54" s="132">
        <v>0.32600000000000001</v>
      </c>
      <c r="D54" s="132" t="s">
        <v>130</v>
      </c>
      <c r="E54" s="132">
        <v>1.56</v>
      </c>
      <c r="F54" s="133" t="s">
        <v>274</v>
      </c>
      <c r="G54" s="134">
        <v>0.6</v>
      </c>
      <c r="H54" s="132" t="s">
        <v>283</v>
      </c>
      <c r="I54" s="135">
        <v>1.03</v>
      </c>
      <c r="J54" s="99"/>
      <c r="K54" s="99"/>
      <c r="L54" s="99"/>
      <c r="M54" s="99"/>
      <c r="N54" s="99"/>
    </row>
    <row r="55" spans="1:14" x14ac:dyDescent="0.3">
      <c r="A55" s="130" t="s">
        <v>116</v>
      </c>
      <c r="B55" s="131" t="s">
        <v>132</v>
      </c>
      <c r="C55" s="132">
        <v>0.30499999999999999</v>
      </c>
      <c r="D55" s="132" t="s">
        <v>130</v>
      </c>
      <c r="E55" s="132">
        <v>1.56</v>
      </c>
      <c r="F55" s="133" t="s">
        <v>274</v>
      </c>
      <c r="G55" s="134">
        <v>0.6</v>
      </c>
      <c r="H55" s="132" t="s">
        <v>283</v>
      </c>
      <c r="I55" s="135">
        <v>1.03</v>
      </c>
      <c r="J55" s="99"/>
      <c r="K55" s="99"/>
      <c r="L55" s="99"/>
      <c r="M55" s="99"/>
      <c r="N55" s="99"/>
    </row>
    <row r="56" spans="1:14" x14ac:dyDescent="0.3">
      <c r="A56" s="130" t="s">
        <v>128</v>
      </c>
      <c r="B56" s="131" t="s">
        <v>132</v>
      </c>
      <c r="C56" s="132">
        <v>0.32300000000000001</v>
      </c>
      <c r="D56" s="132" t="s">
        <v>130</v>
      </c>
      <c r="E56" s="132">
        <v>1.56</v>
      </c>
      <c r="F56" s="133" t="s">
        <v>274</v>
      </c>
      <c r="G56" s="134">
        <v>0.6</v>
      </c>
      <c r="H56" s="132" t="s">
        <v>283</v>
      </c>
      <c r="I56" s="135">
        <v>1.03</v>
      </c>
      <c r="J56" s="99"/>
      <c r="K56" s="99"/>
      <c r="L56" s="99"/>
      <c r="M56" s="99"/>
      <c r="N56" s="99"/>
    </row>
    <row r="57" spans="1:14" x14ac:dyDescent="0.3">
      <c r="A57" s="130" t="s">
        <v>129</v>
      </c>
      <c r="B57" s="131" t="s">
        <v>132</v>
      </c>
      <c r="C57" s="132">
        <v>0.36699999999999999</v>
      </c>
      <c r="D57" s="132" t="s">
        <v>130</v>
      </c>
      <c r="E57" s="132">
        <v>1.56</v>
      </c>
      <c r="F57" s="133" t="s">
        <v>274</v>
      </c>
      <c r="G57" s="134">
        <v>0.6</v>
      </c>
      <c r="H57" s="132" t="s">
        <v>283</v>
      </c>
      <c r="I57" s="135">
        <v>1.03</v>
      </c>
      <c r="J57" s="99"/>
      <c r="K57" s="99"/>
      <c r="L57" s="99"/>
      <c r="M57" s="99"/>
      <c r="N57" s="99"/>
    </row>
    <row r="58" spans="1:14" x14ac:dyDescent="0.3">
      <c r="A58" s="130" t="s">
        <v>117</v>
      </c>
      <c r="B58" s="131" t="s">
        <v>132</v>
      </c>
      <c r="C58" s="132">
        <v>0.36</v>
      </c>
      <c r="D58" s="132" t="s">
        <v>130</v>
      </c>
      <c r="E58" s="132">
        <v>1.56</v>
      </c>
      <c r="F58" s="133" t="s">
        <v>274</v>
      </c>
      <c r="G58" s="134">
        <v>0.6</v>
      </c>
      <c r="H58" s="132" t="s">
        <v>283</v>
      </c>
      <c r="I58" s="135">
        <v>1.03</v>
      </c>
      <c r="J58" s="99"/>
      <c r="K58" s="99"/>
      <c r="L58" s="99"/>
      <c r="M58" s="99"/>
      <c r="N58" s="99"/>
    </row>
    <row r="59" spans="1:14" x14ac:dyDescent="0.3">
      <c r="A59" s="130" t="s">
        <v>118</v>
      </c>
      <c r="B59" s="131" t="s">
        <v>132</v>
      </c>
      <c r="C59" s="132">
        <v>0.36799999999999999</v>
      </c>
      <c r="D59" s="132" t="s">
        <v>130</v>
      </c>
      <c r="E59" s="132">
        <v>1.56</v>
      </c>
      <c r="F59" s="133" t="s">
        <v>274</v>
      </c>
      <c r="G59" s="134">
        <v>0.6</v>
      </c>
      <c r="H59" s="132" t="s">
        <v>283</v>
      </c>
      <c r="I59" s="135">
        <v>1.03</v>
      </c>
      <c r="J59" s="99"/>
      <c r="K59" s="99"/>
      <c r="L59" s="99"/>
      <c r="M59" s="99"/>
      <c r="N59" s="99"/>
    </row>
    <row r="60" spans="1:14" x14ac:dyDescent="0.3">
      <c r="A60" s="130" t="s">
        <v>119</v>
      </c>
      <c r="B60" s="131" t="s">
        <v>132</v>
      </c>
      <c r="C60" s="132">
        <v>0.30599999999999999</v>
      </c>
      <c r="D60" s="132" t="s">
        <v>130</v>
      </c>
      <c r="E60" s="132">
        <v>1.56</v>
      </c>
      <c r="F60" s="133" t="s">
        <v>274</v>
      </c>
      <c r="G60" s="134">
        <v>0.6</v>
      </c>
      <c r="H60" s="132" t="s">
        <v>283</v>
      </c>
      <c r="I60" s="135">
        <v>1.03</v>
      </c>
      <c r="J60" s="99"/>
      <c r="K60" s="99"/>
      <c r="L60" s="99"/>
      <c r="M60" s="99"/>
      <c r="N60" s="99"/>
    </row>
    <row r="61" spans="1:14" x14ac:dyDescent="0.3">
      <c r="A61" s="130" t="s">
        <v>120</v>
      </c>
      <c r="B61" s="131" t="s">
        <v>132</v>
      </c>
      <c r="C61" s="132">
        <v>0.313</v>
      </c>
      <c r="D61" s="132" t="s">
        <v>130</v>
      </c>
      <c r="E61" s="132">
        <v>1.56</v>
      </c>
      <c r="F61" s="133" t="s">
        <v>274</v>
      </c>
      <c r="G61" s="134">
        <v>0.6</v>
      </c>
      <c r="H61" s="132" t="s">
        <v>283</v>
      </c>
      <c r="I61" s="135">
        <v>1.03</v>
      </c>
      <c r="J61" s="99"/>
      <c r="K61" s="99"/>
      <c r="L61" s="99"/>
      <c r="M61" s="99"/>
      <c r="N61" s="99"/>
    </row>
    <row r="62" spans="1:14" x14ac:dyDescent="0.3">
      <c r="A62" s="130" t="s">
        <v>32</v>
      </c>
      <c r="B62" s="131" t="s">
        <v>133</v>
      </c>
      <c r="C62" s="132">
        <v>0.37</v>
      </c>
      <c r="D62" s="132" t="s">
        <v>161</v>
      </c>
      <c r="E62" s="132">
        <v>1.56</v>
      </c>
      <c r="F62" s="133" t="s">
        <v>274</v>
      </c>
      <c r="G62" s="134">
        <v>0.6</v>
      </c>
      <c r="H62" s="132" t="s">
        <v>283</v>
      </c>
      <c r="I62" s="135">
        <v>1.03</v>
      </c>
      <c r="J62" s="99"/>
      <c r="K62" s="99"/>
      <c r="L62" s="99"/>
      <c r="M62" s="99"/>
      <c r="N62" s="99"/>
    </row>
    <row r="63" spans="1:14" x14ac:dyDescent="0.3">
      <c r="A63" s="130" t="s">
        <v>90</v>
      </c>
      <c r="B63" s="131" t="s">
        <v>83</v>
      </c>
      <c r="C63" s="132">
        <v>0.45</v>
      </c>
      <c r="D63" s="132" t="s">
        <v>161</v>
      </c>
      <c r="E63" s="132">
        <v>1.3</v>
      </c>
      <c r="F63" s="133" t="s">
        <v>274</v>
      </c>
      <c r="G63" s="134">
        <v>0.45</v>
      </c>
      <c r="H63" s="132" t="s">
        <v>276</v>
      </c>
      <c r="I63" s="135">
        <v>0.43</v>
      </c>
      <c r="J63" s="99"/>
      <c r="K63" s="99"/>
      <c r="L63" s="99"/>
      <c r="M63" s="99"/>
      <c r="N63" s="99"/>
    </row>
    <row r="64" spans="1:14" x14ac:dyDescent="0.3">
      <c r="A64" s="130" t="s">
        <v>33</v>
      </c>
      <c r="B64" s="131" t="s">
        <v>134</v>
      </c>
      <c r="C64" s="132">
        <v>0.39</v>
      </c>
      <c r="D64" s="132" t="s">
        <v>161</v>
      </c>
      <c r="E64" s="132">
        <v>1.3</v>
      </c>
      <c r="F64" s="133" t="s">
        <v>274</v>
      </c>
      <c r="G64" s="134">
        <v>0.45</v>
      </c>
      <c r="H64" s="132" t="s">
        <v>276</v>
      </c>
      <c r="I64" s="135">
        <v>0.43</v>
      </c>
      <c r="J64" s="99"/>
      <c r="K64" s="99"/>
      <c r="L64" s="99"/>
      <c r="M64" s="99"/>
      <c r="N64" s="99"/>
    </row>
    <row r="65" spans="1:14" x14ac:dyDescent="0.3">
      <c r="A65" s="130" t="s">
        <v>34</v>
      </c>
      <c r="B65" s="131" t="s">
        <v>135</v>
      </c>
      <c r="C65" s="132">
        <v>0.44</v>
      </c>
      <c r="D65" s="132" t="s">
        <v>161</v>
      </c>
      <c r="E65" s="132">
        <v>1.3</v>
      </c>
      <c r="F65" s="133" t="s">
        <v>274</v>
      </c>
      <c r="G65" s="134">
        <v>0.45</v>
      </c>
      <c r="H65" s="132" t="s">
        <v>276</v>
      </c>
      <c r="I65" s="135">
        <v>0.43</v>
      </c>
      <c r="J65" s="99"/>
      <c r="K65" s="99"/>
      <c r="L65" s="99"/>
      <c r="M65" s="99"/>
      <c r="N65" s="99"/>
    </row>
    <row r="66" spans="1:14" x14ac:dyDescent="0.3">
      <c r="A66" s="130" t="s">
        <v>35</v>
      </c>
      <c r="B66" s="131" t="s">
        <v>84</v>
      </c>
      <c r="C66" s="132">
        <v>0.46</v>
      </c>
      <c r="D66" s="132" t="s">
        <v>161</v>
      </c>
      <c r="E66" s="132">
        <v>1.3</v>
      </c>
      <c r="F66" s="133" t="s">
        <v>274</v>
      </c>
      <c r="G66" s="134">
        <v>0.45</v>
      </c>
      <c r="H66" s="132" t="s">
        <v>276</v>
      </c>
      <c r="I66" s="135">
        <v>0.43</v>
      </c>
      <c r="J66" s="99"/>
      <c r="K66" s="99"/>
      <c r="L66" s="99"/>
      <c r="M66" s="99"/>
      <c r="N66" s="99"/>
    </row>
    <row r="67" spans="1:14" x14ac:dyDescent="0.3">
      <c r="A67" s="130" t="s">
        <v>36</v>
      </c>
      <c r="B67" s="131" t="s">
        <v>85</v>
      </c>
      <c r="C67" s="132">
        <v>0.46</v>
      </c>
      <c r="D67" s="132" t="s">
        <v>161</v>
      </c>
      <c r="E67" s="132">
        <v>1.3</v>
      </c>
      <c r="F67" s="133" t="s">
        <v>274</v>
      </c>
      <c r="G67" s="134">
        <v>0.45</v>
      </c>
      <c r="H67" s="132" t="s">
        <v>152</v>
      </c>
      <c r="I67" s="135">
        <v>0.59</v>
      </c>
      <c r="J67" s="99"/>
      <c r="K67" s="99"/>
      <c r="L67" s="99"/>
      <c r="M67" s="99"/>
      <c r="N67" s="99"/>
    </row>
    <row r="68" spans="1:14" x14ac:dyDescent="0.3">
      <c r="A68" s="130" t="s">
        <v>37</v>
      </c>
      <c r="B68" s="131" t="s">
        <v>136</v>
      </c>
      <c r="C68" s="132">
        <v>0.44</v>
      </c>
      <c r="D68" s="132" t="s">
        <v>161</v>
      </c>
      <c r="E68" s="132">
        <v>1.3</v>
      </c>
      <c r="F68" s="133" t="s">
        <v>274</v>
      </c>
      <c r="G68" s="134">
        <v>0.45</v>
      </c>
      <c r="H68" s="132" t="s">
        <v>276</v>
      </c>
      <c r="I68" s="135">
        <v>0.43</v>
      </c>
      <c r="J68" s="99"/>
      <c r="K68" s="99"/>
      <c r="L68" s="99"/>
      <c r="M68" s="99"/>
      <c r="N68" s="99"/>
    </row>
    <row r="69" spans="1:14" x14ac:dyDescent="0.3">
      <c r="A69" s="130" t="s">
        <v>38</v>
      </c>
      <c r="B69" s="131" t="s">
        <v>86</v>
      </c>
      <c r="C69" s="132">
        <v>0.46</v>
      </c>
      <c r="D69" s="132" t="s">
        <v>161</v>
      </c>
      <c r="E69" s="132">
        <v>1.3</v>
      </c>
      <c r="F69" s="133" t="s">
        <v>274</v>
      </c>
      <c r="G69" s="134">
        <v>0.45</v>
      </c>
      <c r="H69" s="132" t="s">
        <v>276</v>
      </c>
      <c r="I69" s="135">
        <v>0.43</v>
      </c>
      <c r="J69" s="99"/>
      <c r="K69" s="99"/>
      <c r="L69" s="99"/>
      <c r="M69" s="99"/>
      <c r="N69" s="99"/>
    </row>
    <row r="70" spans="1:14" x14ac:dyDescent="0.3">
      <c r="A70" s="130" t="s">
        <v>39</v>
      </c>
      <c r="B70" s="131" t="s">
        <v>137</v>
      </c>
      <c r="C70" s="132">
        <v>0.48</v>
      </c>
      <c r="D70" s="132" t="s">
        <v>161</v>
      </c>
      <c r="E70" s="132">
        <v>2.4</v>
      </c>
      <c r="F70" s="132" t="s">
        <v>284</v>
      </c>
      <c r="G70" s="134">
        <v>0.45</v>
      </c>
      <c r="H70" s="132" t="s">
        <v>276</v>
      </c>
      <c r="I70" s="135">
        <v>0.43</v>
      </c>
      <c r="J70" s="99"/>
      <c r="K70" s="99"/>
      <c r="L70" s="99"/>
      <c r="M70" s="99"/>
      <c r="N70" s="99"/>
    </row>
    <row r="71" spans="1:14" x14ac:dyDescent="0.3">
      <c r="A71" s="130" t="s">
        <v>40</v>
      </c>
      <c r="B71" s="131" t="s">
        <v>87</v>
      </c>
      <c r="C71" s="132">
        <v>0.46</v>
      </c>
      <c r="D71" s="132" t="s">
        <v>150</v>
      </c>
      <c r="E71" s="132">
        <v>1.3</v>
      </c>
      <c r="F71" s="133" t="s">
        <v>274</v>
      </c>
      <c r="G71" s="134">
        <v>0.45</v>
      </c>
      <c r="H71" s="132" t="s">
        <v>276</v>
      </c>
      <c r="I71" s="135">
        <v>0.43</v>
      </c>
      <c r="J71" s="99"/>
      <c r="K71" s="99"/>
      <c r="L71" s="99"/>
      <c r="M71" s="99"/>
      <c r="N71" s="99"/>
    </row>
    <row r="72" spans="1:14" x14ac:dyDescent="0.3">
      <c r="A72" s="130" t="s">
        <v>41</v>
      </c>
      <c r="B72" s="131" t="s">
        <v>88</v>
      </c>
      <c r="C72" s="132">
        <v>0.44</v>
      </c>
      <c r="D72" s="132" t="s">
        <v>161</v>
      </c>
      <c r="E72" s="132">
        <v>1.3</v>
      </c>
      <c r="F72" s="133" t="s">
        <v>274</v>
      </c>
      <c r="G72" s="134">
        <v>0.45</v>
      </c>
      <c r="H72" s="132" t="s">
        <v>276</v>
      </c>
      <c r="I72" s="135">
        <v>0.43</v>
      </c>
      <c r="J72" s="99"/>
      <c r="K72" s="99"/>
      <c r="L72" s="99"/>
      <c r="M72" s="99"/>
      <c r="N72" s="99"/>
    </row>
    <row r="73" spans="1:14" x14ac:dyDescent="0.3">
      <c r="A73" s="130" t="s">
        <v>138</v>
      </c>
      <c r="B73" s="131" t="s">
        <v>140</v>
      </c>
      <c r="C73" s="132">
        <v>0.46</v>
      </c>
      <c r="D73" s="132" t="s">
        <v>151</v>
      </c>
      <c r="E73" s="132">
        <v>1.3</v>
      </c>
      <c r="F73" s="133" t="s">
        <v>274</v>
      </c>
      <c r="G73" s="134">
        <v>0.45</v>
      </c>
      <c r="H73" s="132" t="s">
        <v>276</v>
      </c>
      <c r="I73" s="135">
        <v>0.43</v>
      </c>
      <c r="J73" s="99"/>
      <c r="K73" s="99"/>
      <c r="L73" s="99"/>
      <c r="M73" s="99"/>
      <c r="N73" s="99"/>
    </row>
    <row r="74" spans="1:14" x14ac:dyDescent="0.3">
      <c r="A74" s="130" t="s">
        <v>42</v>
      </c>
      <c r="B74" s="131" t="s">
        <v>139</v>
      </c>
      <c r="C74" s="132">
        <v>0.34</v>
      </c>
      <c r="D74" s="132" t="s">
        <v>161</v>
      </c>
      <c r="E74" s="132">
        <v>1.3</v>
      </c>
      <c r="F74" s="133" t="s">
        <v>274</v>
      </c>
      <c r="G74" s="134">
        <v>0.45</v>
      </c>
      <c r="H74" s="132" t="s">
        <v>276</v>
      </c>
      <c r="I74" s="135">
        <v>0.43</v>
      </c>
      <c r="J74" s="99"/>
      <c r="K74" s="99"/>
      <c r="L74" s="99"/>
      <c r="M74" s="99"/>
      <c r="N74" s="99"/>
    </row>
    <row r="75" spans="1:14" x14ac:dyDescent="0.3">
      <c r="A75" s="130" t="s">
        <v>43</v>
      </c>
      <c r="B75" s="131" t="s">
        <v>162</v>
      </c>
      <c r="C75" s="132">
        <v>0.5</v>
      </c>
      <c r="D75" s="132" t="s">
        <v>161</v>
      </c>
      <c r="E75" s="132">
        <v>1.56</v>
      </c>
      <c r="F75" s="133" t="s">
        <v>274</v>
      </c>
      <c r="G75" s="134">
        <v>0.53</v>
      </c>
      <c r="H75" s="132" t="s">
        <v>275</v>
      </c>
      <c r="I75" s="135">
        <v>0.25</v>
      </c>
      <c r="J75" s="99"/>
      <c r="K75" s="99"/>
      <c r="L75" s="99"/>
      <c r="M75" s="99"/>
      <c r="N75" s="99"/>
    </row>
    <row r="76" spans="1:14" x14ac:dyDescent="0.3">
      <c r="A76" s="130" t="s">
        <v>44</v>
      </c>
      <c r="B76" s="131" t="s">
        <v>89</v>
      </c>
      <c r="C76" s="132">
        <v>0.57999999999999996</v>
      </c>
      <c r="D76" s="132" t="s">
        <v>161</v>
      </c>
      <c r="E76" s="132">
        <v>1.56</v>
      </c>
      <c r="F76" s="133" t="s">
        <v>274</v>
      </c>
      <c r="G76" s="134">
        <v>0.3</v>
      </c>
      <c r="H76" s="132" t="s">
        <v>277</v>
      </c>
      <c r="I76" s="135">
        <v>0.25</v>
      </c>
      <c r="J76" s="99"/>
      <c r="K76" s="99"/>
      <c r="L76" s="99"/>
      <c r="M76" s="99"/>
      <c r="N76" s="99"/>
    </row>
    <row r="77" spans="1:14" x14ac:dyDescent="0.3">
      <c r="A77" s="130" t="s">
        <v>47</v>
      </c>
      <c r="B77" s="131" t="s">
        <v>141</v>
      </c>
      <c r="C77" s="132">
        <v>0.37</v>
      </c>
      <c r="D77" s="132" t="s">
        <v>161</v>
      </c>
      <c r="E77" s="132">
        <v>1.3</v>
      </c>
      <c r="F77" s="133" t="s">
        <v>274</v>
      </c>
      <c r="G77" s="134">
        <v>0.55000000000000004</v>
      </c>
      <c r="H77" s="132" t="s">
        <v>152</v>
      </c>
      <c r="I77" s="135">
        <v>0.43</v>
      </c>
      <c r="J77" s="99"/>
      <c r="K77" s="99"/>
      <c r="L77" s="99"/>
      <c r="M77" s="99"/>
      <c r="N77" s="99"/>
    </row>
    <row r="78" spans="1:14" x14ac:dyDescent="0.3">
      <c r="A78" s="130" t="s">
        <v>45</v>
      </c>
      <c r="B78" s="131" t="s">
        <v>96</v>
      </c>
      <c r="C78" s="132">
        <v>0.37</v>
      </c>
      <c r="D78" s="132" t="s">
        <v>161</v>
      </c>
      <c r="E78" s="132">
        <v>1.3</v>
      </c>
      <c r="F78" s="133" t="s">
        <v>274</v>
      </c>
      <c r="G78" s="134">
        <v>0.55000000000000004</v>
      </c>
      <c r="H78" s="132" t="s">
        <v>152</v>
      </c>
      <c r="I78" s="135">
        <v>0.43</v>
      </c>
      <c r="J78" s="99"/>
      <c r="K78" s="99"/>
      <c r="L78" s="99"/>
      <c r="M78" s="99"/>
      <c r="N78" s="99"/>
    </row>
    <row r="79" spans="1:14" x14ac:dyDescent="0.3">
      <c r="A79" s="130" t="s">
        <v>46</v>
      </c>
      <c r="B79" s="131" t="s">
        <v>95</v>
      </c>
      <c r="C79" s="132">
        <v>0.38</v>
      </c>
      <c r="D79" s="132" t="s">
        <v>161</v>
      </c>
      <c r="E79" s="132">
        <v>1.3</v>
      </c>
      <c r="F79" s="133" t="s">
        <v>274</v>
      </c>
      <c r="G79" s="134">
        <v>0.55000000000000004</v>
      </c>
      <c r="H79" s="132" t="s">
        <v>153</v>
      </c>
      <c r="I79" s="135">
        <v>0.43</v>
      </c>
      <c r="J79" s="99"/>
      <c r="K79" s="99"/>
      <c r="L79" s="99"/>
      <c r="M79" s="99"/>
      <c r="N79" s="99"/>
    </row>
    <row r="80" spans="1:14" x14ac:dyDescent="0.3">
      <c r="A80" s="130" t="s">
        <v>48</v>
      </c>
      <c r="B80" s="131" t="s">
        <v>94</v>
      </c>
      <c r="C80" s="132">
        <v>0.36</v>
      </c>
      <c r="D80" s="132" t="s">
        <v>161</v>
      </c>
      <c r="E80" s="132">
        <v>1.3</v>
      </c>
      <c r="F80" s="133" t="s">
        <v>274</v>
      </c>
      <c r="G80" s="134">
        <v>0.55000000000000004</v>
      </c>
      <c r="H80" s="132" t="s">
        <v>153</v>
      </c>
      <c r="I80" s="135">
        <v>0.43</v>
      </c>
      <c r="J80" s="99"/>
      <c r="K80" s="99"/>
      <c r="L80" s="99"/>
      <c r="M80" s="99"/>
      <c r="N80" s="99"/>
    </row>
    <row r="81" spans="1:14" x14ac:dyDescent="0.3">
      <c r="A81" s="130" t="s">
        <v>49</v>
      </c>
      <c r="B81" s="131" t="s">
        <v>142</v>
      </c>
      <c r="C81" s="132">
        <v>0.37</v>
      </c>
      <c r="D81" s="132" t="s">
        <v>161</v>
      </c>
      <c r="E81" s="132">
        <v>1.56</v>
      </c>
      <c r="F81" s="133" t="s">
        <v>274</v>
      </c>
      <c r="G81" s="134">
        <v>0.43</v>
      </c>
      <c r="H81" s="132" t="s">
        <v>278</v>
      </c>
      <c r="I81" s="135">
        <v>0.25</v>
      </c>
      <c r="J81" s="99"/>
      <c r="K81" s="99"/>
      <c r="L81" s="99"/>
      <c r="M81" s="99"/>
      <c r="N81" s="99"/>
    </row>
    <row r="82" spans="1:14" x14ac:dyDescent="0.3">
      <c r="A82" s="130" t="s">
        <v>158</v>
      </c>
      <c r="B82" s="131" t="s">
        <v>159</v>
      </c>
      <c r="C82" s="132">
        <v>0.35</v>
      </c>
      <c r="D82" s="132" t="s">
        <v>160</v>
      </c>
      <c r="E82" s="132">
        <v>1.3</v>
      </c>
      <c r="F82" s="133" t="s">
        <v>274</v>
      </c>
      <c r="G82" s="134">
        <v>0.55000000000000004</v>
      </c>
      <c r="H82" s="132" t="s">
        <v>153</v>
      </c>
      <c r="I82" s="135">
        <v>0.43</v>
      </c>
      <c r="J82" s="99"/>
      <c r="K82" s="99"/>
      <c r="L82" s="99"/>
      <c r="M82" s="99"/>
      <c r="N82" s="99"/>
    </row>
    <row r="83" spans="1:14" x14ac:dyDescent="0.3">
      <c r="A83" s="130" t="s">
        <v>156</v>
      </c>
      <c r="B83" s="131" t="s">
        <v>157</v>
      </c>
      <c r="C83" s="132">
        <v>0.34</v>
      </c>
      <c r="D83" s="132" t="s">
        <v>161</v>
      </c>
      <c r="E83" s="132">
        <v>1.3</v>
      </c>
      <c r="F83" s="133" t="s">
        <v>274</v>
      </c>
      <c r="G83" s="134">
        <v>0.55000000000000004</v>
      </c>
      <c r="H83" s="132" t="s">
        <v>153</v>
      </c>
      <c r="I83" s="135">
        <v>0.43</v>
      </c>
      <c r="J83" s="99"/>
      <c r="K83" s="99"/>
      <c r="L83" s="99"/>
      <c r="M83" s="99"/>
      <c r="N83" s="99"/>
    </row>
    <row r="84" spans="1:14" x14ac:dyDescent="0.3">
      <c r="A84" s="130" t="s">
        <v>92</v>
      </c>
      <c r="B84" s="131" t="s">
        <v>93</v>
      </c>
      <c r="C84" s="132">
        <v>0.31</v>
      </c>
      <c r="D84" s="132" t="s">
        <v>161</v>
      </c>
      <c r="E84" s="132">
        <v>1.3</v>
      </c>
      <c r="F84" s="133" t="s">
        <v>274</v>
      </c>
      <c r="G84" s="134">
        <v>0.55000000000000004</v>
      </c>
      <c r="H84" s="132" t="s">
        <v>153</v>
      </c>
      <c r="I84" s="135">
        <v>0.43</v>
      </c>
      <c r="J84" s="99"/>
      <c r="K84" s="99"/>
      <c r="L84" s="99"/>
      <c r="M84" s="99"/>
      <c r="N84" s="99"/>
    </row>
    <row r="85" spans="1:14" x14ac:dyDescent="0.3">
      <c r="A85" s="130" t="s">
        <v>50</v>
      </c>
      <c r="B85" s="131" t="s">
        <v>143</v>
      </c>
      <c r="C85" s="132">
        <v>0.43</v>
      </c>
      <c r="D85" s="132" t="s">
        <v>161</v>
      </c>
      <c r="E85" s="132">
        <v>1.56</v>
      </c>
      <c r="F85" s="133" t="s">
        <v>274</v>
      </c>
      <c r="G85" s="134">
        <v>0.53</v>
      </c>
      <c r="H85" s="132" t="s">
        <v>275</v>
      </c>
      <c r="I85" s="135">
        <v>0.25</v>
      </c>
      <c r="J85" s="99"/>
      <c r="K85" s="99"/>
      <c r="L85" s="99"/>
      <c r="M85" s="99"/>
      <c r="N85" s="99"/>
    </row>
    <row r="86" spans="1:14" x14ac:dyDescent="0.3">
      <c r="A86" s="130" t="s">
        <v>51</v>
      </c>
      <c r="B86" s="131" t="s">
        <v>91</v>
      </c>
      <c r="C86" s="132">
        <v>0.38</v>
      </c>
      <c r="D86" s="132" t="s">
        <v>161</v>
      </c>
      <c r="E86" s="132">
        <v>1.56</v>
      </c>
      <c r="F86" s="133" t="s">
        <v>274</v>
      </c>
      <c r="G86" s="134">
        <v>0.6</v>
      </c>
      <c r="H86" s="132" t="s">
        <v>279</v>
      </c>
      <c r="I86" s="135">
        <v>0.25</v>
      </c>
      <c r="J86" s="99"/>
      <c r="K86" s="99"/>
      <c r="L86" s="99"/>
      <c r="M86" s="99"/>
      <c r="N86" s="99"/>
    </row>
    <row r="87" spans="1:14" x14ac:dyDescent="0.3">
      <c r="A87" s="285" t="s">
        <v>321</v>
      </c>
      <c r="B87" s="286" t="s">
        <v>322</v>
      </c>
      <c r="C87" s="287">
        <v>0.41</v>
      </c>
      <c r="D87" s="287" t="s">
        <v>323</v>
      </c>
      <c r="E87" s="287">
        <v>1.56</v>
      </c>
      <c r="F87" s="288" t="s">
        <v>274</v>
      </c>
      <c r="G87" s="289">
        <v>0.43</v>
      </c>
      <c r="H87" s="287" t="s">
        <v>278</v>
      </c>
      <c r="I87" s="290">
        <v>0.25</v>
      </c>
      <c r="J87" s="99"/>
      <c r="K87" s="99"/>
      <c r="L87" s="99"/>
      <c r="M87" s="99"/>
      <c r="N87" s="99"/>
    </row>
    <row r="88" spans="1:14" x14ac:dyDescent="0.3">
      <c r="A88" s="130" t="s">
        <v>148</v>
      </c>
      <c r="B88" s="138"/>
      <c r="C88" s="132">
        <v>0.42</v>
      </c>
      <c r="D88" s="132" t="s">
        <v>161</v>
      </c>
      <c r="E88" s="132">
        <v>1.3</v>
      </c>
      <c r="F88" s="133" t="s">
        <v>274</v>
      </c>
      <c r="G88" s="139"/>
      <c r="H88" s="138"/>
      <c r="I88" s="140"/>
    </row>
    <row r="89" spans="1:14" ht="15" thickBot="1" x14ac:dyDescent="0.35">
      <c r="A89" s="141" t="s">
        <v>149</v>
      </c>
      <c r="B89" s="142"/>
      <c r="C89" s="143">
        <v>0.56999999999999995</v>
      </c>
      <c r="D89" s="144" t="s">
        <v>161</v>
      </c>
      <c r="E89" s="143">
        <v>1.56</v>
      </c>
      <c r="F89" s="143" t="s">
        <v>274</v>
      </c>
      <c r="G89" s="142"/>
      <c r="H89" s="142"/>
      <c r="I89" s="145"/>
    </row>
    <row r="93" spans="1:14" x14ac:dyDescent="0.3">
      <c r="A93" s="130" t="s">
        <v>208</v>
      </c>
    </row>
    <row r="94" spans="1:14" x14ac:dyDescent="0.3">
      <c r="A94" s="130" t="s">
        <v>209</v>
      </c>
    </row>
    <row r="95" spans="1:14" x14ac:dyDescent="0.3">
      <c r="A95" s="13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zoomScale="90" zoomScaleNormal="90" workbookViewId="0">
      <selection activeCell="D17" sqref="D17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0"/>
      <c r="J1" s="70"/>
      <c r="K1" s="70"/>
      <c r="L1" s="70"/>
      <c r="M1" s="70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7" t="s">
        <v>271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0"/>
      <c r="J3" s="230"/>
      <c r="K3" s="230"/>
      <c r="L3" s="230"/>
      <c r="M3" s="230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0"/>
      <c r="J4" s="230"/>
      <c r="K4" s="230"/>
      <c r="L4" s="230"/>
      <c r="M4" s="230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6" t="s">
        <v>207</v>
      </c>
      <c r="B5" s="147" t="s">
        <v>250</v>
      </c>
      <c r="C5" s="148" t="str">
        <f>Calculateur!S2</f>
        <v>ΔStock moyen de long terme (tCO₂/ha)</v>
      </c>
      <c r="D5" s="148" t="str">
        <f>Calculateur!T2</f>
        <v>Δstock CO₂ 30 ans (tCO₂/ha)</v>
      </c>
      <c r="E5" s="148" t="s">
        <v>228</v>
      </c>
      <c r="F5" s="148" t="s">
        <v>239</v>
      </c>
      <c r="G5" s="148" t="s">
        <v>240</v>
      </c>
      <c r="H5" s="149" t="s">
        <v>241</v>
      </c>
      <c r="I5" s="150" t="s">
        <v>242</v>
      </c>
      <c r="J5" s="151" t="s">
        <v>243</v>
      </c>
      <c r="K5" s="152" t="s">
        <v>244</v>
      </c>
      <c r="L5" s="89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3" t="str">
        <f>IF('Données projet'!$B$9="","",'Données projet'!$B$9)</f>
        <v>Robinier faux-acacia</v>
      </c>
      <c r="B6" s="154">
        <f>'Données projet'!D9</f>
        <v>0.59986000000000006</v>
      </c>
      <c r="C6" s="155">
        <f ca="1">IF(OR('Données projet'!B9="",'Données projet'!C9="",'Données projet'!C9=0%),0,Calculateur!S3)</f>
        <v>216.22465631364315</v>
      </c>
      <c r="D6" s="155">
        <f>IF(OR('Données projet'!B9="",'Données projet'!C9="",'Données projet'!C9=0%),0,Calculateur!T3)</f>
        <v>304.27938609150095</v>
      </c>
      <c r="E6" s="155">
        <f ca="1">MIN(C6,D6)</f>
        <v>216.22465631364315</v>
      </c>
      <c r="F6" s="155">
        <f ca="1">E6*B6</f>
        <v>129.70452233630201</v>
      </c>
      <c r="G6" s="155">
        <f ca="1">F6*(100%-'Données projet'!$C$24)*(100%-'Données projet'!$C$25)*(100%-'Données projet'!$C$26)*(100%-'Données projet'!$C$27)</f>
        <v>116.73407010267181</v>
      </c>
      <c r="H6" s="156">
        <f>IF(OR('Données projet'!B9="",'Données projet'!C9="",'Données projet'!C9=0%),0,AVERAGE(Calculateur!$AC$3:$AC$33)*B6)</f>
        <v>0</v>
      </c>
      <c r="I6" s="157">
        <f>H6*(100%-'Données projet'!$C$24)*(100%-'Données projet'!$C$25)*(100%-'Données projet'!$C$26)*(100%-'Données projet'!$C$27)</f>
        <v>0</v>
      </c>
      <c r="J6" s="158">
        <f>IF(OR('Données projet'!B9="",'Données projet'!C9="",'Données projet'!C9=0%),0,SUM(Calculateur!$V$3:$V$33)*VLOOKUP('Données projet'!$B$9,Paramètres!$A$1:$I$89,9,0)*B6)</f>
        <v>8.0981100000000001</v>
      </c>
      <c r="K6" s="159">
        <f>J6*(100%-'Données projet'!$C$24)*(100%-'Données projet'!$C$25)*(100%-'Données projet'!$C$26)*(100%-'Données projet'!$C$27)</f>
        <v>7.2882990000000003</v>
      </c>
      <c r="L6" s="160">
        <f ca="1">G6+I6+K6</f>
        <v>124.0223691026718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1" t="str">
        <f>IF('Données projet'!$B$10="","",'Données projet'!$B$10)</f>
        <v>Chêne sessile</v>
      </c>
      <c r="B7" s="162">
        <f>'Données projet'!D10</f>
        <v>0.94340000000000002</v>
      </c>
      <c r="C7" s="155">
        <f ca="1">IF(OR('Données projet'!B10="",'Données projet'!C10="",'Données projet'!C10=0%),0,Calculateur!AN3)</f>
        <v>336.63786714776501</v>
      </c>
      <c r="D7" s="155">
        <f>IF(OR('Données projet'!B10="",'Données projet'!C10="",'Données projet'!C10=0%),0,Calculateur!AO3)</f>
        <v>208.9883766854885</v>
      </c>
      <c r="E7" s="155">
        <f t="shared" ref="E7:E15" ca="1" si="0">MIN(C7,D7)</f>
        <v>208.9883766854885</v>
      </c>
      <c r="F7" s="155">
        <f t="shared" ref="F7:F15" ca="1" si="1">E7*B7</f>
        <v>197.15963456508985</v>
      </c>
      <c r="G7" s="155">
        <f ca="1">F7*(100%-'Données projet'!$C$24)*(100%-'Données projet'!$C$25)*(100%-'Données projet'!$C$26)*(100%-'Données projet'!$C$27)</f>
        <v>177.44367110858087</v>
      </c>
      <c r="H7" s="163">
        <f>IF(OR('Données projet'!B10="",'Données projet'!C10="",'Données projet'!C10=0%),0,AVERAGE(Calculateur!$AX$3:$AX$33)*B7)</f>
        <v>0</v>
      </c>
      <c r="I7" s="157">
        <f>H7*(100%-'Données projet'!$C$24)*(100%-'Données projet'!$C$25)*(100%-'Données projet'!$C$26)*(100%-'Données projet'!$C$27)</f>
        <v>0</v>
      </c>
      <c r="J7" s="158">
        <f>IF(OR('Données projet'!B10="",'Données projet'!C10="",'Données projet'!C10=0%),0,SUM(Calculateur!$AQ$3:$AQ$33)*VLOOKUP('Données projet'!$B$10,Paramètres!$A$1:$I$89,9,0)*B7)</f>
        <v>6.8396499999999998</v>
      </c>
      <c r="K7" s="159">
        <f>J7*(100%-'Données projet'!$C$24)*(100%-'Données projet'!$C$25)*(100%-'Données projet'!$C$26)*(100%-'Données projet'!$C$27)</f>
        <v>6.1556850000000001</v>
      </c>
      <c r="L7" s="160">
        <f t="shared" ref="L7:L15" ca="1" si="2">G7+I7+K7</f>
        <v>183.59935610858088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1" t="str">
        <f>IF('Données projet'!$B$11="","",'Données projet'!$B$11)</f>
        <v>Alisier torminal</v>
      </c>
      <c r="B8" s="162">
        <f>'Données projet'!D11</f>
        <v>0.11748</v>
      </c>
      <c r="C8" s="155">
        <f ca="1">IF(OR('Données projet'!B11="",'Données projet'!C11="",'Données projet'!C11=0%),0,Calculateur!BI3)</f>
        <v>363.29716504383265</v>
      </c>
      <c r="D8" s="155">
        <f>IF(OR('Données projet'!B11="",'Données projet'!C11="",'Données projet'!C11=0%),0,Calculateur!BJ3)</f>
        <v>223.12394672673923</v>
      </c>
      <c r="E8" s="155">
        <f t="shared" ca="1" si="0"/>
        <v>223.12394672673923</v>
      </c>
      <c r="F8" s="155">
        <f t="shared" ca="1" si="1"/>
        <v>26.212601261457326</v>
      </c>
      <c r="G8" s="155">
        <f ca="1">F8*(100%-'Données projet'!$C$24)*(100%-'Données projet'!$C$25)*(100%-'Données projet'!$C$26)*(100%-'Données projet'!$C$27)</f>
        <v>23.591341135311595</v>
      </c>
      <c r="H8" s="163">
        <f>IF(OR('Données projet'!B11="",'Données projet'!C11="",'Données projet'!C11=0%),0,AVERAGE(Calculateur!$BS$3:$BS$33)*B8)</f>
        <v>0</v>
      </c>
      <c r="I8" s="157">
        <f>H8*(100%-'Données projet'!$C$24)*(100%-'Données projet'!$C$25)*(100%-'Données projet'!$C$26)*(100%-'Données projet'!$C$27)</f>
        <v>0</v>
      </c>
      <c r="J8" s="158">
        <f>IF(OR('Données projet'!B11="",'Données projet'!C11="",'Données projet'!C11=0%),0,SUM(Calculateur!$BL$3:$BL$33)*VLOOKUP('Données projet'!$B$11,Paramètres!$A$1:$I$89,9,0)*B8)</f>
        <v>0.85172999999999999</v>
      </c>
      <c r="K8" s="159">
        <f>J8*(100%-'Données projet'!$C$24)*(100%-'Données projet'!$C$25)*(100%-'Données projet'!$C$26)*(100%-'Données projet'!$C$27)</f>
        <v>0.76655700000000004</v>
      </c>
      <c r="L8" s="160">
        <f t="shared" ca="1" si="2"/>
        <v>24.357898135311594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1" t="str">
        <f>IF('Données projet'!$B$12="","",'Données projet'!$B$12)</f>
        <v>Merisier</v>
      </c>
      <c r="B9" s="162">
        <f>'Données projet'!D12</f>
        <v>0.11748</v>
      </c>
      <c r="C9" s="155">
        <f ca="1">IF(OR('Données projet'!B12="",'Données projet'!C12="",'Données projet'!C12=0%),0,Calculateur!CD3)</f>
        <v>249.25370091019835</v>
      </c>
      <c r="D9" s="155">
        <f>IF(OR('Données projet'!B12="",'Données projet'!C12="",'Données projet'!C12=0%),0,Calculateur!CE3)</f>
        <v>245.46410820099908</v>
      </c>
      <c r="E9" s="155">
        <f t="shared" ca="1" si="0"/>
        <v>245.46410820099908</v>
      </c>
      <c r="F9" s="155">
        <f t="shared" ca="1" si="1"/>
        <v>28.837123431453371</v>
      </c>
      <c r="G9" s="155">
        <f ca="1">F9*(100%-'Données projet'!$C$24)*(100%-'Données projet'!$C$25)*(100%-'Données projet'!$C$26)*(100%-'Données projet'!$C$27)</f>
        <v>25.953411088308034</v>
      </c>
      <c r="H9" s="163">
        <f>IF(OR('Données projet'!B12="",'Données projet'!C12="",'Données projet'!C12=0%),0,AVERAGE(Calculateur!$CN$3:$CN$33)*B9)</f>
        <v>0</v>
      </c>
      <c r="I9" s="157">
        <f>H9*(100%-'Données projet'!$C$24)*(100%-'Données projet'!$C$25)*(100%-'Données projet'!$C$26)*(100%-'Données projet'!$C$27)</f>
        <v>0</v>
      </c>
      <c r="J9" s="158">
        <f>IF(OR('Données projet'!B12="",'Données projet'!C12="",'Données projet'!C12=0%),0,SUM(Calculateur!$CG$3:$CG$33)*VLOOKUP('Données projet'!$B$12,Paramètres!$A$1:$I$89,9,0)*B9)</f>
        <v>1.6153500000000001</v>
      </c>
      <c r="K9" s="159">
        <f>J9*(100%-'Données projet'!$C$24)*(100%-'Données projet'!$C$25)*(100%-'Données projet'!$C$26)*(100%-'Données projet'!$C$27)</f>
        <v>1.4538150000000001</v>
      </c>
      <c r="L9" s="160">
        <f t="shared" ca="1" si="2"/>
        <v>27.407226088308033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1" t="str">
        <f>IF('Données projet'!$B$13="","",'Données projet'!$B$13)</f>
        <v/>
      </c>
      <c r="B10" s="162">
        <f>'Données projet'!D13</f>
        <v>0</v>
      </c>
      <c r="C10" s="155">
        <f>IF(OR('Données projet'!B13="",'Données projet'!C13="",'Données projet'!C13=0%),0,Calculateur!CY3)</f>
        <v>0</v>
      </c>
      <c r="D10" s="155">
        <f>IF(OR('Données projet'!B13="",'Données projet'!C13="",'Données projet'!C13=0%),0,Calculateur!CZ3)</f>
        <v>0</v>
      </c>
      <c r="E10" s="155">
        <f t="shared" si="0"/>
        <v>0</v>
      </c>
      <c r="F10" s="155">
        <f t="shared" si="1"/>
        <v>0</v>
      </c>
      <c r="G10" s="155">
        <f>F10*(100%-'Données projet'!$C$24)*(100%-'Données projet'!$C$25)*(100%-'Données projet'!$C$26)*(100%-'Données projet'!$C$27)</f>
        <v>0</v>
      </c>
      <c r="H10" s="163">
        <f>IF(OR('Données projet'!B13="",'Données projet'!C13="",'Données projet'!C13=0%),0,AVERAGE(Calculateur!$DI$3:$DI$33)*B10)</f>
        <v>0</v>
      </c>
      <c r="I10" s="157">
        <f>H10*(100%-'Données projet'!$C$24)*(100%-'Données projet'!$C$25)*(100%-'Données projet'!$C$26)*(100%-'Données projet'!$C$27)</f>
        <v>0</v>
      </c>
      <c r="J10" s="158">
        <f>IF(OR('Données projet'!B13="",'Données projet'!C13="",'Données projet'!C13=0%),0,SUM(Calculateur!$DB$3:$DB$33)*VLOOKUP('Données projet'!$B$13,Paramètres!$A$1:$I$89,9,0)*B10)</f>
        <v>0</v>
      </c>
      <c r="K10" s="159">
        <f>J10*(100%-'Données projet'!$C$24)*(100%-'Données projet'!$C$25)*(100%-'Données projet'!$C$26)*(100%-'Données projet'!$C$27)</f>
        <v>0</v>
      </c>
      <c r="L10" s="160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1" t="str">
        <f>IF('Données projet'!$B$14="","",'Données projet'!$B$14)</f>
        <v/>
      </c>
      <c r="B11" s="162">
        <f>'Données projet'!D14</f>
        <v>0</v>
      </c>
      <c r="C11" s="155">
        <f>IF(OR('Données projet'!B14="",'Données projet'!C14="",'Données projet'!C14=0%),0,Calculateur!DT3)</f>
        <v>0</v>
      </c>
      <c r="D11" s="155">
        <f>IF(OR('Données projet'!B14="",'Données projet'!C14="",'Données projet'!C14=0%),0,Calculateur!DU3)</f>
        <v>0</v>
      </c>
      <c r="E11" s="155">
        <f t="shared" si="0"/>
        <v>0</v>
      </c>
      <c r="F11" s="155">
        <f t="shared" si="1"/>
        <v>0</v>
      </c>
      <c r="G11" s="155">
        <f>F11*(100%-'Données projet'!$C$24)*(100%-'Données projet'!$C$25)*(100%-'Données projet'!$C$26)*(100%-'Données projet'!$C$27)</f>
        <v>0</v>
      </c>
      <c r="H11" s="163">
        <f>IF(OR('Données projet'!B14="",'Données projet'!C14="",'Données projet'!C14=0%),0,AVERAGE(Calculateur!$ED$3:$ED$33)*B11)</f>
        <v>0</v>
      </c>
      <c r="I11" s="157">
        <f>H11*(100%-'Données projet'!$C$24)*(100%-'Données projet'!$C$25)*(100%-'Données projet'!$C$26)*(100%-'Données projet'!$C$27)</f>
        <v>0</v>
      </c>
      <c r="J11" s="158">
        <f>IF(OR('Données projet'!B14="",'Données projet'!C14="",'Données projet'!C14=0%),0,SUM(Calculateur!$DW$3:$DW$33)*VLOOKUP('Données projet'!$B$14,Paramètres!$A$1:$I$89,9,0)*B11)</f>
        <v>0</v>
      </c>
      <c r="K11" s="159">
        <f>J11*(100%-'Données projet'!$C$24)*(100%-'Données projet'!$C$25)*(100%-'Données projet'!$C$26)*(100%-'Données projet'!$C$27)</f>
        <v>0</v>
      </c>
      <c r="L11" s="160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1" t="str">
        <f>IF('Données projet'!$B$15="","",'Données projet'!$B$15)</f>
        <v/>
      </c>
      <c r="B12" s="162">
        <f>'Données projet'!D15</f>
        <v>0</v>
      </c>
      <c r="C12" s="155">
        <f>IF(OR('Données projet'!B15="",'Données projet'!C15="",'Données projet'!C15=0%),0,Calculateur!EO3)</f>
        <v>0</v>
      </c>
      <c r="D12" s="155">
        <f>IF(OR('Données projet'!B15="",'Données projet'!C15="",'Données projet'!C15=0%),0,Calculateur!EP3)</f>
        <v>0</v>
      </c>
      <c r="E12" s="155">
        <f t="shared" si="0"/>
        <v>0</v>
      </c>
      <c r="F12" s="155">
        <f t="shared" si="1"/>
        <v>0</v>
      </c>
      <c r="G12" s="155">
        <f>F12*(100%-'Données projet'!$C$24)*(100%-'Données projet'!$C$25)*(100%-'Données projet'!$C$26)*(100%-'Données projet'!$C$27)</f>
        <v>0</v>
      </c>
      <c r="H12" s="163">
        <f>IF(OR('Données projet'!B15="",'Données projet'!C15="",'Données projet'!C15=0%),0,AVERAGE(Calculateur!$EY$3:$EY$33)*B12)</f>
        <v>0</v>
      </c>
      <c r="I12" s="157">
        <f>H12*(100%-'Données projet'!$C$24)*(100%-'Données projet'!$C$25)*(100%-'Données projet'!$C$26)*(100%-'Données projet'!$C$27)</f>
        <v>0</v>
      </c>
      <c r="J12" s="158">
        <f>IF(OR('Données projet'!B15="",'Données projet'!C15="",'Données projet'!C15=0%),0,SUM(Calculateur!$ER$3:$ER$33)*VLOOKUP('Données projet'!$B$15,Paramètres!$A$1:$I$89,9,0)*B12)</f>
        <v>0</v>
      </c>
      <c r="K12" s="159">
        <f>J12*(100%-'Données projet'!$C$24)*(100%-'Données projet'!$C$25)*(100%-'Données projet'!$C$26)*(100%-'Données projet'!$C$27)</f>
        <v>0</v>
      </c>
      <c r="L12" s="160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1" t="str">
        <f>IF('Données projet'!$B$16="","",'Données projet'!$B$16)</f>
        <v/>
      </c>
      <c r="B13" s="162">
        <f>'Données projet'!D16</f>
        <v>0</v>
      </c>
      <c r="C13" s="155">
        <f>IF(OR('Données projet'!B16="",'Données projet'!C16="",'Données projet'!C16=0%),0,Calculateur!FJ3)</f>
        <v>0</v>
      </c>
      <c r="D13" s="155">
        <f>IF(OR('Données projet'!B16="",'Données projet'!C16="",'Données projet'!C16=0%),0,Calculateur!FK3)</f>
        <v>0</v>
      </c>
      <c r="E13" s="155">
        <f t="shared" si="0"/>
        <v>0</v>
      </c>
      <c r="F13" s="155">
        <f t="shared" si="1"/>
        <v>0</v>
      </c>
      <c r="G13" s="155">
        <f>F13*(100%-'Données projet'!$C$24)*(100%-'Données projet'!$C$25)*(100%-'Données projet'!$C$26)*(100%-'Données projet'!$C$27)</f>
        <v>0</v>
      </c>
      <c r="H13" s="163">
        <f>IF(OR('Données projet'!B16="",'Données projet'!C16="",'Données projet'!C16=0%),0,AVERAGE(Calculateur!$FT$3:$FT$33)*B13)</f>
        <v>0</v>
      </c>
      <c r="I13" s="157">
        <f>H13*(100%-'Données projet'!$C$24)*(100%-'Données projet'!$C$25)*(100%-'Données projet'!$C$26)*(100%-'Données projet'!$C$27)</f>
        <v>0</v>
      </c>
      <c r="J13" s="158">
        <f>IF(OR('Données projet'!C16="",'Données projet'!C16=0%),0,SUM(Calculateur!$FM$3:$FM$33)*VLOOKUP('Données projet'!$B$16,Paramètres!$A$1:$I$89,9,0)*B13)</f>
        <v>0</v>
      </c>
      <c r="K13" s="159">
        <f>J13*(100%-'Données projet'!$C$24)*(100%-'Données projet'!$C$25)*(100%-'Données projet'!$C$26)*(100%-'Données projet'!$C$27)</f>
        <v>0</v>
      </c>
      <c r="L13" s="160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1" t="str">
        <f>IF('Données projet'!$B$17="","",'Données projet'!$B$17)</f>
        <v/>
      </c>
      <c r="B14" s="162">
        <f>'Données projet'!D17</f>
        <v>0</v>
      </c>
      <c r="C14" s="155">
        <f>IF(OR('Données projet'!B17="",'Données projet'!C17="",'Données projet'!C17=0%),0,Calculateur!GE3)</f>
        <v>0</v>
      </c>
      <c r="D14" s="155">
        <f>IF(OR('Données projet'!B17="",'Données projet'!C17="",'Données projet'!C17=0%),0,Calculateur!GF3)</f>
        <v>0</v>
      </c>
      <c r="E14" s="155">
        <f t="shared" si="0"/>
        <v>0</v>
      </c>
      <c r="F14" s="155">
        <f t="shared" si="1"/>
        <v>0</v>
      </c>
      <c r="G14" s="155">
        <f>F14*(100%-'Données projet'!$C$24)*(100%-'Données projet'!$C$25)*(100%-'Données projet'!$C$26)*(100%-'Données projet'!$C$27)</f>
        <v>0</v>
      </c>
      <c r="H14" s="163">
        <f>IF(OR('Données projet'!B17="",'Données projet'!C17="",'Données projet'!C17=0%),0,AVERAGE(Calculateur!$GO$3:$GO$33)*B14)</f>
        <v>0</v>
      </c>
      <c r="I14" s="157">
        <f>H14*(100%-'Données projet'!$C$24)*(100%-'Données projet'!$C$25)*(100%-'Données projet'!$C$26)*(100%-'Données projet'!$C$27)</f>
        <v>0</v>
      </c>
      <c r="J14" s="158">
        <f>IF(OR('Données projet'!B17="",'Données projet'!C17="",'Données projet'!C17=0%),0,SUM(Calculateur!$GH$3:$GH$33)*VLOOKUP('Données projet'!$B$17,Paramètres!$A$1:$I$89,9,0)*B14)</f>
        <v>0</v>
      </c>
      <c r="K14" s="159">
        <f>J14*(100%-'Données projet'!$C$24)*(100%-'Données projet'!$C$25)*(100%-'Données projet'!$C$26)*(100%-'Données projet'!$C$27)</f>
        <v>0</v>
      </c>
      <c r="L14" s="160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4" t="str">
        <f>IF('Données projet'!B18="","",'Données projet'!B18)</f>
        <v/>
      </c>
      <c r="B15" s="165">
        <f>'Données projet'!D18</f>
        <v>0</v>
      </c>
      <c r="C15" s="166">
        <f>IF(OR('Données projet'!B18="",'Données projet'!C18="",'Données projet'!C18=0%),0,Calculateur!GZ3)</f>
        <v>0</v>
      </c>
      <c r="D15" s="166">
        <f>IF(OR('Données projet'!B18="",'Données projet'!C18="",'Données projet'!C18=0%),0,Calculateur!HA3)</f>
        <v>0</v>
      </c>
      <c r="E15" s="166">
        <f t="shared" si="0"/>
        <v>0</v>
      </c>
      <c r="F15" s="167">
        <f t="shared" si="1"/>
        <v>0</v>
      </c>
      <c r="G15" s="167">
        <f>F15*(100%-'Données projet'!$C$24)*(100%-'Données projet'!$C$25)*(100%-'Données projet'!$C$26)*(100%-'Données projet'!$C$27)</f>
        <v>0</v>
      </c>
      <c r="H15" s="168">
        <f>IF(OR('Données projet'!B18="",'Données projet'!C18="",'Données projet'!C18=0%),0,AVERAGE(Calculateur!$HJ$3:$HJ$33)*B15)</f>
        <v>0</v>
      </c>
      <c r="I15" s="169">
        <f>H15*(100%-'Données projet'!$C$24)*(100%-'Données projet'!$C$25)*(100%-'Données projet'!$C$26)*(100%-'Données projet'!$C$27)</f>
        <v>0</v>
      </c>
      <c r="J15" s="170">
        <f>IF(OR('Données projet'!B18="",'Données projet'!C18="",'Données projet'!C18=0%),0,SUM(Calculateur!$HC$3:$HC$33)*VLOOKUP('Données projet'!$B$18,Paramètres!$A$1:$I$89,9,0)*B15)</f>
        <v>0</v>
      </c>
      <c r="K15" s="171">
        <f>J15*(100%-'Données projet'!$C$24)*(100%-'Données projet'!$C$25)*(100%-'Données projet'!$C$26)*(100%-'Données projet'!$C$27)</f>
        <v>0</v>
      </c>
      <c r="L15" s="172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5"/>
      <c r="B16" s="232"/>
      <c r="C16" s="233"/>
      <c r="D16" s="25"/>
      <c r="E16" s="25"/>
      <c r="F16" s="173">
        <f t="shared" ref="F16:L16" ca="1" si="3">SUM(F6:F15)</f>
        <v>381.91388159430261</v>
      </c>
      <c r="G16" s="174">
        <f t="shared" ca="1" si="3"/>
        <v>343.72249343487232</v>
      </c>
      <c r="H16" s="175">
        <f t="shared" si="3"/>
        <v>0</v>
      </c>
      <c r="I16" s="175">
        <f t="shared" si="3"/>
        <v>0</v>
      </c>
      <c r="J16" s="176">
        <f t="shared" si="3"/>
        <v>17.40484</v>
      </c>
      <c r="K16" s="176">
        <f t="shared" si="3"/>
        <v>15.664356000000002</v>
      </c>
      <c r="L16" s="177">
        <f t="shared" ca="1" si="3"/>
        <v>359.38684943487232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5"/>
      <c r="B17" s="232"/>
      <c r="C17" s="233"/>
      <c r="D17" s="230"/>
      <c r="E17" s="230"/>
      <c r="F17" s="319" t="s">
        <v>246</v>
      </c>
      <c r="G17" s="320"/>
      <c r="H17" s="320"/>
      <c r="I17" s="320"/>
      <c r="J17" s="320"/>
      <c r="K17" s="320"/>
      <c r="L17" s="320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5"/>
      <c r="B18" s="232"/>
      <c r="C18" s="233"/>
      <c r="D18" s="230"/>
      <c r="E18" s="230"/>
      <c r="F18" s="321"/>
      <c r="G18" s="321"/>
      <c r="H18" s="321"/>
      <c r="I18" s="321"/>
      <c r="J18" s="321"/>
      <c r="K18" s="321"/>
      <c r="L18" s="321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0"/>
      <c r="J19" s="230"/>
      <c r="K19" s="230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0"/>
      <c r="J20" s="230"/>
      <c r="K20" s="230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8" t="str">
        <f>A6</f>
        <v>Robinier faux-acacia</v>
      </c>
      <c r="B21" s="5"/>
      <c r="C21" s="5"/>
      <c r="D21" s="5"/>
      <c r="E21" s="5"/>
      <c r="F21" s="5"/>
      <c r="G21" s="5"/>
      <c r="H21" s="5"/>
      <c r="I21" s="230"/>
      <c r="J21" s="230"/>
      <c r="K21" s="230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0"/>
      <c r="J22" s="230"/>
      <c r="K22" s="230"/>
      <c r="L22" s="230"/>
      <c r="M22" s="230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0"/>
      <c r="J23" s="230"/>
      <c r="K23" s="230"/>
      <c r="L23" s="230"/>
      <c r="M23" s="230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0"/>
      <c r="J24" s="230"/>
      <c r="K24" s="230"/>
      <c r="L24" s="230"/>
      <c r="M24" s="230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0"/>
      <c r="J25" s="230"/>
      <c r="K25" s="230"/>
      <c r="L25" s="230"/>
      <c r="M25" s="230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0"/>
      <c r="J26" s="230"/>
      <c r="K26" s="230"/>
      <c r="L26" s="230"/>
      <c r="M26" s="230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0"/>
      <c r="J27" s="230"/>
      <c r="K27" s="230"/>
      <c r="L27" s="230"/>
      <c r="M27" s="230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0"/>
      <c r="J28" s="230"/>
      <c r="K28" s="230"/>
      <c r="L28" s="230"/>
      <c r="M28" s="230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0"/>
      <c r="J29" s="230"/>
      <c r="K29" s="230"/>
      <c r="L29" s="230"/>
      <c r="M29" s="230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0"/>
      <c r="J30" s="230"/>
      <c r="K30" s="230"/>
      <c r="L30" s="230"/>
      <c r="M30" s="230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0"/>
      <c r="J31" s="230"/>
      <c r="K31" s="230"/>
      <c r="L31" s="230"/>
      <c r="M31" s="230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0"/>
      <c r="J32" s="230"/>
      <c r="K32" s="230"/>
      <c r="L32" s="230"/>
      <c r="M32" s="230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0"/>
      <c r="J33" s="230"/>
      <c r="K33" s="230"/>
      <c r="L33" s="230"/>
      <c r="M33" s="230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0"/>
      <c r="J34" s="230"/>
      <c r="K34" s="230"/>
      <c r="L34" s="230"/>
      <c r="M34" s="230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0"/>
      <c r="J35" s="230"/>
      <c r="K35" s="230"/>
      <c r="L35" s="230"/>
      <c r="M35" s="230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0"/>
      <c r="J36" s="230"/>
      <c r="K36" s="230"/>
      <c r="L36" s="230"/>
      <c r="M36" s="230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0"/>
      <c r="J37" s="230"/>
      <c r="K37" s="230"/>
      <c r="L37" s="230"/>
      <c r="M37" s="230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0"/>
      <c r="J38" s="230"/>
      <c r="K38" s="230"/>
      <c r="L38" s="230"/>
      <c r="M38" s="230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8" t="str">
        <f>A7</f>
        <v>Chêne sessile</v>
      </c>
      <c r="B39" s="5"/>
      <c r="C39" s="5"/>
      <c r="D39" s="5"/>
      <c r="E39" s="5"/>
      <c r="F39" s="5"/>
      <c r="G39" s="5"/>
      <c r="H39" s="5"/>
      <c r="I39" s="230"/>
      <c r="J39" s="230"/>
      <c r="K39" s="230"/>
      <c r="L39" s="230"/>
      <c r="M39" s="230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0"/>
      <c r="J40" s="230"/>
      <c r="K40" s="230"/>
      <c r="L40" s="230"/>
      <c r="M40" s="230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0"/>
      <c r="J41" s="230"/>
      <c r="K41" s="230"/>
      <c r="L41" s="230"/>
      <c r="M41" s="230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0"/>
      <c r="J42" s="230"/>
      <c r="K42" s="230"/>
      <c r="L42" s="230"/>
      <c r="M42" s="230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0"/>
      <c r="J43" s="230"/>
      <c r="K43" s="230"/>
      <c r="L43" s="230"/>
      <c r="M43" s="230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0"/>
      <c r="J44" s="230"/>
      <c r="K44" s="230"/>
      <c r="L44" s="230"/>
      <c r="M44" s="230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0"/>
      <c r="J45" s="230"/>
      <c r="K45" s="230"/>
      <c r="L45" s="230"/>
      <c r="M45" s="230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0"/>
      <c r="J46" s="230"/>
      <c r="K46" s="230"/>
      <c r="L46" s="230"/>
      <c r="M46" s="230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0"/>
      <c r="J47" s="230"/>
      <c r="K47" s="230"/>
      <c r="L47" s="230"/>
      <c r="M47" s="230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0"/>
      <c r="J48" s="230"/>
      <c r="K48" s="230"/>
      <c r="L48" s="230"/>
      <c r="M48" s="230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0"/>
      <c r="J49" s="230"/>
      <c r="K49" s="230"/>
      <c r="L49" s="230"/>
      <c r="M49" s="230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0"/>
      <c r="J50" s="230"/>
      <c r="K50" s="230"/>
      <c r="L50" s="230"/>
      <c r="M50" s="230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0"/>
      <c r="J51" s="230"/>
      <c r="K51" s="230"/>
      <c r="L51" s="230"/>
      <c r="M51" s="230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0"/>
      <c r="J52" s="230"/>
      <c r="K52" s="230"/>
      <c r="L52" s="230"/>
      <c r="M52" s="230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0"/>
      <c r="J53" s="230"/>
      <c r="K53" s="230"/>
      <c r="L53" s="230"/>
      <c r="M53" s="230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0"/>
      <c r="J54" s="230"/>
      <c r="K54" s="230"/>
      <c r="L54" s="230"/>
      <c r="M54" s="230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0"/>
      <c r="J55" s="230"/>
      <c r="K55" s="230"/>
      <c r="L55" s="230"/>
      <c r="M55" s="230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0"/>
      <c r="J56" s="230"/>
      <c r="K56" s="230"/>
      <c r="L56" s="230"/>
      <c r="M56" s="230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8" t="str">
        <f>A8</f>
        <v>Alisier torminal</v>
      </c>
      <c r="B57" s="5"/>
      <c r="C57" s="5"/>
      <c r="D57" s="5"/>
      <c r="E57" s="5"/>
      <c r="F57" s="5"/>
      <c r="G57" s="5"/>
      <c r="H57" s="5"/>
      <c r="I57" s="230"/>
      <c r="J57" s="230"/>
      <c r="K57" s="230"/>
      <c r="L57" s="230"/>
      <c r="M57" s="230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0"/>
      <c r="J58" s="230"/>
      <c r="K58" s="230"/>
      <c r="L58" s="230"/>
      <c r="M58" s="230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0"/>
      <c r="J59" s="230"/>
      <c r="K59" s="230"/>
      <c r="L59" s="230"/>
      <c r="M59" s="230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0"/>
      <c r="J60" s="230"/>
      <c r="K60" s="230"/>
      <c r="L60" s="230"/>
      <c r="M60" s="230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0"/>
      <c r="J61" s="230"/>
      <c r="K61" s="230"/>
      <c r="L61" s="230"/>
      <c r="M61" s="230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0"/>
      <c r="J62" s="230"/>
      <c r="K62" s="230"/>
      <c r="L62" s="230"/>
      <c r="M62" s="230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0"/>
      <c r="J63" s="230"/>
      <c r="K63" s="230"/>
      <c r="L63" s="230"/>
      <c r="M63" s="230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0"/>
      <c r="J64" s="230"/>
      <c r="K64" s="230"/>
      <c r="L64" s="230"/>
      <c r="M64" s="230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0"/>
      <c r="J65" s="230"/>
      <c r="K65" s="230"/>
      <c r="L65" s="230"/>
      <c r="M65" s="230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0"/>
      <c r="J66" s="230"/>
      <c r="K66" s="230"/>
      <c r="L66" s="230"/>
      <c r="M66" s="230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0"/>
      <c r="J67" s="230"/>
      <c r="K67" s="230"/>
      <c r="L67" s="230"/>
      <c r="M67" s="230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0"/>
      <c r="J68" s="230"/>
      <c r="K68" s="230"/>
      <c r="L68" s="230"/>
      <c r="M68" s="230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0"/>
      <c r="J69" s="230"/>
      <c r="K69" s="230"/>
      <c r="L69" s="230"/>
      <c r="M69" s="230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0"/>
      <c r="J70" s="230"/>
      <c r="K70" s="230"/>
      <c r="L70" s="230"/>
      <c r="M70" s="230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0"/>
      <c r="J71" s="230"/>
      <c r="K71" s="230"/>
      <c r="L71" s="230"/>
      <c r="M71" s="230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0"/>
      <c r="J72" s="230"/>
      <c r="K72" s="230"/>
      <c r="L72" s="230"/>
      <c r="M72" s="230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0"/>
      <c r="J73" s="230"/>
      <c r="K73" s="230"/>
      <c r="L73" s="230"/>
      <c r="M73" s="230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0"/>
      <c r="J74" s="230"/>
      <c r="K74" s="230"/>
      <c r="L74" s="230"/>
      <c r="M74" s="230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0"/>
      <c r="J75" s="230"/>
      <c r="K75" s="230"/>
      <c r="L75" s="230"/>
      <c r="M75" s="230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8" t="str">
        <f>A9</f>
        <v>Merisier</v>
      </c>
      <c r="B76" s="5"/>
      <c r="C76" s="5"/>
      <c r="D76" s="5"/>
      <c r="E76" s="5"/>
      <c r="F76" s="5"/>
      <c r="G76" s="5"/>
      <c r="H76" s="5"/>
      <c r="I76" s="230"/>
      <c r="J76" s="230"/>
      <c r="K76" s="230"/>
      <c r="L76" s="230"/>
      <c r="M76" s="230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0"/>
      <c r="J77" s="230"/>
      <c r="K77" s="230"/>
      <c r="L77" s="230"/>
      <c r="M77" s="230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0"/>
      <c r="J78" s="230"/>
      <c r="K78" s="230"/>
      <c r="L78" s="230"/>
      <c r="M78" s="230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0"/>
      <c r="J79" s="230"/>
      <c r="K79" s="230"/>
      <c r="L79" s="230"/>
      <c r="M79" s="230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0"/>
      <c r="J80" s="230"/>
      <c r="K80" s="230"/>
      <c r="L80" s="230"/>
      <c r="M80" s="230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0"/>
      <c r="J81" s="230"/>
      <c r="K81" s="230"/>
      <c r="L81" s="230"/>
      <c r="M81" s="230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0"/>
      <c r="J82" s="230"/>
      <c r="K82" s="230"/>
      <c r="L82" s="230"/>
      <c r="M82" s="230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0"/>
      <c r="J83" s="230"/>
      <c r="K83" s="230"/>
      <c r="L83" s="230"/>
      <c r="M83" s="230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0"/>
      <c r="J84" s="230"/>
      <c r="K84" s="230"/>
      <c r="L84" s="230"/>
      <c r="M84" s="230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0"/>
      <c r="J85" s="230"/>
      <c r="K85" s="230"/>
      <c r="L85" s="230"/>
      <c r="M85" s="230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0"/>
      <c r="J86" s="230"/>
      <c r="K86" s="230"/>
      <c r="L86" s="230"/>
      <c r="M86" s="230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0"/>
      <c r="J87" s="230"/>
      <c r="K87" s="230"/>
      <c r="L87" s="230"/>
      <c r="M87" s="230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0"/>
      <c r="J88" s="230"/>
      <c r="K88" s="230"/>
      <c r="L88" s="230"/>
      <c r="M88" s="230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0"/>
      <c r="J89" s="230"/>
      <c r="K89" s="230"/>
      <c r="L89" s="230"/>
      <c r="M89" s="230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0"/>
      <c r="J90" s="230"/>
      <c r="K90" s="230"/>
      <c r="L90" s="230"/>
      <c r="M90" s="230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0"/>
      <c r="J91" s="230"/>
      <c r="K91" s="230"/>
      <c r="L91" s="230"/>
      <c r="M91" s="230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0"/>
      <c r="J92" s="230"/>
      <c r="K92" s="230"/>
      <c r="L92" s="230"/>
      <c r="M92" s="230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0"/>
      <c r="J93" s="230"/>
      <c r="K93" s="230"/>
      <c r="L93" s="230"/>
      <c r="M93" s="230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8" t="str">
        <f>A10</f>
        <v/>
      </c>
      <c r="B94" s="5"/>
      <c r="C94" s="5"/>
      <c r="D94" s="5"/>
      <c r="E94" s="5"/>
      <c r="F94" s="5"/>
      <c r="G94" s="5"/>
      <c r="H94" s="5"/>
      <c r="I94" s="230"/>
      <c r="J94" s="230"/>
      <c r="K94" s="230"/>
      <c r="L94" s="230"/>
      <c r="M94" s="230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0"/>
      <c r="J95" s="230"/>
      <c r="K95" s="230"/>
      <c r="L95" s="230"/>
      <c r="M95" s="230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0"/>
      <c r="J96" s="230"/>
      <c r="K96" s="230"/>
      <c r="L96" s="230"/>
      <c r="M96" s="230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0"/>
      <c r="J97" s="230"/>
      <c r="K97" s="230"/>
      <c r="L97" s="230"/>
      <c r="M97" s="230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0"/>
      <c r="J98" s="230"/>
      <c r="K98" s="230"/>
      <c r="L98" s="230"/>
      <c r="M98" s="230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0"/>
      <c r="J99" s="230"/>
      <c r="K99" s="230"/>
      <c r="L99" s="230"/>
      <c r="M99" s="230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0"/>
      <c r="J100" s="230"/>
      <c r="K100" s="230"/>
      <c r="L100" s="230"/>
      <c r="M100" s="230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0"/>
      <c r="J101" s="230"/>
      <c r="K101" s="230"/>
      <c r="L101" s="230"/>
      <c r="M101" s="230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0"/>
      <c r="J102" s="230"/>
      <c r="K102" s="230"/>
      <c r="L102" s="230"/>
      <c r="M102" s="230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0"/>
      <c r="J103" s="230"/>
      <c r="K103" s="230"/>
      <c r="L103" s="230"/>
      <c r="M103" s="230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0"/>
      <c r="J104" s="230"/>
      <c r="K104" s="230"/>
      <c r="L104" s="230"/>
      <c r="M104" s="230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0"/>
      <c r="J105" s="230"/>
      <c r="K105" s="230"/>
      <c r="L105" s="230"/>
      <c r="M105" s="230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0"/>
      <c r="J106" s="230"/>
      <c r="K106" s="230"/>
      <c r="L106" s="230"/>
      <c r="M106" s="230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0"/>
      <c r="J107" s="230"/>
      <c r="K107" s="230"/>
      <c r="L107" s="230"/>
      <c r="M107" s="230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0"/>
      <c r="J108" s="230"/>
      <c r="K108" s="230"/>
      <c r="L108" s="230"/>
      <c r="M108" s="230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0"/>
      <c r="J109" s="230"/>
      <c r="K109" s="230"/>
      <c r="L109" s="230"/>
      <c r="M109" s="230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0"/>
      <c r="J110" s="230"/>
      <c r="K110" s="230"/>
      <c r="L110" s="230"/>
      <c r="M110" s="230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0"/>
      <c r="J111" s="230"/>
      <c r="K111" s="230"/>
      <c r="L111" s="230"/>
      <c r="M111" s="230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8" t="str">
        <f>A11</f>
        <v/>
      </c>
      <c r="B112" s="5"/>
      <c r="C112" s="5"/>
      <c r="D112" s="5"/>
      <c r="E112" s="5"/>
      <c r="F112" s="5"/>
      <c r="G112" s="5"/>
      <c r="H112" s="5"/>
      <c r="I112" s="230"/>
      <c r="J112" s="230"/>
      <c r="K112" s="230"/>
      <c r="L112" s="230"/>
      <c r="M112" s="230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0"/>
      <c r="J113" s="230"/>
      <c r="K113" s="230"/>
      <c r="L113" s="230"/>
      <c r="M113" s="230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0"/>
      <c r="J114" s="230"/>
      <c r="K114" s="230"/>
      <c r="L114" s="230"/>
      <c r="M114" s="230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0"/>
      <c r="J115" s="230"/>
      <c r="K115" s="230"/>
      <c r="L115" s="230"/>
      <c r="M115" s="230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0"/>
      <c r="J116" s="230"/>
      <c r="K116" s="230"/>
      <c r="L116" s="230"/>
      <c r="M116" s="230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0"/>
      <c r="J117" s="230"/>
      <c r="K117" s="230"/>
      <c r="L117" s="230"/>
      <c r="M117" s="230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0"/>
      <c r="J118" s="230"/>
      <c r="K118" s="230"/>
      <c r="L118" s="230"/>
      <c r="M118" s="230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0"/>
      <c r="J119" s="230"/>
      <c r="K119" s="230"/>
      <c r="L119" s="230"/>
      <c r="M119" s="230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0"/>
      <c r="J120" s="230"/>
      <c r="K120" s="230"/>
      <c r="L120" s="230"/>
      <c r="M120" s="230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0"/>
      <c r="J121" s="230"/>
      <c r="K121" s="230"/>
      <c r="L121" s="230"/>
      <c r="M121" s="230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0"/>
      <c r="J122" s="230"/>
      <c r="K122" s="230"/>
      <c r="L122" s="230"/>
      <c r="M122" s="230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0"/>
      <c r="J123" s="230"/>
      <c r="K123" s="230"/>
      <c r="L123" s="230"/>
      <c r="M123" s="230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0"/>
      <c r="J124" s="230"/>
      <c r="K124" s="230"/>
      <c r="L124" s="230"/>
      <c r="M124" s="230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0"/>
      <c r="J125" s="230"/>
      <c r="K125" s="230"/>
      <c r="L125" s="230"/>
      <c r="M125" s="230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0"/>
      <c r="J126" s="230"/>
      <c r="K126" s="230"/>
      <c r="L126" s="230"/>
      <c r="M126" s="230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0"/>
      <c r="J127" s="230"/>
      <c r="K127" s="230"/>
      <c r="L127" s="230"/>
      <c r="M127" s="230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0"/>
      <c r="J128" s="230"/>
      <c r="K128" s="230"/>
      <c r="L128" s="230"/>
      <c r="M128" s="230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0"/>
      <c r="J129" s="230"/>
      <c r="K129" s="230"/>
      <c r="L129" s="230"/>
      <c r="M129" s="230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8" t="str">
        <f>A12</f>
        <v/>
      </c>
      <c r="B130" s="5"/>
      <c r="C130" s="5"/>
      <c r="D130" s="5"/>
      <c r="E130" s="5"/>
      <c r="F130" s="5"/>
      <c r="G130" s="5"/>
      <c r="H130" s="5"/>
      <c r="I130" s="230"/>
      <c r="J130" s="230"/>
      <c r="K130" s="230"/>
      <c r="L130" s="230"/>
      <c r="M130" s="230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0"/>
      <c r="J131" s="230"/>
      <c r="K131" s="230"/>
      <c r="L131" s="230"/>
      <c r="M131" s="230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0"/>
      <c r="J132" s="230"/>
      <c r="K132" s="230"/>
      <c r="L132" s="230"/>
      <c r="M132" s="230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0"/>
      <c r="J133" s="230"/>
      <c r="K133" s="230"/>
      <c r="L133" s="230"/>
      <c r="M133" s="230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0"/>
      <c r="J134" s="230"/>
      <c r="K134" s="230"/>
      <c r="L134" s="230"/>
      <c r="M134" s="230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0"/>
      <c r="J135" s="230"/>
      <c r="K135" s="230"/>
      <c r="L135" s="230"/>
      <c r="M135" s="230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0"/>
      <c r="J136" s="230"/>
      <c r="K136" s="230"/>
      <c r="L136" s="230"/>
      <c r="M136" s="230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0"/>
      <c r="J137" s="230"/>
      <c r="K137" s="230"/>
      <c r="L137" s="230"/>
      <c r="M137" s="230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0"/>
      <c r="J138" s="230"/>
      <c r="K138" s="230"/>
      <c r="L138" s="230"/>
      <c r="M138" s="230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0"/>
      <c r="J139" s="230"/>
      <c r="K139" s="230"/>
      <c r="L139" s="230"/>
      <c r="M139" s="230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0"/>
      <c r="J140" s="230"/>
      <c r="K140" s="230"/>
      <c r="L140" s="230"/>
      <c r="M140" s="230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0"/>
      <c r="J141" s="230"/>
      <c r="K141" s="230"/>
      <c r="L141" s="230"/>
      <c r="M141" s="230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0"/>
      <c r="J142" s="230"/>
      <c r="K142" s="230"/>
      <c r="L142" s="230"/>
      <c r="M142" s="230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0"/>
      <c r="J143" s="230"/>
      <c r="K143" s="230"/>
      <c r="L143" s="230"/>
      <c r="M143" s="230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0"/>
      <c r="J144" s="230"/>
      <c r="K144" s="230"/>
      <c r="L144" s="230"/>
      <c r="M144" s="230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0"/>
      <c r="J145" s="230"/>
      <c r="K145" s="230"/>
      <c r="L145" s="230"/>
      <c r="M145" s="230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0"/>
      <c r="J146" s="230"/>
      <c r="K146" s="230"/>
      <c r="L146" s="230"/>
      <c r="M146" s="230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0"/>
      <c r="J147" s="230"/>
      <c r="K147" s="230"/>
      <c r="L147" s="230"/>
      <c r="M147" s="230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8" t="str">
        <f>A13</f>
        <v/>
      </c>
      <c r="B148" s="5"/>
      <c r="C148" s="5"/>
      <c r="D148" s="5"/>
      <c r="E148" s="5"/>
      <c r="F148" s="5"/>
      <c r="G148" s="5"/>
      <c r="H148" s="5"/>
      <c r="I148" s="230"/>
      <c r="J148" s="230"/>
      <c r="K148" s="230"/>
      <c r="L148" s="230"/>
      <c r="M148" s="230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0"/>
      <c r="J149" s="230"/>
      <c r="K149" s="230"/>
      <c r="L149" s="230"/>
      <c r="M149" s="230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0"/>
      <c r="J150" s="230"/>
      <c r="K150" s="230"/>
      <c r="L150" s="230"/>
      <c r="M150" s="230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0"/>
      <c r="J151" s="230"/>
      <c r="K151" s="230"/>
      <c r="L151" s="230"/>
      <c r="M151" s="230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0"/>
      <c r="J152" s="230"/>
      <c r="K152" s="230"/>
      <c r="L152" s="230"/>
      <c r="M152" s="230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0"/>
      <c r="J153" s="230"/>
      <c r="K153" s="230"/>
      <c r="L153" s="230"/>
      <c r="M153" s="230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0"/>
      <c r="J154" s="230"/>
      <c r="K154" s="230"/>
      <c r="L154" s="230"/>
      <c r="M154" s="230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0"/>
      <c r="J155" s="230"/>
      <c r="K155" s="230"/>
      <c r="L155" s="230"/>
      <c r="M155" s="230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0"/>
      <c r="J156" s="230"/>
      <c r="K156" s="230"/>
      <c r="L156" s="230"/>
      <c r="M156" s="230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0"/>
      <c r="J157" s="230"/>
      <c r="K157" s="230"/>
      <c r="L157" s="230"/>
      <c r="M157" s="230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0"/>
      <c r="J158" s="230"/>
      <c r="K158" s="230"/>
      <c r="L158" s="230"/>
      <c r="M158" s="230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0"/>
      <c r="J159" s="230"/>
      <c r="K159" s="230"/>
      <c r="L159" s="230"/>
      <c r="M159" s="230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0"/>
      <c r="J160" s="230"/>
      <c r="K160" s="230"/>
      <c r="L160" s="230"/>
      <c r="M160" s="230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0"/>
      <c r="J161" s="230"/>
      <c r="K161" s="230"/>
      <c r="L161" s="230"/>
      <c r="M161" s="230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0"/>
      <c r="J162" s="230"/>
      <c r="K162" s="230"/>
      <c r="L162" s="230"/>
      <c r="M162" s="230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0"/>
      <c r="J163" s="230"/>
      <c r="K163" s="230"/>
      <c r="L163" s="230"/>
      <c r="M163" s="230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0"/>
      <c r="J164" s="230"/>
      <c r="K164" s="230"/>
      <c r="L164" s="230"/>
      <c r="M164" s="230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0"/>
      <c r="J165" s="230"/>
      <c r="K165" s="230"/>
      <c r="L165" s="230"/>
      <c r="M165" s="230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8" t="str">
        <f>A14</f>
        <v/>
      </c>
      <c r="B166" s="5"/>
      <c r="C166" s="5"/>
      <c r="D166" s="5"/>
      <c r="E166" s="5"/>
      <c r="F166" s="5"/>
      <c r="G166" s="5"/>
      <c r="H166" s="5"/>
      <c r="I166" s="230"/>
      <c r="J166" s="230"/>
      <c r="K166" s="230"/>
      <c r="L166" s="230"/>
      <c r="M166" s="230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0"/>
      <c r="J167" s="230"/>
      <c r="K167" s="230"/>
      <c r="L167" s="230"/>
      <c r="M167" s="230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0"/>
      <c r="J168" s="230"/>
      <c r="K168" s="230"/>
      <c r="L168" s="230"/>
      <c r="M168" s="230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0"/>
      <c r="J169" s="230"/>
      <c r="K169" s="230"/>
      <c r="L169" s="230"/>
      <c r="M169" s="230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0"/>
      <c r="J170" s="230"/>
      <c r="K170" s="230"/>
      <c r="L170" s="230"/>
      <c r="M170" s="230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0"/>
      <c r="J171" s="230"/>
      <c r="K171" s="230"/>
      <c r="L171" s="230"/>
      <c r="M171" s="230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0"/>
      <c r="J172" s="230"/>
      <c r="K172" s="230"/>
      <c r="L172" s="230"/>
      <c r="M172" s="230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0"/>
      <c r="J173" s="230"/>
      <c r="K173" s="230"/>
      <c r="L173" s="230"/>
      <c r="M173" s="230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0"/>
      <c r="J174" s="230"/>
      <c r="K174" s="230"/>
      <c r="L174" s="230"/>
      <c r="M174" s="230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0"/>
      <c r="J175" s="230"/>
      <c r="K175" s="230"/>
      <c r="L175" s="230"/>
      <c r="M175" s="230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0"/>
      <c r="J176" s="230"/>
      <c r="K176" s="230"/>
      <c r="L176" s="230"/>
      <c r="M176" s="230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0"/>
      <c r="J177" s="230"/>
      <c r="K177" s="230"/>
      <c r="L177" s="230"/>
      <c r="M177" s="230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0"/>
      <c r="J178" s="230"/>
      <c r="K178" s="230"/>
      <c r="L178" s="230"/>
      <c r="M178" s="230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0"/>
      <c r="J179" s="230"/>
      <c r="K179" s="230"/>
      <c r="L179" s="230"/>
      <c r="M179" s="230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0"/>
      <c r="J180" s="230"/>
      <c r="K180" s="230"/>
      <c r="L180" s="230"/>
      <c r="M180" s="230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0"/>
      <c r="J181" s="230"/>
      <c r="K181" s="230"/>
      <c r="L181" s="230"/>
      <c r="M181" s="230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0"/>
      <c r="J182" s="230"/>
      <c r="K182" s="230"/>
      <c r="L182" s="230"/>
      <c r="M182" s="230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0"/>
      <c r="J183" s="230"/>
      <c r="K183" s="230"/>
      <c r="L183" s="230"/>
      <c r="M183" s="230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8" t="str">
        <f>A15</f>
        <v/>
      </c>
      <c r="B184" s="5"/>
      <c r="C184" s="5"/>
      <c r="D184" s="5"/>
      <c r="E184" s="5"/>
      <c r="F184" s="5"/>
      <c r="G184" s="5"/>
      <c r="H184" s="5"/>
      <c r="I184" s="230"/>
      <c r="J184" s="230"/>
      <c r="K184" s="230"/>
      <c r="L184" s="230"/>
      <c r="M184" s="230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0"/>
      <c r="J185" s="230"/>
      <c r="K185" s="230"/>
      <c r="L185" s="230"/>
      <c r="M185" s="230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0"/>
      <c r="J186" s="230"/>
      <c r="K186" s="230"/>
      <c r="L186" s="230"/>
      <c r="M186" s="230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0"/>
      <c r="J187" s="230"/>
      <c r="K187" s="230"/>
      <c r="L187" s="230"/>
      <c r="M187" s="230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0"/>
      <c r="J188" s="230"/>
      <c r="K188" s="230"/>
      <c r="L188" s="230"/>
      <c r="M188" s="230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0"/>
      <c r="J189" s="230"/>
      <c r="K189" s="230"/>
      <c r="L189" s="230"/>
      <c r="M189" s="230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0"/>
      <c r="J190" s="230"/>
      <c r="K190" s="230"/>
      <c r="L190" s="230"/>
      <c r="M190" s="230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0"/>
      <c r="J191" s="230"/>
      <c r="K191" s="230"/>
      <c r="L191" s="230"/>
      <c r="M191" s="230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0"/>
      <c r="J192" s="230"/>
      <c r="K192" s="230"/>
      <c r="L192" s="230"/>
      <c r="M192" s="230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0"/>
      <c r="J193" s="230"/>
      <c r="K193" s="230"/>
      <c r="L193" s="230"/>
      <c r="M193" s="230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0"/>
      <c r="J194" s="230"/>
      <c r="K194" s="230"/>
      <c r="L194" s="230"/>
      <c r="M194" s="230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0"/>
      <c r="J195" s="230"/>
      <c r="K195" s="230"/>
      <c r="L195" s="230"/>
      <c r="M195" s="230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0"/>
      <c r="J196" s="230"/>
      <c r="K196" s="230"/>
      <c r="L196" s="230"/>
      <c r="M196" s="230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0"/>
      <c r="J197" s="230"/>
      <c r="K197" s="230"/>
      <c r="L197" s="230"/>
      <c r="M197" s="230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0"/>
      <c r="J198" s="230"/>
      <c r="K198" s="230"/>
      <c r="L198" s="230"/>
      <c r="M198" s="230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0"/>
      <c r="J199" s="230"/>
      <c r="K199" s="230"/>
      <c r="L199" s="230"/>
      <c r="M199" s="230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0"/>
      <c r="J200" s="230"/>
      <c r="K200" s="230"/>
      <c r="L200" s="230"/>
      <c r="M200" s="230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0"/>
      <c r="J201" s="230"/>
      <c r="K201" s="230"/>
      <c r="L201" s="230"/>
      <c r="M201" s="230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0"/>
      <c r="J202" s="230"/>
      <c r="K202" s="230"/>
      <c r="L202" s="230"/>
      <c r="M202" s="230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0"/>
      <c r="J203" s="70"/>
      <c r="K203" s="70"/>
      <c r="L203" s="70"/>
      <c r="M203" s="230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0"/>
      <c r="J204" s="70"/>
      <c r="K204" s="70"/>
      <c r="L204" s="70"/>
      <c r="M204" s="70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0"/>
      <c r="J205" s="70"/>
      <c r="K205" s="70"/>
      <c r="L205" s="70"/>
      <c r="M205" s="70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0"/>
      <c r="J206" s="70"/>
      <c r="K206" s="70"/>
      <c r="L206" s="70"/>
      <c r="M206" s="70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0"/>
      <c r="J207" s="70"/>
      <c r="K207" s="70"/>
      <c r="L207" s="70"/>
      <c r="M207" s="70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0"/>
      <c r="J208" s="70"/>
      <c r="K208" s="70"/>
      <c r="L208" s="70"/>
      <c r="M208" s="70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0"/>
      <c r="J209" s="70"/>
      <c r="K209" s="70"/>
      <c r="L209" s="70"/>
      <c r="M209" s="70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0"/>
      <c r="J210" s="70"/>
      <c r="K210" s="70"/>
      <c r="L210" s="70"/>
      <c r="M210" s="70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0"/>
      <c r="J211" s="70"/>
      <c r="K211" s="70"/>
      <c r="L211" s="70"/>
      <c r="M211" s="70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0"/>
      <c r="J212" s="70"/>
      <c r="K212" s="70"/>
      <c r="L212" s="70"/>
      <c r="M212" s="70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0"/>
      <c r="J213" s="70"/>
      <c r="K213" s="70"/>
      <c r="L213" s="70"/>
      <c r="M213" s="70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0"/>
      <c r="J214" s="70"/>
      <c r="K214" s="70"/>
      <c r="L214" s="70"/>
      <c r="M214" s="70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0"/>
      <c r="J215" s="70"/>
      <c r="K215" s="70"/>
      <c r="L215" s="70"/>
      <c r="M215" s="70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0"/>
      <c r="J216" s="70"/>
      <c r="K216" s="70"/>
      <c r="L216" s="70"/>
      <c r="M216" s="70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0"/>
      <c r="J217" s="70"/>
      <c r="K217" s="70"/>
      <c r="L217" s="70"/>
      <c r="M217" s="70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0"/>
      <c r="J218" s="70"/>
      <c r="K218" s="70"/>
      <c r="L218" s="70"/>
      <c r="M218" s="70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0"/>
      <c r="J219" s="70"/>
      <c r="K219" s="70"/>
      <c r="L219" s="70"/>
      <c r="M219" s="70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0"/>
      <c r="J220" s="70"/>
      <c r="K220" s="70"/>
      <c r="L220" s="70"/>
      <c r="M220" s="70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0"/>
      <c r="J221" s="70"/>
      <c r="K221" s="70"/>
      <c r="L221" s="70"/>
      <c r="M221" s="70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0"/>
      <c r="J222" s="70"/>
      <c r="K222" s="70"/>
      <c r="L222" s="70"/>
      <c r="M222" s="70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0"/>
      <c r="J223" s="70"/>
      <c r="K223" s="70"/>
      <c r="L223" s="70"/>
      <c r="M223" s="70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0"/>
      <c r="J224" s="70"/>
      <c r="K224" s="70"/>
      <c r="L224" s="70"/>
      <c r="M224" s="70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0"/>
      <c r="J225" s="70"/>
      <c r="K225" s="70"/>
      <c r="L225" s="70"/>
      <c r="M225" s="70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0"/>
      <c r="J226" s="70"/>
      <c r="K226" s="70"/>
      <c r="L226" s="70"/>
      <c r="M226" s="70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0"/>
      <c r="J227" s="70"/>
      <c r="K227" s="70"/>
      <c r="L227" s="70"/>
      <c r="M227" s="70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0"/>
      <c r="J228" s="70"/>
      <c r="K228" s="70"/>
      <c r="L228" s="70"/>
      <c r="M228" s="70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0"/>
      <c r="J229" s="70"/>
      <c r="K229" s="70"/>
      <c r="L229" s="70"/>
      <c r="M229" s="70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0"/>
      <c r="J230" s="70"/>
      <c r="K230" s="70"/>
      <c r="L230" s="70"/>
      <c r="M230" s="70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0"/>
      <c r="J231" s="70"/>
      <c r="K231" s="70"/>
      <c r="L231" s="70"/>
      <c r="M231" s="70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0"/>
      <c r="J232" s="70"/>
      <c r="K232" s="70"/>
      <c r="L232" s="70"/>
      <c r="M232" s="70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0"/>
      <c r="J233" s="70"/>
      <c r="K233" s="70"/>
      <c r="L233" s="70"/>
      <c r="M233" s="70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0"/>
      <c r="J234" s="70"/>
      <c r="K234" s="70"/>
      <c r="L234" s="70"/>
      <c r="M234" s="70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0"/>
      <c r="J235" s="70"/>
      <c r="K235" s="70"/>
      <c r="L235" s="70"/>
      <c r="M235" s="70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0"/>
      <c r="J236" s="70"/>
      <c r="K236" s="70"/>
      <c r="L236" s="70"/>
      <c r="M236" s="70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0"/>
      <c r="J237" s="70"/>
      <c r="K237" s="70"/>
      <c r="L237" s="70"/>
      <c r="M237" s="70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0"/>
      <c r="J238" s="70"/>
      <c r="K238" s="70"/>
      <c r="L238" s="70"/>
      <c r="M238" s="70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0"/>
      <c r="J239" s="70"/>
      <c r="K239" s="70"/>
      <c r="L239" s="70"/>
      <c r="M239" s="70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0"/>
      <c r="J240" s="70"/>
      <c r="K240" s="70"/>
      <c r="L240" s="70"/>
      <c r="M240" s="70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0"/>
      <c r="J241" s="70"/>
      <c r="K241" s="70"/>
      <c r="L241" s="70"/>
      <c r="M241" s="70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0"/>
      <c r="J242" s="70"/>
      <c r="K242" s="70"/>
      <c r="L242" s="70"/>
      <c r="M242" s="70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0"/>
      <c r="J243" s="70"/>
      <c r="K243" s="70"/>
      <c r="L243" s="70"/>
      <c r="M243" s="70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0"/>
      <c r="J244" s="70"/>
      <c r="K244" s="70"/>
      <c r="L244" s="70"/>
      <c r="M244" s="70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0"/>
      <c r="J245" s="70"/>
      <c r="K245" s="70"/>
      <c r="L245" s="70"/>
      <c r="M245" s="70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0"/>
      <c r="J246" s="70"/>
      <c r="K246" s="70"/>
      <c r="L246" s="70"/>
      <c r="M246" s="70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0"/>
      <c r="J247" s="70"/>
      <c r="K247" s="70"/>
      <c r="L247" s="70"/>
      <c r="M247" s="70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0"/>
      <c r="J248" s="70"/>
      <c r="K248" s="70"/>
      <c r="L248" s="70"/>
      <c r="M248" s="70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0"/>
      <c r="J249" s="70"/>
      <c r="K249" s="70"/>
      <c r="L249" s="70"/>
      <c r="M249" s="70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0"/>
      <c r="J250" s="70"/>
      <c r="K250" s="70"/>
      <c r="L250" s="70"/>
      <c r="M250" s="70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0"/>
      <c r="J251" s="70"/>
      <c r="K251" s="70"/>
      <c r="L251" s="70"/>
      <c r="M251" s="70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0"/>
      <c r="J252" s="70"/>
      <c r="K252" s="70"/>
      <c r="L252" s="70"/>
      <c r="M252" s="70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0"/>
      <c r="J253" s="70"/>
      <c r="K253" s="70"/>
      <c r="L253" s="70"/>
      <c r="M253" s="70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0"/>
      <c r="J254" s="70"/>
      <c r="K254" s="70"/>
      <c r="L254" s="70"/>
      <c r="M254" s="70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0"/>
      <c r="J255" s="70"/>
      <c r="K255" s="70"/>
      <c r="L255" s="70"/>
      <c r="M255" s="70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0"/>
      <c r="J256" s="70"/>
      <c r="K256" s="70"/>
      <c r="L256" s="70"/>
      <c r="M256" s="70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0"/>
      <c r="J257" s="70"/>
      <c r="K257" s="70"/>
      <c r="L257" s="70"/>
      <c r="M257" s="70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0"/>
      <c r="J258" s="70"/>
      <c r="K258" s="70"/>
      <c r="L258" s="70"/>
      <c r="M258" s="70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0"/>
      <c r="J259" s="70"/>
      <c r="K259" s="70"/>
      <c r="L259" s="70"/>
      <c r="M259" s="70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0"/>
      <c r="J260" s="70"/>
      <c r="K260" s="70"/>
      <c r="L260" s="70"/>
      <c r="M260" s="70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0"/>
      <c r="J261" s="70"/>
      <c r="K261" s="70"/>
      <c r="L261" s="70"/>
      <c r="M261" s="70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0"/>
      <c r="J262" s="70"/>
      <c r="K262" s="70"/>
      <c r="L262" s="70"/>
      <c r="M262" s="70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0"/>
      <c r="J263" s="70"/>
      <c r="K263" s="70"/>
      <c r="L263" s="70"/>
      <c r="M263" s="70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0"/>
      <c r="J264" s="70"/>
      <c r="K264" s="70"/>
      <c r="L264" s="70"/>
      <c r="M264" s="70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0"/>
      <c r="J265" s="70"/>
      <c r="K265" s="70"/>
      <c r="L265" s="70"/>
      <c r="M265" s="70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0"/>
      <c r="J266" s="70"/>
      <c r="K266" s="70"/>
      <c r="L266" s="70"/>
      <c r="M266" s="70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0"/>
      <c r="J267" s="70"/>
      <c r="K267" s="70"/>
      <c r="L267" s="70"/>
      <c r="M267" s="70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0"/>
      <c r="J268" s="70"/>
      <c r="K268" s="70"/>
      <c r="L268" s="70"/>
      <c r="M268" s="70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0"/>
      <c r="J269" s="70"/>
      <c r="K269" s="70"/>
      <c r="L269" s="70"/>
      <c r="M269" s="70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0"/>
      <c r="J270" s="70"/>
      <c r="K270" s="70"/>
      <c r="L270" s="70"/>
      <c r="M270" s="70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0"/>
      <c r="J271" s="70"/>
      <c r="K271" s="70"/>
      <c r="L271" s="70"/>
      <c r="M271" s="70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0"/>
      <c r="J272" s="70"/>
      <c r="K272" s="70"/>
      <c r="L272" s="70"/>
      <c r="M272" s="70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0"/>
      <c r="J273" s="70"/>
      <c r="K273" s="70"/>
      <c r="L273" s="70"/>
      <c r="M273" s="70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0"/>
      <c r="J274" s="70"/>
      <c r="K274" s="70"/>
      <c r="L274" s="70"/>
      <c r="M274" s="70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0"/>
      <c r="J275" s="70"/>
      <c r="K275" s="70"/>
      <c r="L275" s="70"/>
      <c r="M275" s="70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0"/>
      <c r="J276" s="70"/>
      <c r="K276" s="70"/>
      <c r="L276" s="70"/>
      <c r="M276" s="70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0"/>
      <c r="J277" s="70"/>
      <c r="K277" s="70"/>
      <c r="L277" s="70"/>
      <c r="M277" s="70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0"/>
      <c r="J278" s="70"/>
      <c r="K278" s="70"/>
      <c r="L278" s="70"/>
      <c r="M278" s="70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0"/>
      <c r="J279" s="70"/>
      <c r="K279" s="70"/>
      <c r="L279" s="70"/>
      <c r="M279" s="70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0"/>
      <c r="J280" s="70"/>
      <c r="K280" s="70"/>
      <c r="L280" s="70"/>
      <c r="M280" s="70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0"/>
      <c r="J281" s="70"/>
      <c r="K281" s="70"/>
      <c r="L281" s="70"/>
      <c r="M281" s="70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0"/>
      <c r="J282" s="70"/>
      <c r="K282" s="70"/>
      <c r="L282" s="70"/>
      <c r="M282" s="70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0"/>
      <c r="J283" s="70"/>
      <c r="K283" s="70"/>
      <c r="L283" s="70"/>
      <c r="M283" s="70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0"/>
      <c r="J284" s="70"/>
      <c r="K284" s="70"/>
      <c r="L284" s="70"/>
      <c r="M284" s="70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0"/>
      <c r="J285" s="70"/>
      <c r="K285" s="70"/>
      <c r="L285" s="70"/>
      <c r="M285" s="70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0"/>
      <c r="J286" s="70"/>
      <c r="K286" s="70"/>
      <c r="L286" s="70"/>
      <c r="M286" s="70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0"/>
      <c r="J287" s="70"/>
      <c r="K287" s="70"/>
      <c r="L287" s="70"/>
      <c r="M287" s="70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0"/>
      <c r="J288" s="70"/>
      <c r="K288" s="70"/>
      <c r="L288" s="70"/>
      <c r="M288" s="70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0"/>
      <c r="J289" s="70"/>
      <c r="K289" s="70"/>
      <c r="L289" s="70"/>
      <c r="M289" s="70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0"/>
      <c r="J290" s="70"/>
      <c r="K290" s="70"/>
      <c r="L290" s="70"/>
      <c r="M290" s="70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0"/>
      <c r="J291" s="70"/>
      <c r="K291" s="70"/>
      <c r="L291" s="70"/>
      <c r="M291" s="70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0"/>
      <c r="J292" s="70"/>
      <c r="K292" s="70"/>
      <c r="L292" s="70"/>
      <c r="M292" s="70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0"/>
      <c r="J293" s="70"/>
      <c r="K293" s="70"/>
      <c r="L293" s="70"/>
      <c r="M293" s="70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0"/>
      <c r="J294" s="70"/>
      <c r="K294" s="70"/>
      <c r="L294" s="70"/>
      <c r="M294" s="70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0"/>
      <c r="J295" s="70"/>
      <c r="K295" s="70"/>
      <c r="L295" s="70"/>
      <c r="M295" s="70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0"/>
      <c r="J296" s="70"/>
      <c r="K296" s="70"/>
      <c r="L296" s="70"/>
      <c r="M296" s="70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0"/>
      <c r="J297" s="70"/>
      <c r="K297" s="70"/>
      <c r="L297" s="70"/>
      <c r="M297" s="70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0"/>
      <c r="J298" s="70"/>
      <c r="K298" s="70"/>
      <c r="L298" s="70"/>
      <c r="M298" s="70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0"/>
      <c r="J299" s="70"/>
      <c r="K299" s="70"/>
      <c r="L299" s="70"/>
      <c r="M299" s="70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0"/>
      <c r="J300" s="70"/>
      <c r="K300" s="70"/>
      <c r="L300" s="70"/>
      <c r="M300" s="70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0"/>
      <c r="J301" s="70"/>
      <c r="K301" s="70"/>
      <c r="L301" s="70"/>
      <c r="M301" s="70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0"/>
      <c r="J302" s="70"/>
      <c r="K302" s="70"/>
      <c r="L302" s="70"/>
      <c r="M302" s="70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0"/>
      <c r="J303" s="70"/>
      <c r="K303" s="70"/>
      <c r="L303" s="70"/>
      <c r="M303" s="70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0"/>
      <c r="J304" s="70"/>
      <c r="K304" s="70"/>
      <c r="L304" s="70"/>
      <c r="M304" s="70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0"/>
      <c r="J305" s="70"/>
      <c r="K305" s="70"/>
      <c r="L305" s="70"/>
      <c r="M305" s="70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0"/>
      <c r="J306" s="70"/>
      <c r="K306" s="70"/>
      <c r="L306" s="70"/>
      <c r="M306" s="70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0"/>
      <c r="J307" s="70"/>
      <c r="K307" s="70"/>
      <c r="L307" s="70"/>
      <c r="M307" s="70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0"/>
      <c r="J308" s="70"/>
      <c r="K308" s="70"/>
      <c r="L308" s="70"/>
      <c r="M308" s="70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0"/>
      <c r="J309" s="70"/>
      <c r="K309" s="70"/>
      <c r="L309" s="70"/>
      <c r="M309" s="70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0"/>
      <c r="J310" s="70"/>
      <c r="K310" s="70"/>
      <c r="L310" s="70"/>
      <c r="M310" s="70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0"/>
      <c r="J311" s="70"/>
      <c r="K311" s="70"/>
      <c r="L311" s="70"/>
      <c r="M311" s="70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0"/>
      <c r="J312" s="70"/>
      <c r="K312" s="70"/>
      <c r="L312" s="70"/>
      <c r="M312" s="70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0"/>
      <c r="J313" s="70"/>
      <c r="K313" s="70"/>
      <c r="L313" s="70"/>
      <c r="M313" s="70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0"/>
      <c r="J314" s="70"/>
      <c r="K314" s="70"/>
      <c r="L314" s="70"/>
      <c r="M314" s="70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0"/>
      <c r="J315" s="70"/>
      <c r="K315" s="70"/>
      <c r="L315" s="70"/>
      <c r="M315" s="70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0"/>
      <c r="J316" s="70"/>
      <c r="K316" s="70"/>
      <c r="L316" s="70"/>
      <c r="M316" s="70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0"/>
      <c r="J317" s="70"/>
      <c r="K317" s="70"/>
      <c r="L317" s="70"/>
      <c r="M317" s="70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0"/>
      <c r="J318" s="70"/>
      <c r="K318" s="70"/>
      <c r="L318" s="70"/>
      <c r="M318" s="70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0"/>
      <c r="J319" s="70"/>
      <c r="K319" s="70"/>
      <c r="L319" s="70"/>
      <c r="M319" s="70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0"/>
      <c r="J320" s="70"/>
      <c r="K320" s="70"/>
      <c r="L320" s="70"/>
      <c r="M320" s="70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0"/>
      <c r="J321" s="70"/>
      <c r="K321" s="70"/>
      <c r="L321" s="70"/>
      <c r="M321" s="70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0"/>
      <c r="J322" s="70"/>
      <c r="K322" s="70"/>
      <c r="L322" s="70"/>
      <c r="M322" s="70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0"/>
      <c r="J323" s="70"/>
      <c r="K323" s="70"/>
      <c r="L323" s="70"/>
      <c r="M323" s="70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0"/>
      <c r="J324" s="70"/>
      <c r="K324" s="70"/>
      <c r="L324" s="70"/>
      <c r="M324" s="70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0"/>
      <c r="J325" s="70"/>
      <c r="K325" s="70"/>
      <c r="L325" s="70"/>
      <c r="M325" s="70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0"/>
      <c r="J326" s="70"/>
      <c r="K326" s="70"/>
      <c r="L326" s="70"/>
      <c r="M326" s="70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0"/>
      <c r="J327" s="70"/>
      <c r="K327" s="70"/>
      <c r="L327" s="70"/>
      <c r="M327" s="70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0"/>
      <c r="J328" s="70"/>
      <c r="K328" s="70"/>
      <c r="L328" s="70"/>
      <c r="M328" s="70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0"/>
      <c r="J329" s="70"/>
      <c r="K329" s="70"/>
      <c r="L329" s="70"/>
      <c r="M329" s="70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0"/>
      <c r="J330" s="70"/>
      <c r="K330" s="70"/>
      <c r="L330" s="70"/>
      <c r="M330" s="70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0"/>
      <c r="J331" s="70"/>
      <c r="K331" s="70"/>
      <c r="L331" s="70"/>
      <c r="M331" s="70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0"/>
      <c r="J332" s="70"/>
      <c r="K332" s="70"/>
      <c r="L332" s="70"/>
      <c r="M332" s="70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0"/>
      <c r="J333" s="70"/>
      <c r="K333" s="70"/>
      <c r="L333" s="70"/>
      <c r="M333" s="70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0"/>
      <c r="J334" s="70"/>
      <c r="K334" s="70"/>
      <c r="L334" s="70"/>
      <c r="M334" s="70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0"/>
      <c r="J335" s="70"/>
      <c r="K335" s="70"/>
      <c r="L335" s="70"/>
      <c r="M335" s="70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0"/>
      <c r="J336" s="70"/>
      <c r="K336" s="70"/>
      <c r="L336" s="70"/>
      <c r="M336" s="70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0"/>
      <c r="J337" s="70"/>
      <c r="K337" s="70"/>
      <c r="L337" s="70"/>
      <c r="M337" s="70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0"/>
      <c r="J338" s="70"/>
      <c r="K338" s="70"/>
      <c r="L338" s="70"/>
      <c r="M338" s="70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0"/>
      <c r="J339" s="70"/>
      <c r="K339" s="70"/>
      <c r="L339" s="70"/>
      <c r="M339" s="70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0"/>
      <c r="J340" s="70"/>
      <c r="K340" s="70"/>
      <c r="L340" s="70"/>
      <c r="M340" s="70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0"/>
      <c r="J341" s="70"/>
      <c r="K341" s="70"/>
      <c r="L341" s="70"/>
      <c r="M341" s="70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0"/>
      <c r="J342" s="70"/>
      <c r="K342" s="70"/>
      <c r="L342" s="70"/>
      <c r="M342" s="70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0"/>
      <c r="J343" s="70"/>
      <c r="K343" s="70"/>
      <c r="L343" s="70"/>
      <c r="M343" s="70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0"/>
      <c r="J344" s="70"/>
      <c r="K344" s="70"/>
      <c r="L344" s="70"/>
      <c r="M344" s="70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0"/>
      <c r="J345" s="70"/>
      <c r="K345" s="70"/>
      <c r="L345" s="70"/>
      <c r="M345" s="70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0"/>
      <c r="J346" s="70"/>
      <c r="K346" s="70"/>
      <c r="L346" s="70"/>
      <c r="M346" s="70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0"/>
      <c r="J347" s="70"/>
      <c r="K347" s="70"/>
      <c r="L347" s="70"/>
      <c r="M347" s="70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0"/>
      <c r="J348" s="70"/>
      <c r="K348" s="70"/>
      <c r="L348" s="70"/>
      <c r="M348" s="70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0"/>
      <c r="J349" s="70"/>
      <c r="K349" s="70"/>
      <c r="L349" s="70"/>
      <c r="M349" s="70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0"/>
      <c r="J350" s="70"/>
      <c r="K350" s="70"/>
      <c r="L350" s="70"/>
      <c r="M350" s="70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0"/>
      <c r="J351" s="70"/>
      <c r="K351" s="70"/>
      <c r="L351" s="70"/>
      <c r="M351" s="70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0"/>
      <c r="J352" s="70"/>
      <c r="K352" s="70"/>
      <c r="L352" s="70"/>
      <c r="M352" s="70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0"/>
      <c r="J353" s="70"/>
      <c r="K353" s="70"/>
      <c r="L353" s="70"/>
      <c r="M353" s="70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0"/>
      <c r="J354" s="70"/>
      <c r="K354" s="70"/>
      <c r="L354" s="70"/>
      <c r="M354" s="70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0"/>
      <c r="J355" s="70"/>
      <c r="K355" s="70"/>
      <c r="L355" s="70"/>
      <c r="M355" s="70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0"/>
      <c r="J356" s="70"/>
      <c r="K356" s="70"/>
      <c r="L356" s="70"/>
      <c r="M356" s="70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zoomScale="55" zoomScaleNormal="55" workbookViewId="0">
      <selection activeCell="I26" sqref="I26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0"/>
      <c r="G1" s="70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7" t="s">
        <v>272</v>
      </c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1" customFormat="1" x14ac:dyDescent="0.3">
      <c r="A3" s="98"/>
      <c r="B3" s="98"/>
      <c r="C3" s="98"/>
      <c r="D3" s="98"/>
      <c r="E3" s="98"/>
      <c r="F3" s="179"/>
      <c r="G3" s="179"/>
      <c r="H3" s="180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</row>
    <row r="4" spans="1:42" s="201" customFormat="1" x14ac:dyDescent="0.3">
      <c r="A4" s="98"/>
      <c r="B4" s="98"/>
      <c r="C4" s="98"/>
      <c r="D4" s="98"/>
      <c r="E4" s="98"/>
      <c r="G4" s="179"/>
      <c r="H4" s="325" t="s">
        <v>315</v>
      </c>
      <c r="I4" s="325"/>
      <c r="K4" s="322" t="s">
        <v>253</v>
      </c>
      <c r="L4" s="323"/>
      <c r="M4" s="267">
        <v>4.4999999999999998E-2</v>
      </c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</row>
    <row r="5" spans="1:42" s="201" customFormat="1" x14ac:dyDescent="0.3">
      <c r="A5" s="98"/>
      <c r="B5" s="98"/>
      <c r="C5" s="98"/>
      <c r="D5" s="98"/>
      <c r="E5" s="98"/>
      <c r="G5" s="179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</row>
    <row r="6" spans="1:42" s="201" customFormat="1" ht="15" thickBot="1" x14ac:dyDescent="0.35">
      <c r="A6" s="98"/>
      <c r="B6" s="98"/>
      <c r="C6" s="98"/>
      <c r="D6" s="98"/>
      <c r="E6" s="98"/>
      <c r="F6" s="228"/>
      <c r="G6" s="179"/>
      <c r="H6" s="181"/>
      <c r="I6" s="181"/>
      <c r="J6" s="181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</row>
    <row r="7" spans="1:42" s="201" customFormat="1" ht="27.75" customHeight="1" thickBot="1" x14ac:dyDescent="0.55000000000000004">
      <c r="A7" s="274"/>
      <c r="B7" s="275"/>
      <c r="C7" s="275"/>
      <c r="D7" s="275"/>
      <c r="E7" s="276"/>
      <c r="F7" s="276" t="s">
        <v>192</v>
      </c>
      <c r="G7" s="277"/>
      <c r="H7" s="275"/>
      <c r="I7" s="275"/>
      <c r="J7" s="278"/>
      <c r="K7" s="272"/>
      <c r="L7" s="273"/>
      <c r="M7" s="273"/>
      <c r="N7" s="279" t="s">
        <v>191</v>
      </c>
      <c r="O7" s="279"/>
      <c r="P7" s="280"/>
      <c r="Q7" s="281"/>
      <c r="R7" s="333" t="s">
        <v>310</v>
      </c>
      <c r="S7" s="334"/>
      <c r="T7" s="334"/>
      <c r="U7" s="334"/>
      <c r="V7" s="335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  <c r="AM7" s="98"/>
      <c r="AN7" s="98"/>
      <c r="AO7" s="98"/>
      <c r="AP7" s="98"/>
    </row>
    <row r="8" spans="1:42" x14ac:dyDescent="0.3">
      <c r="A8" s="25"/>
      <c r="C8" s="25"/>
      <c r="D8" s="25"/>
      <c r="E8" s="25"/>
      <c r="F8" s="220"/>
      <c r="G8" s="220"/>
      <c r="H8" s="5"/>
      <c r="I8" s="5"/>
      <c r="J8" s="213"/>
      <c r="K8" s="224"/>
      <c r="L8" s="25"/>
      <c r="M8" s="25"/>
      <c r="N8" s="25"/>
      <c r="O8" s="25"/>
      <c r="P8" s="25"/>
      <c r="Q8" s="264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59" t="s">
        <v>311</v>
      </c>
      <c r="C9" s="25"/>
      <c r="D9" s="25"/>
      <c r="E9" s="25"/>
      <c r="F9" s="260"/>
      <c r="G9" s="259" t="s">
        <v>314</v>
      </c>
      <c r="J9" s="213"/>
      <c r="K9" s="224"/>
      <c r="O9" s="25"/>
      <c r="P9" s="25"/>
      <c r="Q9" s="264"/>
      <c r="R9" s="25"/>
      <c r="S9" s="5"/>
      <c r="T9" s="184" t="s">
        <v>262</v>
      </c>
      <c r="U9" s="187" t="s">
        <v>249</v>
      </c>
      <c r="V9" s="184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59" t="s">
        <v>317</v>
      </c>
      <c r="C10" s="25"/>
      <c r="D10" s="25"/>
      <c r="E10" s="25"/>
      <c r="F10" s="260"/>
      <c r="G10" s="259" t="s">
        <v>316</v>
      </c>
      <c r="J10" s="213"/>
      <c r="K10" s="224"/>
      <c r="O10" s="25"/>
      <c r="P10" s="25"/>
      <c r="Q10" s="264"/>
      <c r="R10" s="25"/>
      <c r="S10" s="184" t="str">
        <f>B14</f>
        <v>Robinier faux-acacia</v>
      </c>
      <c r="T10" s="188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2009.4688937137312</v>
      </c>
      <c r="U10" s="189">
        <f>'Données projet'!D9</f>
        <v>0.59986000000000006</v>
      </c>
      <c r="V10" s="188">
        <f>U10*T10</f>
        <v>1205.400010583119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59" t="s">
        <v>312</v>
      </c>
      <c r="B11" s="25"/>
      <c r="C11" s="25"/>
      <c r="D11" s="25"/>
      <c r="E11" s="25"/>
      <c r="F11" s="260"/>
      <c r="G11" s="259" t="s">
        <v>313</v>
      </c>
      <c r="J11" s="213"/>
      <c r="K11" s="224"/>
      <c r="M11" s="5"/>
      <c r="N11" s="5"/>
      <c r="O11" s="25"/>
      <c r="P11" s="25"/>
      <c r="Q11" s="264"/>
      <c r="R11" s="25"/>
      <c r="S11" s="184" t="str">
        <f>B45</f>
        <v>Chêne sessile</v>
      </c>
      <c r="T11" s="271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709.40710147359903</v>
      </c>
      <c r="U11" s="189">
        <f>'Données projet'!D10</f>
        <v>0.94340000000000002</v>
      </c>
      <c r="V11" s="188">
        <f t="shared" ref="V11" si="0">U11*T11</f>
        <v>669.25465953019329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0"/>
      <c r="G12" s="1"/>
      <c r="J12" s="213"/>
      <c r="K12" s="224"/>
      <c r="L12" s="216"/>
      <c r="M12" s="25"/>
      <c r="N12" s="25"/>
      <c r="O12" s="25"/>
      <c r="P12" s="25"/>
      <c r="Q12" s="264"/>
      <c r="R12" s="25"/>
      <c r="S12" s="184" t="str">
        <f>B76</f>
        <v>Alisier torminal</v>
      </c>
      <c r="T12" s="271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709.40710147359903</v>
      </c>
      <c r="U12" s="189">
        <f>'Données projet'!D11</f>
        <v>0.11748</v>
      </c>
      <c r="V12" s="188">
        <f t="shared" ref="V12:V19" si="1">U12*T12</f>
        <v>83.341146281118412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0"/>
      <c r="J13" s="25"/>
      <c r="K13" s="224"/>
      <c r="L13" s="183" t="s">
        <v>257</v>
      </c>
      <c r="M13" s="25"/>
      <c r="N13" s="25"/>
      <c r="O13" s="25"/>
      <c r="P13" s="25"/>
      <c r="Q13" s="264"/>
      <c r="R13" s="25"/>
      <c r="S13" s="184" t="str">
        <f>B107</f>
        <v>Merisier</v>
      </c>
      <c r="T13" s="271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3089.9985773232406</v>
      </c>
      <c r="U13" s="189">
        <f>'Données projet'!D12</f>
        <v>0.11748</v>
      </c>
      <c r="V13" s="188">
        <f t="shared" si="1"/>
        <v>363.01303286393431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5" t="str">
        <f>IF('Données projet'!$B$9="","",'Données projet'!$B$9)</f>
        <v>Robinier faux-acacia</v>
      </c>
      <c r="C14" s="5"/>
      <c r="D14" s="5"/>
      <c r="E14" s="5"/>
      <c r="F14" s="260"/>
      <c r="G14" s="220"/>
      <c r="H14" s="184" t="s">
        <v>178</v>
      </c>
      <c r="I14" s="184" t="s">
        <v>290</v>
      </c>
      <c r="J14" s="214"/>
      <c r="K14" s="182"/>
      <c r="L14" s="216"/>
      <c r="M14" s="25"/>
      <c r="N14" s="25"/>
      <c r="O14" s="5"/>
      <c r="P14" s="5"/>
      <c r="Q14" s="265"/>
      <c r="R14" s="5"/>
      <c r="S14" s="184" t="str">
        <f>B138</f>
        <v/>
      </c>
      <c r="T14" s="271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89">
        <f>'Données projet'!D13</f>
        <v>0</v>
      </c>
      <c r="V14" s="188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0"/>
      <c r="G15" s="326" t="s">
        <v>318</v>
      </c>
      <c r="H15" s="202"/>
      <c r="I15" s="203"/>
      <c r="J15" s="215"/>
      <c r="K15" s="224"/>
      <c r="L15" s="216"/>
      <c r="M15" s="25"/>
      <c r="N15" s="25"/>
      <c r="O15" s="25"/>
      <c r="P15" s="25"/>
      <c r="Q15" s="264"/>
      <c r="R15" s="25"/>
      <c r="S15" s="184" t="str">
        <f>B169</f>
        <v/>
      </c>
      <c r="T15" s="271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89">
        <f>'Données projet'!D14</f>
        <v>0</v>
      </c>
      <c r="V15" s="188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6" t="s">
        <v>180</v>
      </c>
      <c r="B16" s="51" t="s">
        <v>256</v>
      </c>
      <c r="C16" s="51" t="s">
        <v>255</v>
      </c>
      <c r="D16" s="256" t="s">
        <v>252</v>
      </c>
      <c r="E16" s="256" t="s">
        <v>320</v>
      </c>
      <c r="F16" s="260"/>
      <c r="G16" s="326"/>
      <c r="H16" s="202"/>
      <c r="I16" s="203"/>
      <c r="J16" s="215"/>
      <c r="K16" s="224"/>
      <c r="L16" s="322" t="s">
        <v>254</v>
      </c>
      <c r="M16" s="323"/>
      <c r="N16" s="2"/>
      <c r="O16" s="25"/>
      <c r="P16" s="25"/>
      <c r="Q16" s="264"/>
      <c r="R16" s="25"/>
      <c r="S16" s="184" t="str">
        <f>B200</f>
        <v/>
      </c>
      <c r="T16" s="271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89">
        <f>'Données projet'!D15</f>
        <v>0</v>
      </c>
      <c r="V16" s="188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09">
        <v>0</v>
      </c>
      <c r="B17" s="212" t="s">
        <v>132</v>
      </c>
      <c r="C17" s="211" t="s">
        <v>132</v>
      </c>
      <c r="D17" s="210" t="s">
        <v>132</v>
      </c>
      <c r="E17" s="205"/>
      <c r="F17" s="260"/>
      <c r="G17" s="326"/>
      <c r="J17" s="215"/>
      <c r="K17" s="224"/>
      <c r="L17" s="293" t="s">
        <v>289</v>
      </c>
      <c r="M17" s="295"/>
      <c r="N17" s="186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4"/>
      <c r="R17" s="25"/>
      <c r="S17" s="184" t="str">
        <f>B231</f>
        <v/>
      </c>
      <c r="T17" s="271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9">
        <f>'Données projet'!D16</f>
        <v>0</v>
      </c>
      <c r="V17" s="188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09">
        <v>1</v>
      </c>
      <c r="B18" s="212" t="s">
        <v>132</v>
      </c>
      <c r="C18" s="211" t="s">
        <v>132</v>
      </c>
      <c r="D18" s="210" t="s">
        <v>132</v>
      </c>
      <c r="E18" s="205"/>
      <c r="F18" s="260"/>
      <c r="G18" s="326"/>
      <c r="J18" s="215"/>
      <c r="K18" s="224"/>
      <c r="L18" s="293" t="s">
        <v>255</v>
      </c>
      <c r="M18" s="295"/>
      <c r="N18" s="204"/>
      <c r="O18" s="25"/>
      <c r="P18" s="25"/>
      <c r="Q18" s="264"/>
      <c r="R18" s="25"/>
      <c r="S18" s="184" t="str">
        <f>B262</f>
        <v/>
      </c>
      <c r="T18" s="271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9">
        <f>'Données projet'!D17</f>
        <v>0</v>
      </c>
      <c r="V18" s="188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09">
        <v>2</v>
      </c>
      <c r="B19" s="212" t="s">
        <v>132</v>
      </c>
      <c r="C19" s="211" t="s">
        <v>132</v>
      </c>
      <c r="D19" s="210" t="s">
        <v>132</v>
      </c>
      <c r="E19" s="205"/>
      <c r="F19" s="260"/>
      <c r="G19" s="326"/>
      <c r="H19" s="231" t="s">
        <v>178</v>
      </c>
      <c r="I19" s="231" t="s">
        <v>287</v>
      </c>
      <c r="J19" s="259"/>
      <c r="K19" s="182"/>
      <c r="L19" s="322" t="s">
        <v>288</v>
      </c>
      <c r="M19" s="323"/>
      <c r="N19" s="190">
        <f>N17*N18</f>
        <v>0</v>
      </c>
      <c r="O19" s="25"/>
      <c r="P19" s="5"/>
      <c r="Q19" s="265"/>
      <c r="R19" s="5"/>
      <c r="S19" s="184" t="str">
        <f>B293</f>
        <v/>
      </c>
      <c r="T19" s="271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9">
        <f>'Données projet'!D18</f>
        <v>0</v>
      </c>
      <c r="V19" s="188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09">
        <v>3</v>
      </c>
      <c r="B20" s="212" t="s">
        <v>132</v>
      </c>
      <c r="C20" s="211" t="s">
        <v>132</v>
      </c>
      <c r="D20" s="210" t="s">
        <v>132</v>
      </c>
      <c r="E20" s="205"/>
      <c r="F20" s="260"/>
      <c r="G20" s="326"/>
      <c r="H20" s="202">
        <v>0</v>
      </c>
      <c r="I20" s="203">
        <v>6000</v>
      </c>
      <c r="J20" s="5"/>
      <c r="K20" s="182"/>
      <c r="O20" s="25"/>
      <c r="P20" s="5"/>
      <c r="Q20" s="265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09">
        <v>4</v>
      </c>
      <c r="B21" s="212" t="s">
        <v>132</v>
      </c>
      <c r="C21" s="211" t="s">
        <v>132</v>
      </c>
      <c r="D21" s="210" t="s">
        <v>132</v>
      </c>
      <c r="E21" s="205"/>
      <c r="F21" s="260"/>
      <c r="H21" s="202"/>
      <c r="I21" s="203"/>
      <c r="K21" s="182"/>
      <c r="O21" s="25"/>
      <c r="P21" s="5"/>
      <c r="Q21" s="265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09">
        <v>5</v>
      </c>
      <c r="B22" s="212" t="s">
        <v>132</v>
      </c>
      <c r="C22" s="211" t="s">
        <v>132</v>
      </c>
      <c r="D22" s="210" t="s">
        <v>132</v>
      </c>
      <c r="E22" s="205"/>
      <c r="F22" s="260"/>
      <c r="H22" s="202"/>
      <c r="I22" s="203"/>
      <c r="K22" s="182"/>
      <c r="O22" s="25"/>
      <c r="P22" s="5"/>
      <c r="Q22" s="265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1">
        <f>'Données projet'!A36</f>
        <v>5</v>
      </c>
      <c r="B23" s="192">
        <f>'Données projet'!D36</f>
        <v>0</v>
      </c>
      <c r="C23" s="205"/>
      <c r="D23" s="193">
        <f>B23*C23</f>
        <v>0</v>
      </c>
      <c r="E23" s="205"/>
      <c r="F23" s="260"/>
      <c r="H23" s="202"/>
      <c r="I23" s="203"/>
      <c r="K23" s="224"/>
      <c r="L23" s="324" t="s">
        <v>260</v>
      </c>
      <c r="M23" s="324"/>
      <c r="N23" s="324"/>
      <c r="O23" s="25"/>
      <c r="P23" s="25"/>
      <c r="Q23" s="264"/>
      <c r="R23" s="25"/>
      <c r="S23" s="184" t="s">
        <v>264</v>
      </c>
      <c r="T23" s="33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-8358.9911507416346</v>
      </c>
      <c r="U23" s="338"/>
      <c r="V23" s="338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1">
        <f>'Données projet'!A37</f>
        <v>10</v>
      </c>
      <c r="B24" s="192">
        <f>'Données projet'!D37</f>
        <v>17</v>
      </c>
      <c r="C24" s="205">
        <v>10</v>
      </c>
      <c r="D24" s="193">
        <f t="shared" ref="D24:D42" si="2">B24*C24</f>
        <v>170</v>
      </c>
      <c r="E24" s="205"/>
      <c r="F24" s="263"/>
      <c r="H24" s="202"/>
      <c r="I24" s="203"/>
      <c r="K24" s="224"/>
      <c r="O24" s="25"/>
      <c r="P24" s="25"/>
      <c r="Q24" s="264"/>
      <c r="R24" s="25"/>
      <c r="S24" s="184" t="s">
        <v>261</v>
      </c>
      <c r="T24" s="339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9"/>
      <c r="V24" s="339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1">
        <f>'Données projet'!A38</f>
        <v>15</v>
      </c>
      <c r="B25" s="192">
        <f>'Données projet'!D38</f>
        <v>13</v>
      </c>
      <c r="C25" s="205">
        <v>10</v>
      </c>
      <c r="D25" s="193">
        <f t="shared" si="2"/>
        <v>130</v>
      </c>
      <c r="E25" s="205"/>
      <c r="F25" s="263"/>
      <c r="G25" s="1"/>
      <c r="H25" s="202"/>
      <c r="I25" s="203"/>
      <c r="K25" s="224"/>
      <c r="L25" s="270" t="s">
        <v>285</v>
      </c>
      <c r="M25" s="270"/>
      <c r="N25" s="270"/>
      <c r="O25" s="270"/>
      <c r="P25" s="204"/>
      <c r="Q25" s="264"/>
      <c r="R25" s="25"/>
      <c r="S25" s="197" t="s">
        <v>266</v>
      </c>
      <c r="T25" s="340">
        <f ca="1">T23-T24</f>
        <v>-8358.9911507416346</v>
      </c>
      <c r="U25" s="340"/>
      <c r="V25" s="340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1">
        <f>'Données projet'!A39</f>
        <v>20</v>
      </c>
      <c r="B26" s="192">
        <f>'Données projet'!D39</f>
        <v>10</v>
      </c>
      <c r="C26" s="205">
        <v>15</v>
      </c>
      <c r="D26" s="193">
        <f t="shared" si="2"/>
        <v>150</v>
      </c>
      <c r="E26" s="205"/>
      <c r="F26" s="263"/>
      <c r="G26" s="258"/>
      <c r="H26" s="202"/>
      <c r="I26" s="203"/>
      <c r="K26" s="224"/>
      <c r="L26" s="327" t="s">
        <v>258</v>
      </c>
      <c r="M26" s="328"/>
      <c r="N26" s="328"/>
      <c r="O26" s="328"/>
      <c r="P26" s="329"/>
      <c r="Q26" s="264"/>
      <c r="R26" s="25"/>
      <c r="S26" s="197" t="s">
        <v>265</v>
      </c>
      <c r="T26" s="337" t="str">
        <f ca="1">IF(T25&lt;0,"Votre projet est additionnel","Votre projet n'est pas additionnel")</f>
        <v>Votre projet est additionnel</v>
      </c>
      <c r="U26" s="337"/>
      <c r="V26" s="337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1">
        <f>'Données projet'!A40</f>
        <v>25</v>
      </c>
      <c r="B27" s="192">
        <f>'Données projet'!D40</f>
        <v>8</v>
      </c>
      <c r="C27" s="205">
        <v>15</v>
      </c>
      <c r="D27" s="193">
        <f t="shared" si="2"/>
        <v>120</v>
      </c>
      <c r="E27" s="205"/>
      <c r="F27" s="263"/>
      <c r="G27" s="258"/>
      <c r="H27" s="202"/>
      <c r="I27" s="203"/>
      <c r="K27" s="224"/>
      <c r="L27" s="330"/>
      <c r="M27" s="331"/>
      <c r="N27" s="331"/>
      <c r="O27" s="331"/>
      <c r="P27" s="332"/>
      <c r="Q27" s="264"/>
      <c r="R27" s="25"/>
      <c r="S27" s="336" t="s">
        <v>267</v>
      </c>
      <c r="T27" s="336"/>
      <c r="U27" s="336"/>
      <c r="V27" s="336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1">
        <f>'Données projet'!A41</f>
        <v>30</v>
      </c>
      <c r="B28" s="192">
        <f>'Données projet'!D41</f>
        <v>6</v>
      </c>
      <c r="C28" s="205">
        <v>20</v>
      </c>
      <c r="D28" s="193">
        <f t="shared" si="2"/>
        <v>120</v>
      </c>
      <c r="E28" s="205"/>
      <c r="F28" s="263"/>
      <c r="G28" s="221"/>
      <c r="H28" s="202"/>
      <c r="I28" s="203"/>
      <c r="K28" s="224"/>
      <c r="Q28" s="264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1">
        <f>'Données projet'!A42</f>
        <v>35</v>
      </c>
      <c r="B29" s="192">
        <f>'Données projet'!D42</f>
        <v>5</v>
      </c>
      <c r="C29" s="205">
        <v>30</v>
      </c>
      <c r="D29" s="193">
        <f t="shared" si="2"/>
        <v>150</v>
      </c>
      <c r="E29" s="205"/>
      <c r="F29" s="263"/>
      <c r="G29" s="217"/>
      <c r="H29" s="202"/>
      <c r="I29" s="203"/>
      <c r="K29" s="224"/>
      <c r="O29" s="25"/>
      <c r="P29" s="25"/>
      <c r="Q29" s="264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1">
        <f>'Données projet'!A43</f>
        <v>40</v>
      </c>
      <c r="B30" s="192">
        <f>'Données projet'!D43</f>
        <v>4</v>
      </c>
      <c r="C30" s="205">
        <v>40</v>
      </c>
      <c r="D30" s="193">
        <f t="shared" si="2"/>
        <v>160</v>
      </c>
      <c r="E30" s="205"/>
      <c r="F30" s="263"/>
      <c r="G30" s="217"/>
      <c r="H30" s="202"/>
      <c r="I30" s="203"/>
      <c r="K30" s="194"/>
      <c r="L30" s="184" t="s">
        <v>259</v>
      </c>
      <c r="M30" s="195">
        <f ca="1">SUM(OFFSET($P$33,0,0,MIN('Données projet'!$E$9:$E$18)+1,1))</f>
        <v>0</v>
      </c>
      <c r="O30" s="5"/>
      <c r="P30" s="5"/>
      <c r="Q30" s="265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1">
        <f>'Données projet'!A44</f>
        <v>45</v>
      </c>
      <c r="B31" s="192">
        <f>'Données projet'!D44</f>
        <v>198</v>
      </c>
      <c r="C31" s="205">
        <v>60</v>
      </c>
      <c r="D31" s="193">
        <f t="shared" si="2"/>
        <v>11880</v>
      </c>
      <c r="E31" s="205"/>
      <c r="F31" s="263"/>
      <c r="G31" s="217"/>
      <c r="H31" s="202"/>
      <c r="I31" s="203"/>
      <c r="K31" s="182"/>
      <c r="Q31" s="264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1">
        <f>'Données projet'!A45</f>
        <v>0</v>
      </c>
      <c r="B32" s="192">
        <f>'Données projet'!D45</f>
        <v>0</v>
      </c>
      <c r="C32" s="205"/>
      <c r="D32" s="193">
        <f t="shared" si="2"/>
        <v>0</v>
      </c>
      <c r="E32" s="205"/>
      <c r="F32" s="263"/>
      <c r="G32" s="217"/>
      <c r="H32" s="202"/>
      <c r="I32" s="203"/>
      <c r="K32" s="182"/>
      <c r="N32" s="5"/>
      <c r="O32" s="269" t="s">
        <v>178</v>
      </c>
      <c r="P32" s="269" t="s">
        <v>252</v>
      </c>
      <c r="Q32" s="264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1">
        <f>'Données projet'!A46</f>
        <v>0</v>
      </c>
      <c r="B33" s="192">
        <f>'Données projet'!D46</f>
        <v>0</v>
      </c>
      <c r="C33" s="205"/>
      <c r="D33" s="193">
        <f t="shared" si="2"/>
        <v>0</v>
      </c>
      <c r="E33" s="205"/>
      <c r="F33" s="263"/>
      <c r="G33" s="217"/>
      <c r="H33" s="202"/>
      <c r="I33" s="203"/>
      <c r="K33" s="182"/>
      <c r="L33" s="5"/>
      <c r="M33" s="5"/>
      <c r="N33" s="5"/>
      <c r="O33" s="206">
        <v>0</v>
      </c>
      <c r="P33" s="196">
        <f t="shared" ref="P33:P64" si="3">$P$25/(1+$M$4)^O33</f>
        <v>0</v>
      </c>
      <c r="Q33" s="264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1">
        <f>'Données projet'!A47</f>
        <v>0</v>
      </c>
      <c r="B34" s="192">
        <f>'Données projet'!D47</f>
        <v>0</v>
      </c>
      <c r="C34" s="205"/>
      <c r="D34" s="193">
        <f t="shared" si="2"/>
        <v>0</v>
      </c>
      <c r="E34" s="205"/>
      <c r="F34" s="263"/>
      <c r="G34" s="217"/>
      <c r="H34" s="202"/>
      <c r="I34" s="203"/>
      <c r="K34" s="182"/>
      <c r="L34" s="283"/>
      <c r="M34" s="283"/>
      <c r="N34" s="284"/>
      <c r="O34" s="206">
        <f>IF(O33+1&lt;=MIN('Données projet'!$E$9:$E$18),O33+1,"STOP")</f>
        <v>1</v>
      </c>
      <c r="P34" s="196">
        <f t="shared" si="3"/>
        <v>0</v>
      </c>
      <c r="Q34" s="264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1">
        <f>'Données projet'!A48</f>
        <v>0</v>
      </c>
      <c r="B35" s="192">
        <f>'Données projet'!D48</f>
        <v>0</v>
      </c>
      <c r="C35" s="205"/>
      <c r="D35" s="193">
        <f t="shared" si="2"/>
        <v>0</v>
      </c>
      <c r="E35" s="205"/>
      <c r="F35" s="263"/>
      <c r="G35" s="217"/>
      <c r="H35" s="202"/>
      <c r="I35" s="203"/>
      <c r="K35" s="182"/>
      <c r="L35" s="283"/>
      <c r="M35" s="283"/>
      <c r="N35" s="284"/>
      <c r="O35" s="206">
        <f>IF(O34+1&lt;=MIN('Données projet'!$E$9:$E$18),O34+1,"STOP")</f>
        <v>2</v>
      </c>
      <c r="P35" s="196">
        <f t="shared" si="3"/>
        <v>0</v>
      </c>
      <c r="Q35" s="264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1">
        <f>'Données projet'!A49</f>
        <v>0</v>
      </c>
      <c r="B36" s="192">
        <f>'Données projet'!D49</f>
        <v>0</v>
      </c>
      <c r="C36" s="205"/>
      <c r="D36" s="193">
        <f t="shared" si="2"/>
        <v>0</v>
      </c>
      <c r="E36" s="205"/>
      <c r="F36" s="263"/>
      <c r="G36" s="217"/>
      <c r="H36" s="202"/>
      <c r="I36" s="203"/>
      <c r="K36" s="182"/>
      <c r="L36" s="25"/>
      <c r="M36" s="25"/>
      <c r="N36" s="25"/>
      <c r="O36" s="206">
        <f>IF(O35+1&lt;=MIN('Données projet'!$E$9:$E$18),O35+1,"STOP")</f>
        <v>3</v>
      </c>
      <c r="P36" s="196">
        <f t="shared" si="3"/>
        <v>0</v>
      </c>
      <c r="Q36" s="264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1">
        <f>'Données projet'!A50</f>
        <v>0</v>
      </c>
      <c r="B37" s="192">
        <f>'Données projet'!D50</f>
        <v>0</v>
      </c>
      <c r="C37" s="205"/>
      <c r="D37" s="193">
        <f t="shared" si="2"/>
        <v>0</v>
      </c>
      <c r="E37" s="205"/>
      <c r="F37" s="263"/>
      <c r="G37" s="217"/>
      <c r="H37" s="202"/>
      <c r="I37" s="203"/>
      <c r="K37" s="182"/>
      <c r="L37" s="25"/>
      <c r="M37" s="25"/>
      <c r="N37" s="25"/>
      <c r="O37" s="206">
        <f>IF(O36+1&lt;=MIN('Données projet'!$E$9:$E$18),O36+1,"STOP")</f>
        <v>4</v>
      </c>
      <c r="P37" s="196">
        <f t="shared" si="3"/>
        <v>0</v>
      </c>
      <c r="Q37" s="264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1">
        <f>'Données projet'!A51</f>
        <v>0</v>
      </c>
      <c r="B38" s="192">
        <f>'Données projet'!D51</f>
        <v>0</v>
      </c>
      <c r="C38" s="205"/>
      <c r="D38" s="193">
        <f t="shared" si="2"/>
        <v>0</v>
      </c>
      <c r="E38" s="205"/>
      <c r="F38" s="263"/>
      <c r="G38" s="217"/>
      <c r="H38" s="202"/>
      <c r="I38" s="203"/>
      <c r="K38" s="182"/>
      <c r="L38" s="25"/>
      <c r="M38" s="25"/>
      <c r="N38" s="25"/>
      <c r="O38" s="206">
        <f>IF(O37+1&lt;=MIN('Données projet'!$E$9:$E$18),O37+1,"STOP")</f>
        <v>5</v>
      </c>
      <c r="P38" s="196">
        <f t="shared" si="3"/>
        <v>0</v>
      </c>
      <c r="Q38" s="264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1">
        <f>'Données projet'!A52</f>
        <v>0</v>
      </c>
      <c r="B39" s="192">
        <f>'Données projet'!D52</f>
        <v>0</v>
      </c>
      <c r="C39" s="205"/>
      <c r="D39" s="193">
        <f t="shared" si="2"/>
        <v>0</v>
      </c>
      <c r="E39" s="205"/>
      <c r="F39" s="263"/>
      <c r="G39" s="217"/>
      <c r="H39" s="202"/>
      <c r="I39" s="203"/>
      <c r="K39" s="224"/>
      <c r="L39" s="25"/>
      <c r="M39" s="25"/>
      <c r="N39" s="25"/>
      <c r="O39" s="206">
        <f>IF(O38+1&lt;=MIN('Données projet'!$E$9:$E$18),O38+1,"STOP")</f>
        <v>6</v>
      </c>
      <c r="P39" s="196">
        <f t="shared" si="3"/>
        <v>0</v>
      </c>
      <c r="Q39" s="264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1">
        <f>'Données projet'!A53</f>
        <v>0</v>
      </c>
      <c r="B40" s="192">
        <f>'Données projet'!D53</f>
        <v>0</v>
      </c>
      <c r="C40" s="205"/>
      <c r="D40" s="193">
        <f t="shared" si="2"/>
        <v>0</v>
      </c>
      <c r="E40" s="205"/>
      <c r="F40" s="263"/>
      <c r="G40" s="217"/>
      <c r="H40" s="202"/>
      <c r="I40" s="203"/>
      <c r="K40" s="224"/>
      <c r="L40" s="25"/>
      <c r="M40" s="25"/>
      <c r="N40" s="25"/>
      <c r="O40" s="206">
        <f>IF(O39+1&lt;=MIN('Données projet'!$E$9:$E$18),O39+1,"STOP")</f>
        <v>7</v>
      </c>
      <c r="P40" s="196">
        <f t="shared" si="3"/>
        <v>0</v>
      </c>
      <c r="Q40" s="264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1">
        <f>'Données projet'!A54</f>
        <v>0</v>
      </c>
      <c r="B41" s="192">
        <f>'Données projet'!D54</f>
        <v>0</v>
      </c>
      <c r="C41" s="205"/>
      <c r="D41" s="193">
        <f t="shared" si="2"/>
        <v>0</v>
      </c>
      <c r="E41" s="205"/>
      <c r="F41" s="263"/>
      <c r="G41" s="217"/>
      <c r="H41" s="202"/>
      <c r="I41" s="203"/>
      <c r="K41" s="224"/>
      <c r="L41" s="25"/>
      <c r="M41" s="25"/>
      <c r="N41" s="25"/>
      <c r="O41" s="206">
        <f>IF(O40+1&lt;=MIN('Données projet'!$E$9:$E$18),O40+1,"STOP")</f>
        <v>8</v>
      </c>
      <c r="P41" s="196">
        <f t="shared" si="3"/>
        <v>0</v>
      </c>
      <c r="Q41" s="264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1">
        <f>'Données projet'!A55</f>
        <v>0</v>
      </c>
      <c r="B42" s="192">
        <f>'Données projet'!D55</f>
        <v>0</v>
      </c>
      <c r="C42" s="205"/>
      <c r="D42" s="193">
        <f t="shared" si="2"/>
        <v>0</v>
      </c>
      <c r="E42" s="205"/>
      <c r="F42" s="263"/>
      <c r="G42" s="217"/>
      <c r="H42" s="202"/>
      <c r="I42" s="203"/>
      <c r="K42" s="224"/>
      <c r="L42" s="25"/>
      <c r="M42" s="25"/>
      <c r="N42" s="25"/>
      <c r="O42" s="206">
        <f>IF(O41+1&lt;=MIN('Données projet'!$E$9:$E$18),O41+1,"STOP")</f>
        <v>9</v>
      </c>
      <c r="P42" s="196">
        <f t="shared" si="3"/>
        <v>0</v>
      </c>
      <c r="Q42" s="264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8"/>
      <c r="B43" s="198"/>
      <c r="C43" s="198"/>
      <c r="D43" s="255"/>
      <c r="E43" s="255"/>
      <c r="F43" s="268"/>
      <c r="G43" s="217"/>
      <c r="H43" s="202"/>
      <c r="I43" s="203"/>
      <c r="K43" s="224"/>
      <c r="L43" s="25"/>
      <c r="M43" s="25"/>
      <c r="N43" s="25"/>
      <c r="O43" s="206">
        <f>IF(O42+1&lt;=MIN('Données projet'!$E$9:$E$18),O42+1,"STOP")</f>
        <v>10</v>
      </c>
      <c r="P43" s="196">
        <f t="shared" si="3"/>
        <v>0</v>
      </c>
      <c r="Q43" s="26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0"/>
      <c r="G44" s="217"/>
      <c r="H44" s="202"/>
      <c r="I44" s="203"/>
      <c r="K44" s="224"/>
      <c r="L44" s="25"/>
      <c r="M44" s="25"/>
      <c r="N44" s="25"/>
      <c r="O44" s="206">
        <f>IF(O43+1&lt;=MIN('Données projet'!$E$9:$E$18),O43+1,"STOP")</f>
        <v>11</v>
      </c>
      <c r="P44" s="196">
        <f t="shared" si="3"/>
        <v>0</v>
      </c>
      <c r="Q44" s="26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5" t="str">
        <f>IF('Données projet'!$B$10="","",'Données projet'!$B$10)</f>
        <v>Chêne sessile</v>
      </c>
      <c r="C45" s="5"/>
      <c r="D45" s="5"/>
      <c r="E45" s="5"/>
      <c r="F45" s="260"/>
      <c r="G45" s="217"/>
      <c r="H45" s="202"/>
      <c r="I45" s="203"/>
      <c r="J45" s="25"/>
      <c r="K45" s="224"/>
      <c r="L45" s="25"/>
      <c r="M45" s="25"/>
      <c r="N45" s="25"/>
      <c r="O45" s="206">
        <f>IF(O44+1&lt;=MIN('Données projet'!$E$9:$E$18),O44+1,"STOP")</f>
        <v>12</v>
      </c>
      <c r="P45" s="196">
        <f t="shared" si="3"/>
        <v>0</v>
      </c>
      <c r="Q45" s="26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0"/>
      <c r="G46" s="217"/>
      <c r="H46" s="202"/>
      <c r="I46" s="203"/>
      <c r="J46" s="25"/>
      <c r="K46" s="224"/>
      <c r="L46" s="219"/>
      <c r="M46" s="219"/>
      <c r="N46" s="219"/>
      <c r="O46" s="206">
        <f>IF(O45+1&lt;=MIN('Données projet'!$E$9:$E$18),O45+1,"STOP")</f>
        <v>13</v>
      </c>
      <c r="P46" s="199">
        <f t="shared" si="3"/>
        <v>0</v>
      </c>
      <c r="Q46" s="26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6" t="s">
        <v>180</v>
      </c>
      <c r="B47" s="51" t="s">
        <v>256</v>
      </c>
      <c r="C47" s="51" t="s">
        <v>255</v>
      </c>
      <c r="D47" s="256" t="s">
        <v>252</v>
      </c>
      <c r="E47" s="256" t="s">
        <v>320</v>
      </c>
      <c r="F47" s="261"/>
      <c r="G47" s="217"/>
      <c r="H47" s="202"/>
      <c r="I47" s="203"/>
      <c r="J47" s="25"/>
      <c r="K47" s="224"/>
      <c r="L47" s="5"/>
      <c r="M47" s="5"/>
      <c r="N47" s="5"/>
      <c r="O47" s="206">
        <f>IF(O46+1&lt;=MIN('Données projet'!$E$9:$E$18),O46+1,"STOP")</f>
        <v>14</v>
      </c>
      <c r="P47" s="196">
        <f t="shared" si="3"/>
        <v>0</v>
      </c>
      <c r="Q47" s="26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09">
        <v>0</v>
      </c>
      <c r="B48" s="212" t="s">
        <v>132</v>
      </c>
      <c r="C48" s="211" t="s">
        <v>132</v>
      </c>
      <c r="D48" s="210" t="s">
        <v>132</v>
      </c>
      <c r="E48" s="205"/>
      <c r="F48" s="261"/>
      <c r="G48" s="217"/>
      <c r="H48" s="202"/>
      <c r="I48" s="203"/>
      <c r="J48" s="25"/>
      <c r="K48" s="224"/>
      <c r="L48" s="5"/>
      <c r="M48" s="5"/>
      <c r="N48" s="5"/>
      <c r="O48" s="206">
        <f>IF(O47+1&lt;=MIN('Données projet'!$E$9:$E$18),O47+1,"STOP")</f>
        <v>15</v>
      </c>
      <c r="P48" s="196">
        <f t="shared" si="3"/>
        <v>0</v>
      </c>
      <c r="Q48" s="26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7" customFormat="1" ht="17.25" customHeight="1" x14ac:dyDescent="0.3">
      <c r="A49" s="209">
        <v>1</v>
      </c>
      <c r="B49" s="212" t="s">
        <v>132</v>
      </c>
      <c r="C49" s="211" t="s">
        <v>132</v>
      </c>
      <c r="D49" s="210" t="s">
        <v>132</v>
      </c>
      <c r="E49" s="205"/>
      <c r="F49" s="261"/>
      <c r="G49" s="218"/>
      <c r="H49" s="202"/>
      <c r="I49" s="203"/>
      <c r="J49" s="219"/>
      <c r="K49" s="226"/>
      <c r="L49" s="5"/>
      <c r="M49" s="5"/>
      <c r="N49" s="5"/>
      <c r="O49" s="206">
        <f>IF(O48+1&lt;=MIN('Données projet'!$E$9:$E$18),O48+1,"STOP")</f>
        <v>16</v>
      </c>
      <c r="P49" s="196">
        <f t="shared" si="3"/>
        <v>0</v>
      </c>
      <c r="Q49" s="266"/>
      <c r="R49" s="198"/>
      <c r="S49" s="198"/>
      <c r="T49" s="198"/>
      <c r="U49" s="198"/>
      <c r="V49" s="198"/>
      <c r="W49" s="198"/>
      <c r="X49" s="198"/>
      <c r="Y49" s="198"/>
      <c r="Z49" s="198"/>
      <c r="AA49" s="198"/>
      <c r="AB49" s="198"/>
      <c r="AC49" s="198"/>
      <c r="AD49" s="198"/>
      <c r="AE49" s="198"/>
      <c r="AF49" s="198"/>
      <c r="AG49" s="198"/>
      <c r="AH49" s="198"/>
      <c r="AI49" s="198"/>
      <c r="AJ49" s="198"/>
      <c r="AK49" s="198"/>
      <c r="AL49" s="198"/>
      <c r="AM49" s="198"/>
      <c r="AN49" s="198"/>
      <c r="AO49" s="198"/>
      <c r="AP49" s="198"/>
      <c r="AQ49" s="198"/>
      <c r="AR49" s="198"/>
      <c r="AS49" s="198"/>
      <c r="AT49" s="198"/>
      <c r="AU49" s="198"/>
      <c r="AV49" s="198"/>
      <c r="AW49" s="198"/>
      <c r="AX49" s="198"/>
      <c r="AY49" s="198"/>
      <c r="AZ49" s="198"/>
      <c r="BA49" s="198"/>
      <c r="BB49" s="198"/>
      <c r="BC49" s="198"/>
      <c r="BD49" s="198"/>
    </row>
    <row r="50" spans="1:56" x14ac:dyDescent="0.3">
      <c r="A50" s="209">
        <v>2</v>
      </c>
      <c r="B50" s="212" t="s">
        <v>132</v>
      </c>
      <c r="C50" s="211" t="s">
        <v>132</v>
      </c>
      <c r="D50" s="210" t="s">
        <v>132</v>
      </c>
      <c r="E50" s="205"/>
      <c r="F50" s="261"/>
      <c r="G50" s="220"/>
      <c r="H50" s="202"/>
      <c r="I50" s="203"/>
      <c r="J50" s="25"/>
      <c r="K50" s="182"/>
      <c r="L50" s="5"/>
      <c r="M50" s="5"/>
      <c r="N50" s="5"/>
      <c r="O50" s="206">
        <f>IF(O49+1&lt;=MIN('Données projet'!$E$9:$E$18),O49+1,"STOP")</f>
        <v>17</v>
      </c>
      <c r="P50" s="196">
        <f t="shared" si="3"/>
        <v>0</v>
      </c>
      <c r="Q50" s="26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09">
        <v>3</v>
      </c>
      <c r="B51" s="212" t="s">
        <v>132</v>
      </c>
      <c r="C51" s="211" t="s">
        <v>132</v>
      </c>
      <c r="D51" s="210" t="s">
        <v>132</v>
      </c>
      <c r="E51" s="205"/>
      <c r="F51" s="261"/>
      <c r="G51" s="220"/>
      <c r="H51" s="202"/>
      <c r="I51" s="203"/>
      <c r="J51" s="25"/>
      <c r="K51" s="182"/>
      <c r="L51" s="5"/>
      <c r="M51" s="5"/>
      <c r="N51" s="5"/>
      <c r="O51" s="206">
        <f>IF(O50+1&lt;=MIN('Données projet'!$E$9:$E$18),O50+1,"STOP")</f>
        <v>18</v>
      </c>
      <c r="P51" s="196">
        <f t="shared" si="3"/>
        <v>0</v>
      </c>
      <c r="Q51" s="26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09">
        <v>4</v>
      </c>
      <c r="B52" s="212" t="s">
        <v>132</v>
      </c>
      <c r="C52" s="211" t="s">
        <v>132</v>
      </c>
      <c r="D52" s="210" t="s">
        <v>132</v>
      </c>
      <c r="E52" s="205"/>
      <c r="F52" s="261"/>
      <c r="G52" s="220"/>
      <c r="H52" s="202"/>
      <c r="I52" s="203"/>
      <c r="J52" s="25"/>
      <c r="K52" s="182"/>
      <c r="L52" s="5"/>
      <c r="M52" s="5"/>
      <c r="N52" s="5"/>
      <c r="O52" s="206">
        <f>IF(O51+1&lt;=MIN('Données projet'!$E$9:$E$18),O51+1,"STOP")</f>
        <v>19</v>
      </c>
      <c r="P52" s="196">
        <f t="shared" si="3"/>
        <v>0</v>
      </c>
      <c r="Q52" s="26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09">
        <v>5</v>
      </c>
      <c r="B53" s="212" t="s">
        <v>132</v>
      </c>
      <c r="C53" s="211" t="s">
        <v>132</v>
      </c>
      <c r="D53" s="210" t="s">
        <v>132</v>
      </c>
      <c r="E53" s="205"/>
      <c r="F53" s="261"/>
      <c r="G53" s="221"/>
      <c r="H53" s="202"/>
      <c r="I53" s="203"/>
      <c r="J53" s="25"/>
      <c r="K53" s="182"/>
      <c r="L53" s="5"/>
      <c r="M53" s="5"/>
      <c r="N53" s="5"/>
      <c r="O53" s="206">
        <f>IF(O52+1&lt;=MIN('Données projet'!$E$9:$E$18),O52+1,"STOP")</f>
        <v>20</v>
      </c>
      <c r="P53" s="196">
        <f t="shared" si="3"/>
        <v>0</v>
      </c>
      <c r="Q53" s="26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1">
        <f>'Données projet'!A62</f>
        <v>20</v>
      </c>
      <c r="B54" s="192">
        <f>'Données projet'!D62</f>
        <v>0</v>
      </c>
      <c r="C54" s="203"/>
      <c r="D54" s="190">
        <f>B54*C54</f>
        <v>0</v>
      </c>
      <c r="E54" s="205"/>
      <c r="F54" s="262"/>
      <c r="G54" s="221"/>
      <c r="H54" s="202"/>
      <c r="I54" s="203"/>
      <c r="J54" s="25"/>
      <c r="K54" s="182"/>
      <c r="L54" s="5"/>
      <c r="M54" s="5"/>
      <c r="N54" s="5"/>
      <c r="O54" s="206">
        <f>IF(O53+1&lt;=MIN('Données projet'!$E$9:$E$18),O53+1,"STOP")</f>
        <v>21</v>
      </c>
      <c r="P54" s="196">
        <f t="shared" si="3"/>
        <v>0</v>
      </c>
      <c r="Q54" s="26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1">
        <f>'Données projet'!A63</f>
        <v>25</v>
      </c>
      <c r="B55" s="192">
        <f>'Données projet'!D63</f>
        <v>0</v>
      </c>
      <c r="C55" s="203"/>
      <c r="D55" s="190">
        <f t="shared" ref="D55:D73" si="4">B55*C55</f>
        <v>0</v>
      </c>
      <c r="E55" s="205"/>
      <c r="F55" s="262"/>
      <c r="G55" s="221"/>
      <c r="H55" s="202"/>
      <c r="I55" s="203"/>
      <c r="J55" s="25"/>
      <c r="K55" s="182"/>
      <c r="L55" s="5"/>
      <c r="M55" s="5"/>
      <c r="N55" s="5"/>
      <c r="O55" s="206">
        <f>IF(O54+1&lt;=MIN('Données projet'!$E$9:$E$18),O54+1,"STOP")</f>
        <v>22</v>
      </c>
      <c r="P55" s="196">
        <f t="shared" si="3"/>
        <v>0</v>
      </c>
      <c r="Q55" s="26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1">
        <f>'Données projet'!A64</f>
        <v>30</v>
      </c>
      <c r="B56" s="192">
        <f>'Données projet'!D64</f>
        <v>29</v>
      </c>
      <c r="C56" s="203">
        <v>10</v>
      </c>
      <c r="D56" s="190">
        <f t="shared" si="4"/>
        <v>290</v>
      </c>
      <c r="E56" s="205"/>
      <c r="F56" s="262"/>
      <c r="G56" s="221"/>
      <c r="H56" s="202"/>
      <c r="I56" s="203"/>
      <c r="J56" s="25"/>
      <c r="K56" s="182"/>
      <c r="L56" s="5"/>
      <c r="M56" s="5"/>
      <c r="N56" s="5"/>
      <c r="O56" s="206">
        <f>IF(O55+1&lt;=MIN('Données projet'!$E$9:$E$18),O55+1,"STOP")</f>
        <v>23</v>
      </c>
      <c r="P56" s="196">
        <f t="shared" si="3"/>
        <v>0</v>
      </c>
      <c r="Q56" s="26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1">
        <f>'Données projet'!A65</f>
        <v>35</v>
      </c>
      <c r="B57" s="192">
        <f>'Données projet'!D65</f>
        <v>0</v>
      </c>
      <c r="C57" s="203"/>
      <c r="D57" s="190">
        <f t="shared" si="4"/>
        <v>0</v>
      </c>
      <c r="E57" s="205"/>
      <c r="F57" s="262"/>
      <c r="G57" s="221"/>
      <c r="H57" s="202"/>
      <c r="I57" s="203"/>
      <c r="J57" s="25"/>
      <c r="K57" s="182"/>
      <c r="L57" s="5"/>
      <c r="M57" s="5"/>
      <c r="N57" s="5"/>
      <c r="O57" s="206">
        <f>IF(O56+1&lt;=MIN('Données projet'!$E$9:$E$18),O56+1,"STOP")</f>
        <v>24</v>
      </c>
      <c r="P57" s="196">
        <f t="shared" si="3"/>
        <v>0</v>
      </c>
      <c r="Q57" s="26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1">
        <f>'Données projet'!A66</f>
        <v>40</v>
      </c>
      <c r="B58" s="192">
        <f>'Données projet'!D66</f>
        <v>42</v>
      </c>
      <c r="C58" s="203">
        <v>10</v>
      </c>
      <c r="D58" s="190">
        <f t="shared" si="4"/>
        <v>420</v>
      </c>
      <c r="E58" s="205"/>
      <c r="F58" s="262"/>
      <c r="G58" s="221"/>
      <c r="H58" s="202"/>
      <c r="I58" s="203"/>
      <c r="J58" s="25"/>
      <c r="K58" s="182"/>
      <c r="L58" s="5"/>
      <c r="M58" s="5"/>
      <c r="N58" s="5"/>
      <c r="O58" s="206">
        <f>IF(O57+1&lt;=MIN('Données projet'!$E$9:$E$18),O57+1,"STOP")</f>
        <v>25</v>
      </c>
      <c r="P58" s="196">
        <f t="shared" si="3"/>
        <v>0</v>
      </c>
      <c r="Q58" s="26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1">
        <f>'Données projet'!A67</f>
        <v>45</v>
      </c>
      <c r="B59" s="192">
        <f>'Données projet'!D67</f>
        <v>0</v>
      </c>
      <c r="C59" s="203"/>
      <c r="D59" s="190">
        <f t="shared" si="4"/>
        <v>0</v>
      </c>
      <c r="E59" s="205"/>
      <c r="F59" s="262"/>
      <c r="G59" s="221"/>
      <c r="H59" s="202"/>
      <c r="I59" s="203"/>
      <c r="J59" s="25"/>
      <c r="K59" s="182"/>
      <c r="L59" s="5"/>
      <c r="M59" s="5"/>
      <c r="N59" s="5"/>
      <c r="O59" s="206">
        <f>IF(O58+1&lt;=MIN('Données projet'!$E$9:$E$18),O58+1,"STOP")</f>
        <v>26</v>
      </c>
      <c r="P59" s="196">
        <f t="shared" si="3"/>
        <v>0</v>
      </c>
      <c r="Q59" s="26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1">
        <f>'Données projet'!A68</f>
        <v>50</v>
      </c>
      <c r="B60" s="192">
        <f>'Données projet'!D68</f>
        <v>42</v>
      </c>
      <c r="C60" s="203">
        <v>15</v>
      </c>
      <c r="D60" s="190">
        <f t="shared" si="4"/>
        <v>630</v>
      </c>
      <c r="E60" s="205"/>
      <c r="F60" s="262"/>
      <c r="G60" s="222"/>
      <c r="H60" s="202"/>
      <c r="I60" s="203"/>
      <c r="J60" s="25"/>
      <c r="K60" s="182"/>
      <c r="L60" s="5"/>
      <c r="M60" s="5"/>
      <c r="N60" s="5"/>
      <c r="O60" s="206">
        <f>IF(O59+1&lt;=MIN('Données projet'!$E$9:$E$18),O59+1,"STOP")</f>
        <v>27</v>
      </c>
      <c r="P60" s="196">
        <f t="shared" si="3"/>
        <v>0</v>
      </c>
      <c r="Q60" s="26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1">
        <f>'Données projet'!A69</f>
        <v>55</v>
      </c>
      <c r="B61" s="192">
        <f>'Données projet'!D69</f>
        <v>0</v>
      </c>
      <c r="C61" s="203"/>
      <c r="D61" s="190">
        <f t="shared" si="4"/>
        <v>0</v>
      </c>
      <c r="E61" s="205"/>
      <c r="F61" s="262"/>
      <c r="G61" s="222"/>
      <c r="H61" s="202"/>
      <c r="I61" s="203"/>
      <c r="J61" s="25"/>
      <c r="K61" s="182"/>
      <c r="L61" s="5"/>
      <c r="M61" s="5"/>
      <c r="N61" s="5"/>
      <c r="O61" s="206">
        <f>IF(O60+1&lt;=MIN('Données projet'!$E$9:$E$18),O60+1,"STOP")</f>
        <v>28</v>
      </c>
      <c r="P61" s="196">
        <f t="shared" si="3"/>
        <v>0</v>
      </c>
      <c r="Q61" s="26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1">
        <f>'Données projet'!A70</f>
        <v>60</v>
      </c>
      <c r="B62" s="192">
        <f>'Données projet'!D70</f>
        <v>42</v>
      </c>
      <c r="C62" s="203">
        <v>20</v>
      </c>
      <c r="D62" s="190">
        <f t="shared" si="4"/>
        <v>840</v>
      </c>
      <c r="E62" s="205"/>
      <c r="F62" s="262"/>
      <c r="G62" s="222"/>
      <c r="H62" s="202"/>
      <c r="I62" s="203"/>
      <c r="J62" s="25"/>
      <c r="K62" s="182"/>
      <c r="L62" s="5"/>
      <c r="M62" s="5"/>
      <c r="N62" s="5"/>
      <c r="O62" s="206">
        <f>IF(O61+1&lt;=MIN('Données projet'!$E$9:$E$18),O61+1,"STOP")</f>
        <v>29</v>
      </c>
      <c r="P62" s="196">
        <f t="shared" si="3"/>
        <v>0</v>
      </c>
      <c r="Q62" s="26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1">
        <f>'Données projet'!A71</f>
        <v>65</v>
      </c>
      <c r="B63" s="192">
        <f>'Données projet'!D71</f>
        <v>0</v>
      </c>
      <c r="C63" s="203"/>
      <c r="D63" s="190">
        <f t="shared" si="4"/>
        <v>0</v>
      </c>
      <c r="E63" s="205"/>
      <c r="F63" s="262"/>
      <c r="G63" s="222"/>
      <c r="H63" s="202"/>
      <c r="I63" s="203"/>
      <c r="J63" s="25"/>
      <c r="K63" s="182"/>
      <c r="L63" s="5"/>
      <c r="M63" s="5"/>
      <c r="N63" s="5"/>
      <c r="O63" s="206">
        <f>IF(O62+1&lt;=MIN('Données projet'!$E$9:$E$18),O62+1,"STOP")</f>
        <v>30</v>
      </c>
      <c r="P63" s="196">
        <f t="shared" si="3"/>
        <v>0</v>
      </c>
      <c r="Q63" s="26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1">
        <f>'Données projet'!A72</f>
        <v>70</v>
      </c>
      <c r="B64" s="192">
        <f>'Données projet'!D72</f>
        <v>42</v>
      </c>
      <c r="C64" s="203">
        <v>40</v>
      </c>
      <c r="D64" s="190">
        <f t="shared" si="4"/>
        <v>1680</v>
      </c>
      <c r="E64" s="205"/>
      <c r="F64" s="262"/>
      <c r="G64" s="222"/>
      <c r="H64" s="202"/>
      <c r="I64" s="203"/>
      <c r="J64" s="223"/>
      <c r="K64" s="182"/>
      <c r="L64" s="5"/>
      <c r="M64" s="5"/>
      <c r="N64" s="5"/>
      <c r="O64" s="206">
        <f>IF(O63+1&lt;=MIN('Données projet'!$E$9:$E$18),O63+1,"STOP")</f>
        <v>31</v>
      </c>
      <c r="P64" s="196">
        <f t="shared" si="3"/>
        <v>0</v>
      </c>
      <c r="Q64" s="26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1">
        <f>'Données projet'!A73</f>
        <v>75</v>
      </c>
      <c r="B65" s="192">
        <f>'Données projet'!D73</f>
        <v>0</v>
      </c>
      <c r="C65" s="203"/>
      <c r="D65" s="190">
        <f t="shared" si="4"/>
        <v>0</v>
      </c>
      <c r="E65" s="205"/>
      <c r="F65" s="262"/>
      <c r="G65" s="222"/>
      <c r="H65" s="202"/>
      <c r="I65" s="203"/>
      <c r="J65" s="200"/>
      <c r="K65" s="182"/>
      <c r="L65" s="5"/>
      <c r="M65" s="5"/>
      <c r="N65" s="5"/>
      <c r="O65" s="206">
        <f>IF(O64+1&lt;=MIN('Données projet'!$E$9:$E$18),O64+1,"STOP")</f>
        <v>32</v>
      </c>
      <c r="P65" s="196">
        <f t="shared" ref="P65:P96" si="5">$P$25/(1+$M$4)^O65</f>
        <v>0</v>
      </c>
      <c r="Q65" s="26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1">
        <f>'Données projet'!A74</f>
        <v>80</v>
      </c>
      <c r="B66" s="192">
        <f>'Données projet'!D74</f>
        <v>42</v>
      </c>
      <c r="C66" s="203">
        <v>60</v>
      </c>
      <c r="D66" s="190">
        <f t="shared" si="4"/>
        <v>2520</v>
      </c>
      <c r="E66" s="205"/>
      <c r="F66" s="262"/>
      <c r="G66" s="222"/>
      <c r="H66" s="202"/>
      <c r="I66" s="203"/>
      <c r="J66" s="200"/>
      <c r="K66" s="182"/>
      <c r="L66" s="5"/>
      <c r="M66" s="5"/>
      <c r="N66" s="5"/>
      <c r="O66" s="206">
        <f>IF(O65+1&lt;=MIN('Données projet'!$E$9:$E$18),O65+1,"STOP")</f>
        <v>33</v>
      </c>
      <c r="P66" s="196">
        <f t="shared" si="5"/>
        <v>0</v>
      </c>
      <c r="Q66" s="26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1">
        <f>'Données projet'!A75</f>
        <v>90</v>
      </c>
      <c r="B67" s="192">
        <f>'Données projet'!D75</f>
        <v>42</v>
      </c>
      <c r="C67" s="203">
        <v>80</v>
      </c>
      <c r="D67" s="190">
        <f t="shared" si="4"/>
        <v>3360</v>
      </c>
      <c r="E67" s="205"/>
      <c r="F67" s="262"/>
      <c r="G67" s="222"/>
      <c r="H67" s="202"/>
      <c r="I67" s="203"/>
      <c r="J67" s="200"/>
      <c r="K67" s="182"/>
      <c r="L67" s="5"/>
      <c r="M67" s="5"/>
      <c r="N67" s="5"/>
      <c r="O67" s="206">
        <f>IF(O66+1&lt;=MIN('Données projet'!$E$9:$E$18),O66+1,"STOP")</f>
        <v>34</v>
      </c>
      <c r="P67" s="196">
        <f t="shared" si="5"/>
        <v>0</v>
      </c>
      <c r="Q67" s="26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1">
        <f>'Données projet'!A76</f>
        <v>100</v>
      </c>
      <c r="B68" s="192">
        <f>'Données projet'!D76</f>
        <v>42</v>
      </c>
      <c r="C68" s="203">
        <v>100</v>
      </c>
      <c r="D68" s="190">
        <f t="shared" si="4"/>
        <v>4200</v>
      </c>
      <c r="E68" s="205"/>
      <c r="F68" s="262"/>
      <c r="G68" s="222"/>
      <c r="H68" s="202"/>
      <c r="I68" s="203"/>
      <c r="J68" s="200"/>
      <c r="K68" s="182"/>
      <c r="L68" s="5"/>
      <c r="M68" s="5"/>
      <c r="N68" s="5"/>
      <c r="O68" s="206">
        <f>IF(O67+1&lt;=MIN('Données projet'!$E$9:$E$18),O67+1,"STOP")</f>
        <v>35</v>
      </c>
      <c r="P68" s="196">
        <f t="shared" si="5"/>
        <v>0</v>
      </c>
      <c r="Q68" s="26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1">
        <f>'Données projet'!A77</f>
        <v>110</v>
      </c>
      <c r="B69" s="192">
        <f>'Données projet'!D77</f>
        <v>39</v>
      </c>
      <c r="C69" s="203">
        <v>110</v>
      </c>
      <c r="D69" s="190">
        <f t="shared" si="4"/>
        <v>4290</v>
      </c>
      <c r="E69" s="205"/>
      <c r="F69" s="262"/>
      <c r="G69" s="222"/>
      <c r="H69" s="202"/>
      <c r="I69" s="203"/>
      <c r="J69" s="200"/>
      <c r="K69" s="182"/>
      <c r="L69" s="5"/>
      <c r="M69" s="5"/>
      <c r="N69" s="5"/>
      <c r="O69" s="206">
        <f>IF(O68+1&lt;=MIN('Données projet'!$E$9:$E$18),O68+1,"STOP")</f>
        <v>36</v>
      </c>
      <c r="P69" s="196">
        <f t="shared" si="5"/>
        <v>0</v>
      </c>
      <c r="Q69" s="26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1">
        <f>'Données projet'!A78</f>
        <v>120</v>
      </c>
      <c r="B70" s="192">
        <f>'Données projet'!D78</f>
        <v>35</v>
      </c>
      <c r="C70" s="203">
        <v>130</v>
      </c>
      <c r="D70" s="190">
        <f t="shared" si="4"/>
        <v>4550</v>
      </c>
      <c r="E70" s="205"/>
      <c r="F70" s="262"/>
      <c r="G70" s="222"/>
      <c r="H70" s="202"/>
      <c r="I70" s="203"/>
      <c r="J70" s="200"/>
      <c r="K70" s="182"/>
      <c r="L70" s="5"/>
      <c r="M70" s="5"/>
      <c r="N70" s="5"/>
      <c r="O70" s="206">
        <f>IF(O69+1&lt;=MIN('Données projet'!$E$9:$E$18),O69+1,"STOP")</f>
        <v>37</v>
      </c>
      <c r="P70" s="196">
        <f t="shared" si="5"/>
        <v>0</v>
      </c>
      <c r="Q70" s="26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1">
        <f>'Données projet'!A79</f>
        <v>130</v>
      </c>
      <c r="B71" s="192">
        <f>'Données projet'!D79</f>
        <v>31</v>
      </c>
      <c r="C71" s="203">
        <v>150</v>
      </c>
      <c r="D71" s="190">
        <f t="shared" si="4"/>
        <v>4650</v>
      </c>
      <c r="E71" s="205"/>
      <c r="F71" s="262"/>
      <c r="G71" s="222"/>
      <c r="H71" s="202"/>
      <c r="I71" s="203"/>
      <c r="J71" s="200"/>
      <c r="K71" s="182"/>
      <c r="L71" s="5"/>
      <c r="M71" s="5"/>
      <c r="N71" s="5"/>
      <c r="O71" s="206">
        <f>IF(O70+1&lt;=MIN('Données projet'!$E$9:$E$18),O70+1,"STOP")</f>
        <v>38</v>
      </c>
      <c r="P71" s="196">
        <f t="shared" si="5"/>
        <v>0</v>
      </c>
      <c r="Q71" s="26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1">
        <f>'Données projet'!A80</f>
        <v>140</v>
      </c>
      <c r="B72" s="192">
        <f>'Données projet'!D80</f>
        <v>27</v>
      </c>
      <c r="C72" s="203">
        <v>200</v>
      </c>
      <c r="D72" s="190">
        <f t="shared" si="4"/>
        <v>5400</v>
      </c>
      <c r="E72" s="205"/>
      <c r="F72" s="262"/>
      <c r="G72" s="222"/>
      <c r="H72" s="202"/>
      <c r="I72" s="203"/>
      <c r="J72" s="5"/>
      <c r="K72" s="182"/>
      <c r="L72" s="5"/>
      <c r="M72" s="5"/>
      <c r="N72" s="5"/>
      <c r="O72" s="206">
        <f>IF(O71+1&lt;=MIN('Données projet'!$E$9:$E$18),O71+1,"STOP")</f>
        <v>39</v>
      </c>
      <c r="P72" s="196">
        <f t="shared" si="5"/>
        <v>0</v>
      </c>
      <c r="Q72" s="26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1">
        <f>'Données projet'!A81</f>
        <v>150</v>
      </c>
      <c r="B73" s="192">
        <f>'Données projet'!D81</f>
        <v>293</v>
      </c>
      <c r="C73" s="203">
        <v>200</v>
      </c>
      <c r="D73" s="190">
        <f t="shared" si="4"/>
        <v>58600</v>
      </c>
      <c r="E73" s="205"/>
      <c r="F73" s="262"/>
      <c r="G73" s="222"/>
      <c r="H73" s="202"/>
      <c r="I73" s="203"/>
      <c r="J73" s="5"/>
      <c r="K73" s="182"/>
      <c r="L73" s="5"/>
      <c r="M73" s="5"/>
      <c r="N73" s="5"/>
      <c r="O73" s="206">
        <f>IF(O72+1&lt;=MIN('Données projet'!$E$9:$E$18),O72+1,"STOP")</f>
        <v>40</v>
      </c>
      <c r="P73" s="196">
        <f t="shared" si="5"/>
        <v>0</v>
      </c>
      <c r="Q73" s="26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0"/>
      <c r="G74" s="222"/>
      <c r="H74" s="202"/>
      <c r="I74" s="203"/>
      <c r="J74" s="5"/>
      <c r="K74" s="182"/>
      <c r="L74" s="5"/>
      <c r="M74" s="5"/>
      <c r="N74" s="5"/>
      <c r="O74" s="206">
        <f>IF(O73+1&lt;=MIN('Données projet'!$E$9:$E$18),O73+1,"STOP")</f>
        <v>41</v>
      </c>
      <c r="P74" s="196">
        <f t="shared" si="5"/>
        <v>0</v>
      </c>
      <c r="Q74" s="26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0"/>
      <c r="G75" s="222"/>
      <c r="H75" s="202"/>
      <c r="I75" s="203"/>
      <c r="J75" s="5"/>
      <c r="K75" s="182"/>
      <c r="L75" s="5"/>
      <c r="M75" s="5"/>
      <c r="N75" s="5"/>
      <c r="O75" s="206">
        <f>IF(O74+1&lt;=MIN('Données projet'!$E$9:$E$18),O74+1,"STOP")</f>
        <v>42</v>
      </c>
      <c r="P75" s="196">
        <f t="shared" si="5"/>
        <v>0</v>
      </c>
      <c r="Q75" s="26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5" t="str">
        <f>IF('Données projet'!B11="","",'Données projet'!B11)</f>
        <v>Alisier torminal</v>
      </c>
      <c r="C76" s="5"/>
      <c r="D76" s="5"/>
      <c r="E76" s="5"/>
      <c r="F76" s="260"/>
      <c r="G76" s="222"/>
      <c r="H76" s="202"/>
      <c r="I76" s="203"/>
      <c r="J76" s="5"/>
      <c r="K76" s="182"/>
      <c r="L76" s="5"/>
      <c r="M76" s="5"/>
      <c r="N76" s="5"/>
      <c r="O76" s="206">
        <f>IF(O75+1&lt;=MIN('Données projet'!$E$9:$E$18),O75+1,"STOP")</f>
        <v>43</v>
      </c>
      <c r="P76" s="196">
        <f t="shared" si="5"/>
        <v>0</v>
      </c>
      <c r="Q76" s="26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0"/>
      <c r="G77" s="222"/>
      <c r="H77" s="202"/>
      <c r="I77" s="203"/>
      <c r="J77" s="5"/>
      <c r="K77" s="182"/>
      <c r="L77" s="5"/>
      <c r="M77" s="5"/>
      <c r="N77" s="5"/>
      <c r="O77" s="206">
        <f>IF(O76+1&lt;=MIN('Données projet'!$E$9:$E$18),O76+1,"STOP")</f>
        <v>44</v>
      </c>
      <c r="P77" s="196">
        <f t="shared" si="5"/>
        <v>0</v>
      </c>
      <c r="Q77" s="26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6" t="s">
        <v>180</v>
      </c>
      <c r="B78" s="51" t="s">
        <v>256</v>
      </c>
      <c r="C78" s="51" t="s">
        <v>255</v>
      </c>
      <c r="D78" s="256" t="s">
        <v>252</v>
      </c>
      <c r="E78" s="256" t="s">
        <v>320</v>
      </c>
      <c r="F78" s="261"/>
      <c r="G78" s="222"/>
      <c r="H78" s="202"/>
      <c r="I78" s="203"/>
      <c r="J78" s="5"/>
      <c r="K78" s="182"/>
      <c r="L78" s="5"/>
      <c r="M78" s="5"/>
      <c r="N78" s="5"/>
      <c r="O78" s="206">
        <f>IF(O77+1&lt;=MIN('Données projet'!$E$9:$E$18),O77+1,"STOP")</f>
        <v>45</v>
      </c>
      <c r="P78" s="196">
        <f t="shared" si="5"/>
        <v>0</v>
      </c>
      <c r="Q78" s="26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09">
        <v>0</v>
      </c>
      <c r="B79" s="212" t="s">
        <v>132</v>
      </c>
      <c r="C79" s="211" t="s">
        <v>132</v>
      </c>
      <c r="D79" s="210" t="s">
        <v>132</v>
      </c>
      <c r="E79" s="205"/>
      <c r="F79" s="261"/>
      <c r="G79" s="222"/>
      <c r="H79" s="202"/>
      <c r="I79" s="203"/>
      <c r="J79" s="5"/>
      <c r="K79" s="182"/>
      <c r="L79" s="5"/>
      <c r="M79" s="5"/>
      <c r="N79" s="5"/>
      <c r="O79" s="206" t="str">
        <f>IF(O78+1&lt;=MIN('Données projet'!$E$9:$E$18),O78+1,"STOP")</f>
        <v>STOP</v>
      </c>
      <c r="P79" s="196" t="e">
        <f t="shared" si="5"/>
        <v>#VALUE!</v>
      </c>
      <c r="Q79" s="26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09">
        <v>1</v>
      </c>
      <c r="B80" s="212" t="s">
        <v>132</v>
      </c>
      <c r="C80" s="211" t="s">
        <v>132</v>
      </c>
      <c r="D80" s="210" t="s">
        <v>132</v>
      </c>
      <c r="E80" s="205"/>
      <c r="F80" s="261"/>
      <c r="G80" s="220"/>
      <c r="H80" s="202"/>
      <c r="I80" s="203"/>
      <c r="J80" s="5"/>
      <c r="K80" s="182"/>
      <c r="L80" s="5"/>
      <c r="M80" s="5"/>
      <c r="N80" s="5"/>
      <c r="O80" s="206" t="e">
        <f>IF(O79+1&lt;=MIN('Données projet'!$E$9:$E$18),O79+1,"STOP")</f>
        <v>#VALUE!</v>
      </c>
      <c r="P80" s="196" t="e">
        <f t="shared" si="5"/>
        <v>#VALUE!</v>
      </c>
      <c r="Q80" s="26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09">
        <v>2</v>
      </c>
      <c r="B81" s="212" t="s">
        <v>132</v>
      </c>
      <c r="C81" s="211" t="s">
        <v>132</v>
      </c>
      <c r="D81" s="210" t="s">
        <v>132</v>
      </c>
      <c r="E81" s="205"/>
      <c r="F81" s="261"/>
      <c r="G81" s="220"/>
      <c r="H81" s="202"/>
      <c r="I81" s="203"/>
      <c r="J81" s="5"/>
      <c r="K81" s="182"/>
      <c r="L81" s="5"/>
      <c r="M81" s="5"/>
      <c r="N81" s="5"/>
      <c r="O81" s="206" t="e">
        <f>IF(O80+1&lt;=MIN('Données projet'!$E$9:$E$18),O80+1,"STOP")</f>
        <v>#VALUE!</v>
      </c>
      <c r="P81" s="196" t="e">
        <f t="shared" si="5"/>
        <v>#VALUE!</v>
      </c>
      <c r="Q81" s="26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09">
        <v>3</v>
      </c>
      <c r="B82" s="212" t="s">
        <v>132</v>
      </c>
      <c r="C82" s="211" t="s">
        <v>132</v>
      </c>
      <c r="D82" s="210" t="s">
        <v>132</v>
      </c>
      <c r="E82" s="205"/>
      <c r="F82" s="261"/>
      <c r="G82" s="220"/>
      <c r="H82" s="202"/>
      <c r="I82" s="203"/>
      <c r="J82" s="5"/>
      <c r="K82" s="182"/>
      <c r="L82" s="5"/>
      <c r="M82" s="5"/>
      <c r="N82" s="5"/>
      <c r="O82" s="206" t="e">
        <f>IF(O81+1&lt;=MIN('Données projet'!$E$9:$E$18),O81+1,"STOP")</f>
        <v>#VALUE!</v>
      </c>
      <c r="P82" s="196" t="e">
        <f t="shared" si="5"/>
        <v>#VALUE!</v>
      </c>
      <c r="Q82" s="26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09">
        <v>4</v>
      </c>
      <c r="B83" s="212" t="s">
        <v>132</v>
      </c>
      <c r="C83" s="211" t="s">
        <v>132</v>
      </c>
      <c r="D83" s="210" t="s">
        <v>132</v>
      </c>
      <c r="E83" s="205"/>
      <c r="F83" s="261"/>
      <c r="G83" s="220"/>
      <c r="H83" s="202"/>
      <c r="I83" s="203"/>
      <c r="J83" s="5"/>
      <c r="K83" s="182"/>
      <c r="L83" s="5"/>
      <c r="M83" s="5"/>
      <c r="N83" s="5"/>
      <c r="O83" s="206" t="e">
        <f>IF(O82+1&lt;=MIN('Données projet'!$E$9:$E$18),O82+1,"STOP")</f>
        <v>#VALUE!</v>
      </c>
      <c r="P83" s="196" t="e">
        <f t="shared" si="5"/>
        <v>#VALUE!</v>
      </c>
      <c r="Q83" s="26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09">
        <v>5</v>
      </c>
      <c r="B84" s="212" t="s">
        <v>132</v>
      </c>
      <c r="C84" s="211" t="s">
        <v>132</v>
      </c>
      <c r="D84" s="210" t="s">
        <v>132</v>
      </c>
      <c r="E84" s="205"/>
      <c r="F84" s="261"/>
      <c r="G84" s="221"/>
      <c r="H84" s="202"/>
      <c r="I84" s="203"/>
      <c r="J84" s="5"/>
      <c r="K84" s="182"/>
      <c r="L84" s="5"/>
      <c r="M84" s="5"/>
      <c r="N84" s="5"/>
      <c r="O84" s="206" t="e">
        <f>IF(O83+1&lt;=MIN('Données projet'!$E$9:$E$18),O83+1,"STOP")</f>
        <v>#VALUE!</v>
      </c>
      <c r="P84" s="196" t="e">
        <f t="shared" si="5"/>
        <v>#VALUE!</v>
      </c>
      <c r="Q84" s="26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1">
        <f>'Données projet'!A88</f>
        <v>20</v>
      </c>
      <c r="B85" s="192">
        <f>'Données projet'!D88</f>
        <v>0</v>
      </c>
      <c r="C85" s="203"/>
      <c r="D85" s="190">
        <f>B85*C85</f>
        <v>0</v>
      </c>
      <c r="E85" s="205"/>
      <c r="F85" s="262"/>
      <c r="G85" s="221"/>
      <c r="H85" s="202"/>
      <c r="I85" s="203"/>
      <c r="J85" s="5"/>
      <c r="K85" s="182"/>
      <c r="L85" s="5"/>
      <c r="M85" s="5"/>
      <c r="N85" s="5"/>
      <c r="O85" s="206" t="e">
        <f>IF(O84+1&lt;=MIN('Données projet'!$E$9:$E$18),O84+1,"STOP")</f>
        <v>#VALUE!</v>
      </c>
      <c r="P85" s="196" t="e">
        <f t="shared" si="5"/>
        <v>#VALUE!</v>
      </c>
      <c r="Q85" s="26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1">
        <f>'Données projet'!A89</f>
        <v>25</v>
      </c>
      <c r="B86" s="192">
        <f>'Données projet'!D89</f>
        <v>0</v>
      </c>
      <c r="C86" s="203"/>
      <c r="D86" s="190">
        <f t="shared" ref="D86:D104" si="6">B86*C86</f>
        <v>0</v>
      </c>
      <c r="E86" s="205"/>
      <c r="F86" s="262"/>
      <c r="G86" s="221"/>
      <c r="H86" s="202"/>
      <c r="I86" s="203"/>
      <c r="J86" s="5"/>
      <c r="K86" s="182"/>
      <c r="L86" s="5"/>
      <c r="M86" s="5"/>
      <c r="N86" s="5"/>
      <c r="O86" s="206" t="e">
        <f>IF(O85+1&lt;=MIN('Données projet'!$E$9:$E$18),O85+1,"STOP")</f>
        <v>#VALUE!</v>
      </c>
      <c r="P86" s="196" t="e">
        <f t="shared" si="5"/>
        <v>#VALUE!</v>
      </c>
      <c r="Q86" s="26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1">
        <f>'Données projet'!A90</f>
        <v>30</v>
      </c>
      <c r="B87" s="192">
        <f>'Données projet'!D90</f>
        <v>29</v>
      </c>
      <c r="C87" s="203">
        <v>10</v>
      </c>
      <c r="D87" s="190">
        <f t="shared" si="6"/>
        <v>290</v>
      </c>
      <c r="E87" s="205"/>
      <c r="F87" s="262"/>
      <c r="G87" s="221"/>
      <c r="H87" s="202"/>
      <c r="I87" s="203"/>
      <c r="J87" s="5"/>
      <c r="K87" s="182"/>
      <c r="L87" s="5"/>
      <c r="M87" s="5"/>
      <c r="N87" s="5"/>
      <c r="O87" s="206" t="e">
        <f>IF(O86+1&lt;=MIN('Données projet'!$E$9:$E$18),O86+1,"STOP")</f>
        <v>#VALUE!</v>
      </c>
      <c r="P87" s="196" t="e">
        <f t="shared" si="5"/>
        <v>#VALUE!</v>
      </c>
      <c r="Q87" s="26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1">
        <f>'Données projet'!A91</f>
        <v>35</v>
      </c>
      <c r="B88" s="192">
        <f>'Données projet'!D91</f>
        <v>0</v>
      </c>
      <c r="C88" s="203"/>
      <c r="D88" s="190">
        <f t="shared" si="6"/>
        <v>0</v>
      </c>
      <c r="E88" s="205"/>
      <c r="F88" s="262"/>
      <c r="G88" s="221"/>
      <c r="H88" s="202"/>
      <c r="I88" s="203"/>
      <c r="J88" s="5"/>
      <c r="K88" s="182"/>
      <c r="L88" s="5"/>
      <c r="M88" s="5"/>
      <c r="N88" s="5"/>
      <c r="O88" s="206" t="e">
        <f>IF(O87+1&lt;=MIN('Données projet'!$E$9:$E$18),O87+1,"STOP")</f>
        <v>#VALUE!</v>
      </c>
      <c r="P88" s="196" t="e">
        <f t="shared" si="5"/>
        <v>#VALUE!</v>
      </c>
      <c r="Q88" s="26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1">
        <f>'Données projet'!A92</f>
        <v>40</v>
      </c>
      <c r="B89" s="192">
        <f>'Données projet'!D92</f>
        <v>42</v>
      </c>
      <c r="C89" s="203">
        <v>10</v>
      </c>
      <c r="D89" s="190">
        <f t="shared" si="6"/>
        <v>420</v>
      </c>
      <c r="E89" s="205"/>
      <c r="F89" s="262"/>
      <c r="G89" s="221"/>
      <c r="H89" s="202"/>
      <c r="I89" s="203"/>
      <c r="J89" s="5"/>
      <c r="K89" s="182"/>
      <c r="L89" s="5"/>
      <c r="M89" s="5"/>
      <c r="N89" s="5"/>
      <c r="O89" s="206" t="e">
        <f>IF(O88+1&lt;=MIN('Données projet'!$E$9:$E$18),O88+1,"STOP")</f>
        <v>#VALUE!</v>
      </c>
      <c r="P89" s="196" t="e">
        <f t="shared" si="5"/>
        <v>#VALUE!</v>
      </c>
      <c r="Q89" s="26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1">
        <f>'Données projet'!A93</f>
        <v>45</v>
      </c>
      <c r="B90" s="192">
        <f>'Données projet'!D93</f>
        <v>0</v>
      </c>
      <c r="C90" s="203"/>
      <c r="D90" s="190">
        <f t="shared" si="6"/>
        <v>0</v>
      </c>
      <c r="E90" s="205"/>
      <c r="F90" s="262"/>
      <c r="G90" s="221"/>
      <c r="H90" s="202"/>
      <c r="I90" s="203"/>
      <c r="J90" s="5"/>
      <c r="K90" s="182"/>
      <c r="L90" s="5"/>
      <c r="M90" s="5"/>
      <c r="N90" s="5"/>
      <c r="O90" s="206" t="e">
        <f>IF(O89+1&lt;=MIN('Données projet'!$E$9:$E$18),O89+1,"STOP")</f>
        <v>#VALUE!</v>
      </c>
      <c r="P90" s="196" t="e">
        <f t="shared" si="5"/>
        <v>#VALUE!</v>
      </c>
      <c r="Q90" s="26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1">
        <f>'Données projet'!A94</f>
        <v>50</v>
      </c>
      <c r="B91" s="192">
        <f>'Données projet'!D94</f>
        <v>42</v>
      </c>
      <c r="C91" s="203">
        <v>15</v>
      </c>
      <c r="D91" s="190">
        <f t="shared" si="6"/>
        <v>630</v>
      </c>
      <c r="E91" s="205"/>
      <c r="F91" s="262"/>
      <c r="G91" s="222"/>
      <c r="H91" s="202"/>
      <c r="I91" s="203"/>
      <c r="J91" s="5"/>
      <c r="K91" s="182"/>
      <c r="L91" s="5"/>
      <c r="M91" s="5"/>
      <c r="N91" s="5"/>
      <c r="O91" s="206" t="e">
        <f>IF(O90+1&lt;=MIN('Données projet'!$E$9:$E$18),O90+1,"STOP")</f>
        <v>#VALUE!</v>
      </c>
      <c r="P91" s="196" t="e">
        <f t="shared" si="5"/>
        <v>#VALUE!</v>
      </c>
      <c r="Q91" s="26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1">
        <f>'Données projet'!A95</f>
        <v>55</v>
      </c>
      <c r="B92" s="192">
        <f>'Données projet'!D95</f>
        <v>0</v>
      </c>
      <c r="C92" s="203"/>
      <c r="D92" s="190">
        <f t="shared" si="6"/>
        <v>0</v>
      </c>
      <c r="E92" s="205"/>
      <c r="F92" s="262"/>
      <c r="G92" s="222"/>
      <c r="H92" s="202"/>
      <c r="I92" s="203"/>
      <c r="J92" s="5"/>
      <c r="K92" s="182"/>
      <c r="L92" s="5"/>
      <c r="M92" s="5"/>
      <c r="N92" s="5"/>
      <c r="O92" s="206" t="e">
        <f>IF(O91+1&lt;=MIN('Données projet'!$E$9:$E$18),O91+1,"STOP")</f>
        <v>#VALUE!</v>
      </c>
      <c r="P92" s="196" t="e">
        <f t="shared" si="5"/>
        <v>#VALUE!</v>
      </c>
      <c r="Q92" s="26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1">
        <f>'Données projet'!A96</f>
        <v>60</v>
      </c>
      <c r="B93" s="192">
        <f>'Données projet'!D96</f>
        <v>42</v>
      </c>
      <c r="C93" s="203">
        <v>20</v>
      </c>
      <c r="D93" s="190">
        <f t="shared" si="6"/>
        <v>840</v>
      </c>
      <c r="E93" s="205"/>
      <c r="F93" s="262"/>
      <c r="G93" s="222"/>
      <c r="H93" s="202"/>
      <c r="I93" s="203"/>
      <c r="J93" s="5"/>
      <c r="K93" s="182"/>
      <c r="L93" s="5"/>
      <c r="M93" s="5"/>
      <c r="N93" s="5"/>
      <c r="O93" s="206" t="e">
        <f>IF(O92+1&lt;=MIN('Données projet'!$E$9:$E$18),O92+1,"STOP")</f>
        <v>#VALUE!</v>
      </c>
      <c r="P93" s="196" t="e">
        <f t="shared" si="5"/>
        <v>#VALUE!</v>
      </c>
      <c r="Q93" s="26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1">
        <f>'Données projet'!A97</f>
        <v>65</v>
      </c>
      <c r="B94" s="192">
        <f>'Données projet'!D97</f>
        <v>0</v>
      </c>
      <c r="C94" s="203"/>
      <c r="D94" s="190">
        <f t="shared" si="6"/>
        <v>0</v>
      </c>
      <c r="E94" s="205"/>
      <c r="F94" s="262"/>
      <c r="G94" s="222"/>
      <c r="H94" s="202"/>
      <c r="I94" s="203"/>
      <c r="J94" s="5"/>
      <c r="K94" s="182"/>
      <c r="L94" s="5"/>
      <c r="M94" s="5"/>
      <c r="N94" s="5"/>
      <c r="O94" s="206" t="e">
        <f>IF(O93+1&lt;=MIN('Données projet'!$E$9:$E$18),O93+1,"STOP")</f>
        <v>#VALUE!</v>
      </c>
      <c r="P94" s="196" t="e">
        <f t="shared" si="5"/>
        <v>#VALUE!</v>
      </c>
      <c r="Q94" s="26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1">
        <f>'Données projet'!A98</f>
        <v>70</v>
      </c>
      <c r="B95" s="192">
        <f>'Données projet'!D98</f>
        <v>42</v>
      </c>
      <c r="C95" s="203">
        <v>40</v>
      </c>
      <c r="D95" s="190">
        <f t="shared" si="6"/>
        <v>1680</v>
      </c>
      <c r="E95" s="205"/>
      <c r="F95" s="262"/>
      <c r="G95" s="222"/>
      <c r="H95" s="202"/>
      <c r="I95" s="203"/>
      <c r="J95" s="5"/>
      <c r="K95" s="182"/>
      <c r="L95" s="5"/>
      <c r="M95" s="5"/>
      <c r="N95" s="5"/>
      <c r="O95" s="206" t="e">
        <f>IF(O94+1&lt;=MIN('Données projet'!$E$9:$E$18),O94+1,"STOP")</f>
        <v>#VALUE!</v>
      </c>
      <c r="P95" s="196" t="e">
        <f t="shared" si="5"/>
        <v>#VALUE!</v>
      </c>
      <c r="Q95" s="26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1">
        <f>'Données projet'!A99</f>
        <v>75</v>
      </c>
      <c r="B96" s="192">
        <f>'Données projet'!D99</f>
        <v>0</v>
      </c>
      <c r="C96" s="203"/>
      <c r="D96" s="190">
        <f t="shared" si="6"/>
        <v>0</v>
      </c>
      <c r="E96" s="205"/>
      <c r="F96" s="262"/>
      <c r="G96" s="222"/>
      <c r="H96" s="202"/>
      <c r="I96" s="203"/>
      <c r="J96" s="5"/>
      <c r="K96" s="182"/>
      <c r="L96" s="5"/>
      <c r="M96" s="5"/>
      <c r="N96" s="5"/>
      <c r="O96" s="206" t="e">
        <f>IF(O95+1&lt;=MIN('Données projet'!$E$9:$E$18),O95+1,"STOP")</f>
        <v>#VALUE!</v>
      </c>
      <c r="P96" s="196" t="e">
        <f t="shared" si="5"/>
        <v>#VALUE!</v>
      </c>
      <c r="Q96" s="26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1">
        <f>'Données projet'!A100</f>
        <v>80</v>
      </c>
      <c r="B97" s="192">
        <f>'Données projet'!D100</f>
        <v>42</v>
      </c>
      <c r="C97" s="203">
        <v>60</v>
      </c>
      <c r="D97" s="190">
        <f t="shared" si="6"/>
        <v>2520</v>
      </c>
      <c r="E97" s="205"/>
      <c r="F97" s="262"/>
      <c r="G97" s="222"/>
      <c r="H97" s="202"/>
      <c r="I97" s="203"/>
      <c r="J97" s="5"/>
      <c r="K97" s="182"/>
      <c r="L97" s="5"/>
      <c r="M97" s="5"/>
      <c r="N97" s="5"/>
      <c r="O97" s="206" t="e">
        <f>IF(O96+1&lt;=MIN('Données projet'!$E$9:$E$18),O96+1,"STOP")</f>
        <v>#VALUE!</v>
      </c>
      <c r="P97" s="196" t="e">
        <f t="shared" ref="P97:P128" si="7">$P$25/(1+$M$4)^O97</f>
        <v>#VALUE!</v>
      </c>
      <c r="Q97" s="26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1">
        <f>'Données projet'!A101</f>
        <v>90</v>
      </c>
      <c r="B98" s="192">
        <f>'Données projet'!D101</f>
        <v>42</v>
      </c>
      <c r="C98" s="203">
        <v>80</v>
      </c>
      <c r="D98" s="190">
        <f t="shared" si="6"/>
        <v>3360</v>
      </c>
      <c r="E98" s="205"/>
      <c r="F98" s="262"/>
      <c r="G98" s="222"/>
      <c r="H98" s="202"/>
      <c r="I98" s="203"/>
      <c r="J98" s="5"/>
      <c r="K98" s="182"/>
      <c r="L98" s="5"/>
      <c r="M98" s="5"/>
      <c r="N98" s="5"/>
      <c r="O98" s="206" t="e">
        <f>IF(O97+1&lt;=MIN('Données projet'!$E$9:$E$18),O97+1,"STOP")</f>
        <v>#VALUE!</v>
      </c>
      <c r="P98" s="196" t="e">
        <f t="shared" si="7"/>
        <v>#VALUE!</v>
      </c>
      <c r="Q98" s="26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1">
        <f>'Données projet'!A102</f>
        <v>100</v>
      </c>
      <c r="B99" s="192">
        <f>'Données projet'!D102</f>
        <v>42</v>
      </c>
      <c r="C99" s="203">
        <v>100</v>
      </c>
      <c r="D99" s="190">
        <f t="shared" si="6"/>
        <v>4200</v>
      </c>
      <c r="E99" s="205"/>
      <c r="F99" s="262"/>
      <c r="G99" s="222"/>
      <c r="H99" s="202"/>
      <c r="I99" s="203"/>
      <c r="J99" s="5"/>
      <c r="K99" s="182"/>
      <c r="L99" s="5"/>
      <c r="M99" s="5"/>
      <c r="N99" s="5"/>
      <c r="O99" s="206" t="e">
        <f>IF(O98+1&lt;=MIN('Données projet'!$E$9:$E$18),O98+1,"STOP")</f>
        <v>#VALUE!</v>
      </c>
      <c r="P99" s="196" t="e">
        <f t="shared" si="7"/>
        <v>#VALUE!</v>
      </c>
      <c r="Q99" s="26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1">
        <f>'Données projet'!A103</f>
        <v>110</v>
      </c>
      <c r="B100" s="192">
        <f>'Données projet'!D103</f>
        <v>39</v>
      </c>
      <c r="C100" s="203">
        <v>110</v>
      </c>
      <c r="D100" s="190">
        <f t="shared" si="6"/>
        <v>4290</v>
      </c>
      <c r="E100" s="205"/>
      <c r="F100" s="262"/>
      <c r="G100" s="222"/>
      <c r="H100" s="202"/>
      <c r="I100" s="203"/>
      <c r="J100" s="5"/>
      <c r="K100" s="182"/>
      <c r="L100" s="5"/>
      <c r="M100" s="5"/>
      <c r="N100" s="5"/>
      <c r="O100" s="206" t="e">
        <f>IF(O99+1&lt;=MIN('Données projet'!$E$9:$E$18),O99+1,"STOP")</f>
        <v>#VALUE!</v>
      </c>
      <c r="P100" s="196" t="e">
        <f t="shared" si="7"/>
        <v>#VALUE!</v>
      </c>
      <c r="Q100" s="26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1">
        <f>'Données projet'!A104</f>
        <v>120</v>
      </c>
      <c r="B101" s="192">
        <f>'Données projet'!D104</f>
        <v>35</v>
      </c>
      <c r="C101" s="203">
        <v>130</v>
      </c>
      <c r="D101" s="190">
        <f t="shared" si="6"/>
        <v>4550</v>
      </c>
      <c r="E101" s="205"/>
      <c r="F101" s="262"/>
      <c r="G101" s="222"/>
      <c r="H101" s="202"/>
      <c r="I101" s="203"/>
      <c r="J101" s="5"/>
      <c r="K101" s="182"/>
      <c r="L101" s="5"/>
      <c r="M101" s="5"/>
      <c r="N101" s="5"/>
      <c r="O101" s="206" t="e">
        <f>IF(O100+1&lt;=MIN('Données projet'!$E$9:$E$18),O100+1,"STOP")</f>
        <v>#VALUE!</v>
      </c>
      <c r="P101" s="196" t="e">
        <f t="shared" si="7"/>
        <v>#VALUE!</v>
      </c>
      <c r="Q101" s="26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1">
        <f>'Données projet'!A105</f>
        <v>130</v>
      </c>
      <c r="B102" s="192">
        <f>'Données projet'!D105</f>
        <v>31</v>
      </c>
      <c r="C102" s="203">
        <v>150</v>
      </c>
      <c r="D102" s="190">
        <f t="shared" si="6"/>
        <v>4650</v>
      </c>
      <c r="E102" s="205"/>
      <c r="F102" s="262"/>
      <c r="G102" s="222"/>
      <c r="H102" s="202"/>
      <c r="I102" s="203"/>
      <c r="J102" s="5"/>
      <c r="K102" s="182"/>
      <c r="L102" s="5"/>
      <c r="M102" s="5"/>
      <c r="N102" s="5"/>
      <c r="O102" s="206" t="e">
        <f>IF(O101+1&lt;=MIN('Données projet'!$E$9:$E$18),O101+1,"STOP")</f>
        <v>#VALUE!</v>
      </c>
      <c r="P102" s="196" t="e">
        <f t="shared" si="7"/>
        <v>#VALUE!</v>
      </c>
      <c r="Q102" s="26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1">
        <f>'Données projet'!A106</f>
        <v>140</v>
      </c>
      <c r="B103" s="192">
        <f>'Données projet'!D106</f>
        <v>27</v>
      </c>
      <c r="C103" s="203">
        <v>200</v>
      </c>
      <c r="D103" s="190">
        <f t="shared" si="6"/>
        <v>5400</v>
      </c>
      <c r="E103" s="205"/>
      <c r="F103" s="262"/>
      <c r="G103" s="222"/>
      <c r="H103" s="202"/>
      <c r="I103" s="203"/>
      <c r="J103" s="5"/>
      <c r="K103" s="182"/>
      <c r="L103" s="5"/>
      <c r="M103" s="5"/>
      <c r="N103" s="5"/>
      <c r="O103" s="206" t="e">
        <f>IF(O102+1&lt;=MIN('Données projet'!$E$9:$E$18),O102+1,"STOP")</f>
        <v>#VALUE!</v>
      </c>
      <c r="P103" s="196" t="e">
        <f t="shared" si="7"/>
        <v>#VALUE!</v>
      </c>
      <c r="Q103" s="26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1">
        <f>'Données projet'!A107</f>
        <v>150</v>
      </c>
      <c r="B104" s="192">
        <f>'Données projet'!D107</f>
        <v>293</v>
      </c>
      <c r="C104" s="203">
        <v>200</v>
      </c>
      <c r="D104" s="190">
        <f t="shared" si="6"/>
        <v>58600</v>
      </c>
      <c r="E104" s="205"/>
      <c r="F104" s="262"/>
      <c r="G104" s="222"/>
      <c r="H104" s="202"/>
      <c r="I104" s="203"/>
      <c r="J104" s="5"/>
      <c r="K104" s="182"/>
      <c r="L104" s="5"/>
      <c r="M104" s="5"/>
      <c r="N104" s="5"/>
      <c r="O104" s="206" t="e">
        <f>IF(O103+1&lt;=MIN('Données projet'!$E$9:$E$18),O103+1,"STOP")</f>
        <v>#VALUE!</v>
      </c>
      <c r="P104" s="196" t="e">
        <f t="shared" si="7"/>
        <v>#VALUE!</v>
      </c>
      <c r="Q104" s="26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0"/>
      <c r="G105" s="222"/>
      <c r="H105" s="202"/>
      <c r="I105" s="203"/>
      <c r="J105" s="5"/>
      <c r="K105" s="182"/>
      <c r="L105" s="5"/>
      <c r="M105" s="5"/>
      <c r="N105" s="5"/>
      <c r="O105" s="206" t="e">
        <f>IF(O104+1&lt;=MIN('Données projet'!$E$9:$E$18),O104+1,"STOP")</f>
        <v>#VALUE!</v>
      </c>
      <c r="P105" s="196" t="e">
        <f t="shared" si="7"/>
        <v>#VALUE!</v>
      </c>
      <c r="Q105" s="26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0"/>
      <c r="G106" s="222"/>
      <c r="H106" s="202"/>
      <c r="I106" s="203"/>
      <c r="J106" s="5"/>
      <c r="K106" s="182"/>
      <c r="L106" s="5"/>
      <c r="M106" s="5"/>
      <c r="N106" s="5"/>
      <c r="O106" s="206" t="e">
        <f>IF(O105+1&lt;=MIN('Données projet'!$E$9:$E$18),O105+1,"STOP")</f>
        <v>#VALUE!</v>
      </c>
      <c r="P106" s="196" t="e">
        <f t="shared" si="7"/>
        <v>#VALUE!</v>
      </c>
      <c r="Q106" s="26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5" t="str">
        <f>IF('Données projet'!B12="","",'Données projet'!B12)</f>
        <v>Merisier</v>
      </c>
      <c r="C107" s="5"/>
      <c r="D107" s="5"/>
      <c r="E107" s="5"/>
      <c r="F107" s="260"/>
      <c r="G107" s="222"/>
      <c r="H107" s="202"/>
      <c r="I107" s="203"/>
      <c r="J107" s="5"/>
      <c r="K107" s="182"/>
      <c r="L107" s="5"/>
      <c r="M107" s="5"/>
      <c r="N107" s="5"/>
      <c r="O107" s="206" t="e">
        <f>IF(O106+1&lt;=MIN('Données projet'!$E$9:$E$18),O106+1,"STOP")</f>
        <v>#VALUE!</v>
      </c>
      <c r="P107" s="196" t="e">
        <f t="shared" si="7"/>
        <v>#VALUE!</v>
      </c>
      <c r="Q107" s="26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0"/>
      <c r="G108" s="222"/>
      <c r="H108" s="202"/>
      <c r="I108" s="203"/>
      <c r="J108" s="5"/>
      <c r="K108" s="182"/>
      <c r="L108" s="5"/>
      <c r="M108" s="5"/>
      <c r="N108" s="5"/>
      <c r="O108" s="206" t="e">
        <f>IF(O107+1&lt;=MIN('Données projet'!$E$9:$E$18),O107+1,"STOP")</f>
        <v>#VALUE!</v>
      </c>
      <c r="P108" s="196" t="e">
        <f t="shared" si="7"/>
        <v>#VALUE!</v>
      </c>
      <c r="Q108" s="26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6" t="s">
        <v>180</v>
      </c>
      <c r="B109" s="51" t="s">
        <v>256</v>
      </c>
      <c r="C109" s="51" t="s">
        <v>255</v>
      </c>
      <c r="D109" s="256" t="s">
        <v>252</v>
      </c>
      <c r="E109" s="256" t="s">
        <v>320</v>
      </c>
      <c r="F109" s="261"/>
      <c r="G109" s="222"/>
      <c r="H109" s="202"/>
      <c r="I109" s="203"/>
      <c r="J109" s="5"/>
      <c r="K109" s="182"/>
      <c r="L109" s="5"/>
      <c r="M109" s="5"/>
      <c r="N109" s="5"/>
      <c r="O109" s="206" t="e">
        <f>IF(O108+1&lt;=MIN('Données projet'!$E$9:$E$18),O108+1,"STOP")</f>
        <v>#VALUE!</v>
      </c>
      <c r="P109" s="196" t="e">
        <f t="shared" si="7"/>
        <v>#VALUE!</v>
      </c>
      <c r="Q109" s="26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09">
        <v>0</v>
      </c>
      <c r="B110" s="212" t="s">
        <v>132</v>
      </c>
      <c r="C110" s="211" t="s">
        <v>132</v>
      </c>
      <c r="D110" s="210" t="s">
        <v>132</v>
      </c>
      <c r="E110" s="205"/>
      <c r="F110" s="261"/>
      <c r="G110" s="222"/>
      <c r="H110" s="202"/>
      <c r="I110" s="203"/>
      <c r="J110" s="5"/>
      <c r="K110" s="182"/>
      <c r="L110" s="5"/>
      <c r="M110" s="5"/>
      <c r="N110" s="5"/>
      <c r="O110" s="206" t="e">
        <f>IF(O109+1&lt;=MIN('Données projet'!$E$9:$E$18),O109+1,"STOP")</f>
        <v>#VALUE!</v>
      </c>
      <c r="P110" s="196" t="e">
        <f t="shared" si="7"/>
        <v>#VALUE!</v>
      </c>
      <c r="Q110" s="26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09">
        <v>1</v>
      </c>
      <c r="B111" s="212" t="s">
        <v>132</v>
      </c>
      <c r="C111" s="211" t="s">
        <v>132</v>
      </c>
      <c r="D111" s="210" t="s">
        <v>132</v>
      </c>
      <c r="E111" s="205"/>
      <c r="F111" s="261"/>
      <c r="G111" s="220"/>
      <c r="H111" s="202"/>
      <c r="I111" s="203"/>
      <c r="J111" s="5"/>
      <c r="K111" s="182"/>
      <c r="L111" s="5"/>
      <c r="M111" s="5"/>
      <c r="N111" s="5"/>
      <c r="O111" s="206" t="e">
        <f>IF(O110+1&lt;=MIN('Données projet'!$E$9:$E$18),O110+1,"STOP")</f>
        <v>#VALUE!</v>
      </c>
      <c r="P111" s="196" t="e">
        <f t="shared" si="7"/>
        <v>#VALUE!</v>
      </c>
      <c r="Q111" s="26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09">
        <v>2</v>
      </c>
      <c r="B112" s="212" t="s">
        <v>132</v>
      </c>
      <c r="C112" s="211" t="s">
        <v>132</v>
      </c>
      <c r="D112" s="210" t="s">
        <v>132</v>
      </c>
      <c r="E112" s="205"/>
      <c r="F112" s="261"/>
      <c r="G112" s="220"/>
      <c r="H112" s="202"/>
      <c r="I112" s="203"/>
      <c r="J112" s="5"/>
      <c r="K112" s="182"/>
      <c r="L112" s="5"/>
      <c r="M112" s="5"/>
      <c r="N112" s="5"/>
      <c r="O112" s="206" t="e">
        <f>IF(O111+1&lt;=MIN('Données projet'!$E$9:$E$18),O111+1,"STOP")</f>
        <v>#VALUE!</v>
      </c>
      <c r="P112" s="196" t="e">
        <f t="shared" si="7"/>
        <v>#VALUE!</v>
      </c>
      <c r="Q112" s="26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09">
        <v>3</v>
      </c>
      <c r="B113" s="212" t="s">
        <v>132</v>
      </c>
      <c r="C113" s="211" t="s">
        <v>132</v>
      </c>
      <c r="D113" s="210" t="s">
        <v>132</v>
      </c>
      <c r="E113" s="205"/>
      <c r="F113" s="261"/>
      <c r="G113" s="220"/>
      <c r="H113" s="202"/>
      <c r="I113" s="203"/>
      <c r="J113" s="5"/>
      <c r="K113" s="182"/>
      <c r="L113" s="5"/>
      <c r="M113" s="5"/>
      <c r="N113" s="5"/>
      <c r="O113" s="206" t="e">
        <f>IF(O112+1&lt;=MIN('Données projet'!$E$9:$E$18),O112+1,"STOP")</f>
        <v>#VALUE!</v>
      </c>
      <c r="P113" s="196" t="e">
        <f t="shared" si="7"/>
        <v>#VALUE!</v>
      </c>
      <c r="Q113" s="26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09">
        <v>4</v>
      </c>
      <c r="B114" s="212" t="s">
        <v>132</v>
      </c>
      <c r="C114" s="211" t="s">
        <v>132</v>
      </c>
      <c r="D114" s="210" t="s">
        <v>132</v>
      </c>
      <c r="E114" s="205"/>
      <c r="F114" s="261"/>
      <c r="G114" s="220"/>
      <c r="H114" s="202"/>
      <c r="I114" s="203"/>
      <c r="J114" s="5"/>
      <c r="K114" s="182"/>
      <c r="L114" s="5"/>
      <c r="M114" s="5"/>
      <c r="N114" s="5"/>
      <c r="O114" s="206" t="e">
        <f>IF(O113+1&lt;=MIN('Données projet'!$E$9:$E$18),O113+1,"STOP")</f>
        <v>#VALUE!</v>
      </c>
      <c r="P114" s="196" t="e">
        <f t="shared" si="7"/>
        <v>#VALUE!</v>
      </c>
      <c r="Q114" s="26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09">
        <v>5</v>
      </c>
      <c r="B115" s="212" t="s">
        <v>132</v>
      </c>
      <c r="C115" s="211" t="s">
        <v>132</v>
      </c>
      <c r="D115" s="210" t="s">
        <v>132</v>
      </c>
      <c r="E115" s="205"/>
      <c r="F115" s="261"/>
      <c r="G115" s="221"/>
      <c r="H115" s="202"/>
      <c r="I115" s="203"/>
      <c r="J115" s="5"/>
      <c r="K115" s="182"/>
      <c r="L115" s="5"/>
      <c r="M115" s="5"/>
      <c r="N115" s="5"/>
      <c r="O115" s="206" t="e">
        <f>IF(O114+1&lt;=MIN('Données projet'!$E$9:$E$18),O114+1,"STOP")</f>
        <v>#VALUE!</v>
      </c>
      <c r="P115" s="196" t="e">
        <f t="shared" si="7"/>
        <v>#VALUE!</v>
      </c>
      <c r="Q115" s="26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1">
        <f>'Données projet'!A114</f>
        <v>15</v>
      </c>
      <c r="B116" s="192">
        <f>'Données projet'!D114</f>
        <v>0</v>
      </c>
      <c r="C116" s="203"/>
      <c r="D116" s="190">
        <f>B116*C116</f>
        <v>0</v>
      </c>
      <c r="E116" s="205"/>
      <c r="F116" s="262"/>
      <c r="G116" s="221"/>
      <c r="H116" s="202"/>
      <c r="I116" s="203"/>
      <c r="J116" s="5"/>
      <c r="K116" s="182"/>
      <c r="L116" s="5"/>
      <c r="M116" s="5"/>
      <c r="N116" s="5"/>
      <c r="O116" s="206" t="e">
        <f>IF(O115+1&lt;=MIN('Données projet'!$E$9:$E$18),O115+1,"STOP")</f>
        <v>#VALUE!</v>
      </c>
      <c r="P116" s="196" t="e">
        <f t="shared" si="7"/>
        <v>#VALUE!</v>
      </c>
      <c r="Q116" s="26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1">
        <f>'Données projet'!A115</f>
        <v>20</v>
      </c>
      <c r="B117" s="192">
        <f>'Données projet'!D115</f>
        <v>0</v>
      </c>
      <c r="C117" s="203"/>
      <c r="D117" s="190">
        <f t="shared" ref="D117:D135" si="8">B117*C117</f>
        <v>0</v>
      </c>
      <c r="E117" s="205"/>
      <c r="F117" s="262"/>
      <c r="G117" s="221"/>
      <c r="H117" s="202"/>
      <c r="I117" s="203"/>
      <c r="J117" s="5"/>
      <c r="K117" s="182"/>
      <c r="L117" s="5"/>
      <c r="M117" s="5"/>
      <c r="N117" s="5"/>
      <c r="O117" s="206" t="e">
        <f>IF(O116+1&lt;=MIN('Données projet'!$E$9:$E$18),O116+1,"STOP")</f>
        <v>#VALUE!</v>
      </c>
      <c r="P117" s="196" t="e">
        <f t="shared" si="7"/>
        <v>#VALUE!</v>
      </c>
      <c r="Q117" s="26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1">
        <f>'Données projet'!A116</f>
        <v>25</v>
      </c>
      <c r="B118" s="192">
        <f>'Données projet'!D116</f>
        <v>55</v>
      </c>
      <c r="C118" s="203">
        <v>10</v>
      </c>
      <c r="D118" s="190">
        <f t="shared" si="8"/>
        <v>550</v>
      </c>
      <c r="E118" s="205"/>
      <c r="F118" s="262"/>
      <c r="G118" s="221"/>
      <c r="H118" s="202"/>
      <c r="I118" s="203"/>
      <c r="J118" s="5"/>
      <c r="K118" s="182"/>
      <c r="L118" s="5"/>
      <c r="M118" s="5"/>
      <c r="N118" s="5"/>
      <c r="O118" s="206" t="e">
        <f>IF(O117+1&lt;=MIN('Données projet'!$E$9:$E$18),O117+1,"STOP")</f>
        <v>#VALUE!</v>
      </c>
      <c r="P118" s="196" t="e">
        <f t="shared" si="7"/>
        <v>#VALUE!</v>
      </c>
      <c r="Q118" s="26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1">
        <f>'Données projet'!A117</f>
        <v>31</v>
      </c>
      <c r="B119" s="192">
        <f>'Données projet'!D117</f>
        <v>36</v>
      </c>
      <c r="C119" s="203">
        <v>15</v>
      </c>
      <c r="D119" s="190">
        <f t="shared" si="8"/>
        <v>540</v>
      </c>
      <c r="E119" s="205"/>
      <c r="F119" s="262"/>
      <c r="G119" s="221"/>
      <c r="H119" s="202"/>
      <c r="I119" s="203"/>
      <c r="J119" s="5"/>
      <c r="K119" s="182"/>
      <c r="L119" s="5"/>
      <c r="M119" s="5"/>
      <c r="N119" s="5"/>
      <c r="O119" s="206" t="e">
        <f>IF(O118+1&lt;=MIN('Données projet'!$E$9:$E$18),O118+1,"STOP")</f>
        <v>#VALUE!</v>
      </c>
      <c r="P119" s="196" t="e">
        <f t="shared" si="7"/>
        <v>#VALUE!</v>
      </c>
      <c r="Q119" s="26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1">
        <f>'Données projet'!A118</f>
        <v>37</v>
      </c>
      <c r="B120" s="192">
        <f>'Données projet'!D118</f>
        <v>36</v>
      </c>
      <c r="C120" s="203">
        <v>30</v>
      </c>
      <c r="D120" s="190">
        <f t="shared" si="8"/>
        <v>1080</v>
      </c>
      <c r="E120" s="205"/>
      <c r="F120" s="262"/>
      <c r="G120" s="221"/>
      <c r="H120" s="202"/>
      <c r="I120" s="203"/>
      <c r="J120" s="5"/>
      <c r="K120" s="182"/>
      <c r="L120" s="5"/>
      <c r="M120" s="5"/>
      <c r="N120" s="5"/>
      <c r="O120" s="206" t="e">
        <f>IF(O119+1&lt;=MIN('Données projet'!$E$9:$E$18),O119+1,"STOP")</f>
        <v>#VALUE!</v>
      </c>
      <c r="P120" s="196" t="e">
        <f t="shared" si="7"/>
        <v>#VALUE!</v>
      </c>
      <c r="Q120" s="26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1">
        <f>'Données projet'!A119</f>
        <v>44</v>
      </c>
      <c r="B121" s="192">
        <f>'Données projet'!D119</f>
        <v>43</v>
      </c>
      <c r="C121" s="203">
        <v>40</v>
      </c>
      <c r="D121" s="190">
        <f t="shared" si="8"/>
        <v>1720</v>
      </c>
      <c r="E121" s="205"/>
      <c r="F121" s="262"/>
      <c r="G121" s="221"/>
      <c r="H121" s="202"/>
      <c r="I121" s="203"/>
      <c r="J121" s="5"/>
      <c r="K121" s="182"/>
      <c r="L121" s="5"/>
      <c r="M121" s="5"/>
      <c r="N121" s="5"/>
      <c r="O121" s="206" t="e">
        <f>IF(O120+1&lt;=MIN('Données projet'!$E$9:$E$18),O120+1,"STOP")</f>
        <v>#VALUE!</v>
      </c>
      <c r="P121" s="196" t="e">
        <f t="shared" si="7"/>
        <v>#VALUE!</v>
      </c>
      <c r="Q121" s="26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1">
        <f>'Données projet'!A120</f>
        <v>52</v>
      </c>
      <c r="B122" s="192">
        <f>'Données projet'!D120</f>
        <v>48</v>
      </c>
      <c r="C122" s="203">
        <v>50</v>
      </c>
      <c r="D122" s="190">
        <f t="shared" si="8"/>
        <v>2400</v>
      </c>
      <c r="E122" s="205"/>
      <c r="F122" s="262"/>
      <c r="G122" s="222"/>
      <c r="H122" s="202"/>
      <c r="I122" s="203"/>
      <c r="J122" s="5"/>
      <c r="K122" s="182"/>
      <c r="L122" s="5"/>
      <c r="M122" s="5"/>
      <c r="N122" s="5"/>
      <c r="O122" s="206" t="e">
        <f>IF(O121+1&lt;=MIN('Données projet'!$E$9:$E$18),O121+1,"STOP")</f>
        <v>#VALUE!</v>
      </c>
      <c r="P122" s="196" t="e">
        <f t="shared" si="7"/>
        <v>#VALUE!</v>
      </c>
      <c r="Q122" s="26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1">
        <f>'Données projet'!A121</f>
        <v>60</v>
      </c>
      <c r="B123" s="192">
        <f>'Données projet'!D121</f>
        <v>47</v>
      </c>
      <c r="C123" s="203">
        <v>100</v>
      </c>
      <c r="D123" s="190">
        <f t="shared" si="8"/>
        <v>4700</v>
      </c>
      <c r="E123" s="205"/>
      <c r="F123" s="262"/>
      <c r="G123" s="222"/>
      <c r="H123" s="202"/>
      <c r="I123" s="203"/>
      <c r="J123" s="5"/>
      <c r="K123" s="182"/>
      <c r="L123" s="5"/>
      <c r="M123" s="5"/>
      <c r="N123" s="5"/>
      <c r="O123" s="206" t="e">
        <f>IF(O122+1&lt;=MIN('Données projet'!$E$9:$E$18),O122+1,"STOP")</f>
        <v>#VALUE!</v>
      </c>
      <c r="P123" s="196" t="e">
        <f t="shared" si="7"/>
        <v>#VALUE!</v>
      </c>
      <c r="Q123" s="26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1">
        <f>'Données projet'!A122</f>
        <v>69</v>
      </c>
      <c r="B124" s="192">
        <f>'Données projet'!D122</f>
        <v>328</v>
      </c>
      <c r="C124" s="203">
        <v>110</v>
      </c>
      <c r="D124" s="190">
        <f t="shared" si="8"/>
        <v>36080</v>
      </c>
      <c r="E124" s="205"/>
      <c r="F124" s="262"/>
      <c r="G124" s="222"/>
      <c r="H124" s="202"/>
      <c r="I124" s="203"/>
      <c r="J124" s="5"/>
      <c r="K124" s="182"/>
      <c r="L124" s="5"/>
      <c r="M124" s="5"/>
      <c r="N124" s="5"/>
      <c r="O124" s="206" t="e">
        <f>IF(O123+1&lt;=MIN('Données projet'!$E$9:$E$18),O123+1,"STOP")</f>
        <v>#VALUE!</v>
      </c>
      <c r="P124" s="196" t="e">
        <f t="shared" si="7"/>
        <v>#VALUE!</v>
      </c>
      <c r="Q124" s="26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1">
        <f>'Données projet'!A123</f>
        <v>0</v>
      </c>
      <c r="B125" s="192">
        <f>'Données projet'!D123</f>
        <v>0</v>
      </c>
      <c r="C125" s="203"/>
      <c r="D125" s="190">
        <f t="shared" si="8"/>
        <v>0</v>
      </c>
      <c r="E125" s="205"/>
      <c r="F125" s="262"/>
      <c r="G125" s="222"/>
      <c r="H125" s="202"/>
      <c r="I125" s="203"/>
      <c r="J125" s="5"/>
      <c r="K125" s="182"/>
      <c r="L125" s="5"/>
      <c r="M125" s="5"/>
      <c r="N125" s="5"/>
      <c r="O125" s="206" t="e">
        <f>IF(O124+1&lt;=MIN('Données projet'!$E$9:$E$18),O124+1,"STOP")</f>
        <v>#VALUE!</v>
      </c>
      <c r="P125" s="196" t="e">
        <f t="shared" si="7"/>
        <v>#VALUE!</v>
      </c>
      <c r="Q125" s="26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1">
        <f>'Données projet'!A124</f>
        <v>0</v>
      </c>
      <c r="B126" s="192">
        <f>'Données projet'!D124</f>
        <v>0</v>
      </c>
      <c r="C126" s="203"/>
      <c r="D126" s="190">
        <f t="shared" si="8"/>
        <v>0</v>
      </c>
      <c r="E126" s="205"/>
      <c r="F126" s="262"/>
      <c r="G126" s="222"/>
      <c r="H126" s="202"/>
      <c r="I126" s="203"/>
      <c r="J126" s="5"/>
      <c r="K126" s="182"/>
      <c r="L126" s="5"/>
      <c r="M126" s="5"/>
      <c r="N126" s="5"/>
      <c r="O126" s="206" t="e">
        <f>IF(O125+1&lt;=MIN('Données projet'!$E$9:$E$18),O125+1,"STOP")</f>
        <v>#VALUE!</v>
      </c>
      <c r="P126" s="196" t="e">
        <f t="shared" si="7"/>
        <v>#VALUE!</v>
      </c>
      <c r="Q126" s="26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1">
        <f>'Données projet'!A125</f>
        <v>0</v>
      </c>
      <c r="B127" s="192">
        <f>'Données projet'!D125</f>
        <v>0</v>
      </c>
      <c r="C127" s="203"/>
      <c r="D127" s="190">
        <f t="shared" si="8"/>
        <v>0</v>
      </c>
      <c r="E127" s="205"/>
      <c r="F127" s="262"/>
      <c r="G127" s="222"/>
      <c r="H127" s="202"/>
      <c r="I127" s="203"/>
      <c r="J127" s="5"/>
      <c r="K127" s="182"/>
      <c r="L127" s="5"/>
      <c r="M127" s="5"/>
      <c r="N127" s="5"/>
      <c r="O127" s="206" t="e">
        <f>IF(O126+1&lt;=MIN('Données projet'!$E$9:$E$18),O126+1,"STOP")</f>
        <v>#VALUE!</v>
      </c>
      <c r="P127" s="196" t="e">
        <f t="shared" si="7"/>
        <v>#VALUE!</v>
      </c>
      <c r="Q127" s="26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1">
        <f>'Données projet'!A126</f>
        <v>0</v>
      </c>
      <c r="B128" s="192">
        <f>'Données projet'!D126</f>
        <v>0</v>
      </c>
      <c r="C128" s="203"/>
      <c r="D128" s="190">
        <f t="shared" si="8"/>
        <v>0</v>
      </c>
      <c r="E128" s="205"/>
      <c r="F128" s="262"/>
      <c r="G128" s="222"/>
      <c r="H128" s="202"/>
      <c r="I128" s="203"/>
      <c r="J128" s="5"/>
      <c r="K128" s="182"/>
      <c r="L128" s="5"/>
      <c r="M128" s="5"/>
      <c r="N128" s="5"/>
      <c r="O128" s="206" t="e">
        <f>IF(O127+1&lt;=MIN('Données projet'!$E$9:$E$18),O127+1,"STOP")</f>
        <v>#VALUE!</v>
      </c>
      <c r="P128" s="196" t="e">
        <f t="shared" si="7"/>
        <v>#VALUE!</v>
      </c>
      <c r="Q128" s="26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1">
        <f>'Données projet'!A127</f>
        <v>0</v>
      </c>
      <c r="B129" s="192">
        <f>'Données projet'!D127</f>
        <v>0</v>
      </c>
      <c r="C129" s="203"/>
      <c r="D129" s="190">
        <f t="shared" si="8"/>
        <v>0</v>
      </c>
      <c r="E129" s="205"/>
      <c r="F129" s="262"/>
      <c r="G129" s="222"/>
      <c r="H129" s="202"/>
      <c r="I129" s="203"/>
      <c r="J129" s="5"/>
      <c r="K129" s="182"/>
      <c r="L129" s="5"/>
      <c r="M129" s="5"/>
      <c r="N129" s="5"/>
      <c r="O129" s="206" t="e">
        <f>IF(O128+1&lt;=MIN('Données projet'!$E$9:$E$18),O128+1,"STOP")</f>
        <v>#VALUE!</v>
      </c>
      <c r="P129" s="196" t="e">
        <f t="shared" ref="P129:P132" si="9">$P$25/(1+$M$4)^O129</f>
        <v>#VALUE!</v>
      </c>
      <c r="Q129" s="26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1">
        <f>'Données projet'!A128</f>
        <v>0</v>
      </c>
      <c r="B130" s="192">
        <f>'Données projet'!D128</f>
        <v>0</v>
      </c>
      <c r="C130" s="203"/>
      <c r="D130" s="190">
        <f t="shared" si="8"/>
        <v>0</v>
      </c>
      <c r="E130" s="205"/>
      <c r="F130" s="262"/>
      <c r="G130" s="222"/>
      <c r="H130" s="202"/>
      <c r="I130" s="203"/>
      <c r="J130" s="5"/>
      <c r="K130" s="182"/>
      <c r="L130" s="5"/>
      <c r="M130" s="5"/>
      <c r="N130" s="5"/>
      <c r="O130" s="206" t="e">
        <f>IF(O129+1&lt;=MIN('Données projet'!$E$9:$E$18),O129+1,"STOP")</f>
        <v>#VALUE!</v>
      </c>
      <c r="P130" s="196" t="e">
        <f t="shared" si="9"/>
        <v>#VALUE!</v>
      </c>
      <c r="Q130" s="26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1">
        <f>'Données projet'!A129</f>
        <v>0</v>
      </c>
      <c r="B131" s="192">
        <f>'Données projet'!D129</f>
        <v>0</v>
      </c>
      <c r="C131" s="203"/>
      <c r="D131" s="190">
        <f t="shared" si="8"/>
        <v>0</v>
      </c>
      <c r="E131" s="205"/>
      <c r="F131" s="262"/>
      <c r="G131" s="222"/>
      <c r="H131" s="202"/>
      <c r="I131" s="203"/>
      <c r="J131" s="5"/>
      <c r="K131" s="182"/>
      <c r="L131" s="5"/>
      <c r="M131" s="5"/>
      <c r="N131" s="5"/>
      <c r="O131" s="206" t="e">
        <f>IF(O130+1&lt;=MIN('Données projet'!$E$9:$E$18),O130+1,"STOP")</f>
        <v>#VALUE!</v>
      </c>
      <c r="P131" s="196" t="e">
        <f t="shared" si="9"/>
        <v>#VALUE!</v>
      </c>
      <c r="Q131" s="26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1">
        <f>'Données projet'!A130</f>
        <v>0</v>
      </c>
      <c r="B132" s="192">
        <f>'Données projet'!D130</f>
        <v>0</v>
      </c>
      <c r="C132" s="203"/>
      <c r="D132" s="190">
        <f t="shared" si="8"/>
        <v>0</v>
      </c>
      <c r="E132" s="205"/>
      <c r="F132" s="262"/>
      <c r="G132" s="222"/>
      <c r="H132" s="202"/>
      <c r="I132" s="203"/>
      <c r="J132" s="5"/>
      <c r="K132" s="182"/>
      <c r="L132" s="5"/>
      <c r="M132" s="5"/>
      <c r="N132" s="5"/>
      <c r="O132" s="206" t="e">
        <f>IF(O131+1&lt;=MIN('Données projet'!$E$9:$E$18),O131+1,"STOP")</f>
        <v>#VALUE!</v>
      </c>
      <c r="P132" s="196" t="e">
        <f t="shared" si="9"/>
        <v>#VALUE!</v>
      </c>
      <c r="Q132" s="26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1">
        <f>'Données projet'!A131</f>
        <v>0</v>
      </c>
      <c r="B133" s="192">
        <f>'Données projet'!D131</f>
        <v>0</v>
      </c>
      <c r="C133" s="203"/>
      <c r="D133" s="190">
        <f t="shared" si="8"/>
        <v>0</v>
      </c>
      <c r="E133" s="205"/>
      <c r="F133" s="262"/>
      <c r="G133" s="222"/>
      <c r="H133" s="202"/>
      <c r="I133" s="203"/>
      <c r="J133" s="5"/>
      <c r="K133" s="182"/>
      <c r="Q133" s="26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1">
        <f>'Données projet'!A132</f>
        <v>0</v>
      </c>
      <c r="B134" s="192">
        <f>'Données projet'!D132</f>
        <v>0</v>
      </c>
      <c r="C134" s="203"/>
      <c r="D134" s="190">
        <f t="shared" si="8"/>
        <v>0</v>
      </c>
      <c r="E134" s="205"/>
      <c r="F134" s="262"/>
      <c r="G134" s="222"/>
      <c r="H134" s="202"/>
      <c r="I134" s="203"/>
      <c r="J134" s="5"/>
      <c r="K134" s="182"/>
      <c r="Q134" s="26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1">
        <f>'Données projet'!A133</f>
        <v>0</v>
      </c>
      <c r="B135" s="192">
        <f>'Données projet'!D133</f>
        <v>0</v>
      </c>
      <c r="C135" s="203"/>
      <c r="D135" s="190">
        <f t="shared" si="8"/>
        <v>0</v>
      </c>
      <c r="E135" s="205"/>
      <c r="F135" s="262"/>
      <c r="G135" s="222"/>
      <c r="H135" s="202"/>
      <c r="I135" s="203"/>
      <c r="J135" s="5"/>
      <c r="K135" s="182"/>
      <c r="Q135" s="26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0"/>
      <c r="G136" s="222"/>
      <c r="H136" s="202"/>
      <c r="I136" s="203"/>
      <c r="J136" s="5"/>
      <c r="K136" s="182"/>
      <c r="L136" s="5"/>
      <c r="M136" s="5"/>
      <c r="N136" s="5"/>
      <c r="Q136" s="26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0"/>
      <c r="G137" s="222"/>
      <c r="H137" s="202"/>
      <c r="I137" s="203"/>
      <c r="J137" s="5"/>
      <c r="K137" s="182"/>
      <c r="L137" s="5"/>
      <c r="M137" s="5"/>
      <c r="N137" s="5"/>
      <c r="Q137" s="26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5" t="str">
        <f>IF('Données projet'!B13="","",'Données projet'!B13)</f>
        <v/>
      </c>
      <c r="C138" s="5"/>
      <c r="D138" s="5"/>
      <c r="E138" s="5"/>
      <c r="F138" s="260"/>
      <c r="G138" s="222"/>
      <c r="H138" s="202"/>
      <c r="I138" s="203"/>
      <c r="J138" s="5"/>
      <c r="K138" s="182"/>
      <c r="L138" s="5"/>
      <c r="M138" s="5"/>
      <c r="N138" s="5"/>
      <c r="Q138" s="26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0"/>
      <c r="G139" s="222"/>
      <c r="H139" s="202"/>
      <c r="I139" s="203"/>
      <c r="J139" s="5"/>
      <c r="K139" s="182"/>
      <c r="L139" s="5"/>
      <c r="M139" s="5"/>
      <c r="N139" s="5"/>
      <c r="Q139" s="26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6" t="s">
        <v>180</v>
      </c>
      <c r="B140" s="51" t="s">
        <v>256</v>
      </c>
      <c r="C140" s="51" t="s">
        <v>255</v>
      </c>
      <c r="D140" s="256" t="s">
        <v>252</v>
      </c>
      <c r="E140" s="256" t="s">
        <v>320</v>
      </c>
      <c r="F140" s="261"/>
      <c r="G140" s="222"/>
      <c r="H140" s="202"/>
      <c r="I140" s="203"/>
      <c r="J140" s="5"/>
      <c r="K140" s="182"/>
      <c r="L140" s="5"/>
      <c r="M140" s="5"/>
      <c r="N140" s="5"/>
      <c r="Q140" s="26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09">
        <v>0</v>
      </c>
      <c r="B141" s="212" t="s">
        <v>132</v>
      </c>
      <c r="C141" s="211" t="s">
        <v>132</v>
      </c>
      <c r="D141" s="210" t="s">
        <v>132</v>
      </c>
      <c r="E141" s="205"/>
      <c r="F141" s="261"/>
      <c r="G141" s="222"/>
      <c r="H141" s="202"/>
      <c r="I141" s="203"/>
      <c r="J141" s="5"/>
      <c r="K141" s="182"/>
      <c r="L141" s="5"/>
      <c r="M141" s="5"/>
      <c r="N141" s="5"/>
      <c r="Q141" s="26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09">
        <v>1</v>
      </c>
      <c r="B142" s="212" t="s">
        <v>132</v>
      </c>
      <c r="C142" s="211" t="s">
        <v>132</v>
      </c>
      <c r="D142" s="210" t="s">
        <v>132</v>
      </c>
      <c r="E142" s="205"/>
      <c r="F142" s="261"/>
      <c r="G142" s="220"/>
      <c r="H142" s="202"/>
      <c r="I142" s="203"/>
      <c r="J142" s="5"/>
      <c r="K142" s="182"/>
      <c r="L142" s="5"/>
      <c r="M142" s="5"/>
      <c r="N142" s="5"/>
      <c r="Q142" s="26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09">
        <v>2</v>
      </c>
      <c r="B143" s="212" t="s">
        <v>132</v>
      </c>
      <c r="C143" s="211" t="s">
        <v>132</v>
      </c>
      <c r="D143" s="210" t="s">
        <v>132</v>
      </c>
      <c r="E143" s="205"/>
      <c r="F143" s="261"/>
      <c r="G143" s="220"/>
      <c r="H143" s="202"/>
      <c r="I143" s="203"/>
      <c r="J143" s="5"/>
      <c r="K143" s="182"/>
      <c r="L143" s="5"/>
      <c r="M143" s="5"/>
      <c r="N143" s="5"/>
      <c r="Q143" s="26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09">
        <v>3</v>
      </c>
      <c r="B144" s="212" t="s">
        <v>132</v>
      </c>
      <c r="C144" s="211" t="s">
        <v>132</v>
      </c>
      <c r="D144" s="210" t="s">
        <v>132</v>
      </c>
      <c r="E144" s="205"/>
      <c r="F144" s="261"/>
      <c r="G144" s="220"/>
      <c r="H144" s="202"/>
      <c r="I144" s="203"/>
      <c r="J144" s="5"/>
      <c r="K144" s="182"/>
      <c r="L144" s="5"/>
      <c r="M144" s="5"/>
      <c r="N144" s="5"/>
      <c r="Q144" s="26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09">
        <v>4</v>
      </c>
      <c r="B145" s="212" t="s">
        <v>132</v>
      </c>
      <c r="C145" s="211" t="s">
        <v>132</v>
      </c>
      <c r="D145" s="210" t="s">
        <v>132</v>
      </c>
      <c r="E145" s="205"/>
      <c r="F145" s="261"/>
      <c r="G145" s="220"/>
      <c r="H145" s="202"/>
      <c r="I145" s="203"/>
      <c r="J145" s="5"/>
      <c r="K145" s="182"/>
      <c r="L145" s="5"/>
      <c r="M145" s="5"/>
      <c r="N145" s="5"/>
      <c r="Q145" s="26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09">
        <v>5</v>
      </c>
      <c r="B146" s="212" t="s">
        <v>132</v>
      </c>
      <c r="C146" s="211" t="s">
        <v>132</v>
      </c>
      <c r="D146" s="210" t="s">
        <v>132</v>
      </c>
      <c r="E146" s="205"/>
      <c r="F146" s="261"/>
      <c r="G146" s="221"/>
      <c r="H146" s="202"/>
      <c r="I146" s="203"/>
      <c r="J146" s="5"/>
      <c r="K146" s="182"/>
      <c r="L146" s="5"/>
      <c r="M146" s="5"/>
      <c r="N146" s="5"/>
      <c r="Q146" s="26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6">
        <f>'Données projet'!D140</f>
        <v>0</v>
      </c>
      <c r="C147" s="203"/>
      <c r="D147" s="193">
        <f>B147*C147</f>
        <v>0</v>
      </c>
      <c r="E147" s="205"/>
      <c r="F147" s="263"/>
      <c r="G147" s="221"/>
      <c r="H147" s="202"/>
      <c r="I147" s="203"/>
      <c r="J147" s="5"/>
      <c r="K147" s="182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6">
        <f>'Données projet'!D141</f>
        <v>0</v>
      </c>
      <c r="C148" s="203"/>
      <c r="D148" s="193">
        <f t="shared" ref="D148:D166" si="10">B148*C148</f>
        <v>0</v>
      </c>
      <c r="E148" s="205"/>
      <c r="F148" s="263"/>
      <c r="G148" s="221"/>
      <c r="H148" s="202"/>
      <c r="I148" s="203"/>
      <c r="J148" s="5"/>
      <c r="K148" s="182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6">
        <f>'Données projet'!D142</f>
        <v>0</v>
      </c>
      <c r="C149" s="203"/>
      <c r="D149" s="193">
        <f t="shared" si="10"/>
        <v>0</v>
      </c>
      <c r="E149" s="205"/>
      <c r="F149" s="263"/>
      <c r="G149" s="221"/>
      <c r="H149" s="202"/>
      <c r="I149" s="203"/>
      <c r="J149" s="5"/>
      <c r="K149" s="182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6">
        <f>'Données projet'!D143</f>
        <v>0</v>
      </c>
      <c r="C150" s="203"/>
      <c r="D150" s="193">
        <f t="shared" si="10"/>
        <v>0</v>
      </c>
      <c r="E150" s="205"/>
      <c r="F150" s="263"/>
      <c r="G150" s="221"/>
      <c r="H150" s="202"/>
      <c r="I150" s="203"/>
      <c r="J150" s="5"/>
      <c r="K150" s="182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6">
        <f>'Données projet'!D144</f>
        <v>0</v>
      </c>
      <c r="C151" s="203"/>
      <c r="D151" s="193">
        <f t="shared" si="10"/>
        <v>0</v>
      </c>
      <c r="E151" s="205"/>
      <c r="F151" s="263"/>
      <c r="G151" s="221"/>
      <c r="H151" s="202"/>
      <c r="I151" s="203"/>
      <c r="J151" s="5"/>
      <c r="K151" s="182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6">
        <f>'Données projet'!D145</f>
        <v>0</v>
      </c>
      <c r="C152" s="203"/>
      <c r="D152" s="193">
        <f t="shared" si="10"/>
        <v>0</v>
      </c>
      <c r="E152" s="205"/>
      <c r="F152" s="263"/>
      <c r="G152" s="221"/>
      <c r="H152" s="202"/>
      <c r="I152" s="203"/>
      <c r="J152" s="5"/>
      <c r="K152" s="182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6">
        <f>'Données projet'!D146</f>
        <v>0</v>
      </c>
      <c r="C153" s="203"/>
      <c r="D153" s="193">
        <f t="shared" si="10"/>
        <v>0</v>
      </c>
      <c r="E153" s="205"/>
      <c r="F153" s="263"/>
      <c r="G153" s="217"/>
      <c r="H153" s="202"/>
      <c r="I153" s="203"/>
      <c r="J153" s="5"/>
      <c r="K153" s="182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6">
        <f>'Données projet'!D147</f>
        <v>0</v>
      </c>
      <c r="C154" s="203"/>
      <c r="D154" s="193">
        <f t="shared" si="10"/>
        <v>0</v>
      </c>
      <c r="E154" s="205"/>
      <c r="F154" s="263"/>
      <c r="G154" s="217"/>
      <c r="H154" s="202"/>
      <c r="I154" s="203"/>
      <c r="J154" s="5"/>
      <c r="K154" s="182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6">
        <f>'Données projet'!D148</f>
        <v>0</v>
      </c>
      <c r="C155" s="203"/>
      <c r="D155" s="193">
        <f t="shared" si="10"/>
        <v>0</v>
      </c>
      <c r="E155" s="205"/>
      <c r="F155" s="263"/>
      <c r="G155" s="217"/>
      <c r="H155" s="202"/>
      <c r="I155" s="203"/>
      <c r="J155" s="5"/>
      <c r="K155" s="182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6">
        <f>'Données projet'!D149</f>
        <v>0</v>
      </c>
      <c r="C156" s="203"/>
      <c r="D156" s="193">
        <f t="shared" si="10"/>
        <v>0</v>
      </c>
      <c r="E156" s="205"/>
      <c r="F156" s="263"/>
      <c r="G156" s="217"/>
      <c r="H156" s="202"/>
      <c r="I156" s="203"/>
      <c r="J156" s="5"/>
      <c r="K156" s="182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6">
        <f>'Données projet'!D150</f>
        <v>0</v>
      </c>
      <c r="C157" s="203"/>
      <c r="D157" s="193">
        <f t="shared" si="10"/>
        <v>0</v>
      </c>
      <c r="E157" s="205"/>
      <c r="F157" s="263"/>
      <c r="G157" s="217"/>
      <c r="H157" s="202"/>
      <c r="I157" s="203"/>
      <c r="J157" s="5"/>
      <c r="K157" s="182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6">
        <f>'Données projet'!D151</f>
        <v>0</v>
      </c>
      <c r="C158" s="203"/>
      <c r="D158" s="193">
        <f t="shared" si="10"/>
        <v>0</v>
      </c>
      <c r="E158" s="205"/>
      <c r="F158" s="263"/>
      <c r="G158" s="217"/>
      <c r="H158" s="202"/>
      <c r="I158" s="203"/>
      <c r="J158" s="5"/>
      <c r="K158" s="182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6">
        <f>'Données projet'!D152</f>
        <v>0</v>
      </c>
      <c r="C159" s="203"/>
      <c r="D159" s="193">
        <f t="shared" si="10"/>
        <v>0</v>
      </c>
      <c r="E159" s="205"/>
      <c r="F159" s="263"/>
      <c r="G159" s="217"/>
      <c r="H159" s="202"/>
      <c r="I159" s="203"/>
      <c r="J159" s="5"/>
      <c r="K159" s="182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6">
        <f>'Données projet'!D153</f>
        <v>0</v>
      </c>
      <c r="C160" s="203"/>
      <c r="D160" s="193">
        <f t="shared" si="10"/>
        <v>0</v>
      </c>
      <c r="E160" s="205"/>
      <c r="F160" s="263"/>
      <c r="G160" s="217"/>
      <c r="H160" s="202"/>
      <c r="I160" s="203"/>
      <c r="J160" s="5"/>
      <c r="K160" s="182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6">
        <f>'Données projet'!D154</f>
        <v>0</v>
      </c>
      <c r="C161" s="203"/>
      <c r="D161" s="193">
        <f t="shared" si="10"/>
        <v>0</v>
      </c>
      <c r="E161" s="205"/>
      <c r="F161" s="263"/>
      <c r="G161" s="217"/>
      <c r="H161" s="202"/>
      <c r="I161" s="203"/>
      <c r="J161" s="5"/>
      <c r="K161" s="182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6">
        <f>'Données projet'!D155</f>
        <v>0</v>
      </c>
      <c r="C162" s="203"/>
      <c r="D162" s="193">
        <f t="shared" si="10"/>
        <v>0</v>
      </c>
      <c r="E162" s="205"/>
      <c r="F162" s="263"/>
      <c r="G162" s="217"/>
      <c r="H162" s="202"/>
      <c r="I162" s="203"/>
      <c r="J162" s="5"/>
      <c r="K162" s="182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6">
        <f>'Données projet'!D156</f>
        <v>0</v>
      </c>
      <c r="C163" s="203"/>
      <c r="D163" s="193">
        <f t="shared" si="10"/>
        <v>0</v>
      </c>
      <c r="E163" s="205"/>
      <c r="F163" s="263"/>
      <c r="G163" s="217"/>
      <c r="H163" s="202"/>
      <c r="I163" s="203"/>
      <c r="J163" s="5"/>
      <c r="K163" s="182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6">
        <f>'Données projet'!D157</f>
        <v>0</v>
      </c>
      <c r="C164" s="203"/>
      <c r="D164" s="193">
        <f t="shared" si="10"/>
        <v>0</v>
      </c>
      <c r="E164" s="205"/>
      <c r="F164" s="263"/>
      <c r="G164" s="217"/>
      <c r="H164" s="202"/>
      <c r="I164" s="203"/>
      <c r="J164" s="5"/>
      <c r="K164" s="182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6">
        <f>'Données projet'!D158</f>
        <v>0</v>
      </c>
      <c r="C165" s="203"/>
      <c r="D165" s="193">
        <f t="shared" si="10"/>
        <v>0</v>
      </c>
      <c r="E165" s="205"/>
      <c r="F165" s="263"/>
      <c r="G165" s="217"/>
      <c r="H165" s="202"/>
      <c r="I165" s="203"/>
      <c r="J165" s="5"/>
      <c r="K165" s="182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6">
        <f>'Données projet'!D159</f>
        <v>0</v>
      </c>
      <c r="C166" s="203"/>
      <c r="D166" s="193">
        <f t="shared" si="10"/>
        <v>0</v>
      </c>
      <c r="E166" s="205"/>
      <c r="F166" s="263"/>
      <c r="G166" s="217"/>
      <c r="H166" s="202"/>
      <c r="I166" s="203"/>
      <c r="J166" s="5"/>
      <c r="K166" s="182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0"/>
      <c r="G167" s="217"/>
      <c r="H167" s="202"/>
      <c r="I167" s="203"/>
      <c r="J167" s="5"/>
      <c r="K167" s="182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0"/>
      <c r="G168" s="217"/>
      <c r="H168" s="202"/>
      <c r="I168" s="203"/>
      <c r="J168" s="5"/>
      <c r="K168" s="182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5" t="str">
        <f>IF('Données projet'!B14="","",'Données projet'!B14)</f>
        <v/>
      </c>
      <c r="C169" s="5"/>
      <c r="D169" s="5"/>
      <c r="E169" s="5"/>
      <c r="F169" s="260"/>
      <c r="G169" s="217"/>
      <c r="H169" s="202"/>
      <c r="I169" s="203"/>
      <c r="J169" s="5"/>
      <c r="K169" s="182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0"/>
      <c r="G170" s="217"/>
      <c r="H170" s="202"/>
      <c r="I170" s="203"/>
      <c r="J170" s="5"/>
      <c r="K170" s="182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6" t="s">
        <v>180</v>
      </c>
      <c r="B171" s="51" t="s">
        <v>256</v>
      </c>
      <c r="C171" s="51" t="s">
        <v>255</v>
      </c>
      <c r="D171" s="256" t="s">
        <v>252</v>
      </c>
      <c r="E171" s="256" t="s">
        <v>320</v>
      </c>
      <c r="F171" s="261"/>
      <c r="G171" s="217"/>
      <c r="H171" s="202"/>
      <c r="I171" s="203"/>
      <c r="J171" s="5"/>
      <c r="K171" s="182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09">
        <v>0</v>
      </c>
      <c r="B172" s="212" t="s">
        <v>132</v>
      </c>
      <c r="C172" s="211" t="s">
        <v>132</v>
      </c>
      <c r="D172" s="210" t="s">
        <v>132</v>
      </c>
      <c r="E172" s="205"/>
      <c r="F172" s="261"/>
      <c r="G172" s="217"/>
      <c r="H172" s="202"/>
      <c r="I172" s="203"/>
      <c r="J172" s="5"/>
      <c r="K172" s="182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09">
        <v>1</v>
      </c>
      <c r="B173" s="212" t="s">
        <v>132</v>
      </c>
      <c r="C173" s="211" t="s">
        <v>132</v>
      </c>
      <c r="D173" s="210" t="s">
        <v>132</v>
      </c>
      <c r="E173" s="205"/>
      <c r="F173" s="261"/>
      <c r="G173" s="220"/>
      <c r="H173" s="202"/>
      <c r="I173" s="203"/>
      <c r="J173" s="5"/>
      <c r="K173" s="182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09">
        <v>2</v>
      </c>
      <c r="B174" s="212" t="s">
        <v>132</v>
      </c>
      <c r="C174" s="211" t="s">
        <v>132</v>
      </c>
      <c r="D174" s="210" t="s">
        <v>132</v>
      </c>
      <c r="E174" s="205"/>
      <c r="F174" s="261"/>
      <c r="G174" s="220"/>
      <c r="H174" s="202"/>
      <c r="I174" s="203"/>
      <c r="J174" s="5"/>
      <c r="K174" s="182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09">
        <v>3</v>
      </c>
      <c r="B175" s="212" t="s">
        <v>132</v>
      </c>
      <c r="C175" s="211" t="s">
        <v>132</v>
      </c>
      <c r="D175" s="210" t="s">
        <v>132</v>
      </c>
      <c r="E175" s="205"/>
      <c r="F175" s="261"/>
      <c r="G175" s="220"/>
      <c r="H175" s="202"/>
      <c r="I175" s="203"/>
      <c r="J175" s="5"/>
      <c r="K175" s="182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09">
        <v>4</v>
      </c>
      <c r="B176" s="212" t="s">
        <v>132</v>
      </c>
      <c r="C176" s="211" t="s">
        <v>132</v>
      </c>
      <c r="D176" s="210" t="s">
        <v>132</v>
      </c>
      <c r="E176" s="205"/>
      <c r="F176" s="261"/>
      <c r="G176" s="220"/>
      <c r="H176" s="202"/>
      <c r="I176" s="203"/>
      <c r="J176" s="5"/>
      <c r="K176" s="182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09">
        <v>5</v>
      </c>
      <c r="B177" s="212" t="s">
        <v>132</v>
      </c>
      <c r="C177" s="211" t="s">
        <v>132</v>
      </c>
      <c r="D177" s="210" t="s">
        <v>132</v>
      </c>
      <c r="E177" s="205"/>
      <c r="F177" s="261"/>
      <c r="G177" s="221"/>
      <c r="H177" s="202"/>
      <c r="I177" s="203"/>
      <c r="J177" s="5"/>
      <c r="K177" s="182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1">
        <f>'Données projet'!A166</f>
        <v>0</v>
      </c>
      <c r="B178" s="192">
        <f>'Données projet'!D166</f>
        <v>0</v>
      </c>
      <c r="C178" s="205"/>
      <c r="D178" s="190">
        <f>B178*C178</f>
        <v>0</v>
      </c>
      <c r="E178" s="205"/>
      <c r="F178" s="262"/>
      <c r="G178" s="221"/>
      <c r="H178" s="202"/>
      <c r="I178" s="203"/>
      <c r="J178" s="5"/>
      <c r="K178" s="182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1">
        <f>'Données projet'!A167</f>
        <v>0</v>
      </c>
      <c r="B179" s="192">
        <f>'Données projet'!D167</f>
        <v>0</v>
      </c>
      <c r="C179" s="205"/>
      <c r="D179" s="190">
        <f t="shared" ref="D179:D197" si="11">B179*C179</f>
        <v>0</v>
      </c>
      <c r="E179" s="205"/>
      <c r="F179" s="262"/>
      <c r="G179" s="221"/>
      <c r="H179" s="202"/>
      <c r="I179" s="203"/>
      <c r="J179" s="5"/>
      <c r="K179" s="182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1">
        <f>'Données projet'!A168</f>
        <v>0</v>
      </c>
      <c r="B180" s="192">
        <f>'Données projet'!D168</f>
        <v>0</v>
      </c>
      <c r="C180" s="205"/>
      <c r="D180" s="190">
        <f t="shared" si="11"/>
        <v>0</v>
      </c>
      <c r="E180" s="205"/>
      <c r="F180" s="262"/>
      <c r="G180" s="221"/>
      <c r="H180" s="202"/>
      <c r="I180" s="203"/>
      <c r="J180" s="5"/>
      <c r="K180" s="182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1">
        <f>'Données projet'!A169</f>
        <v>0</v>
      </c>
      <c r="B181" s="192">
        <f>'Données projet'!D169</f>
        <v>0</v>
      </c>
      <c r="C181" s="205"/>
      <c r="D181" s="190">
        <f t="shared" si="11"/>
        <v>0</v>
      </c>
      <c r="E181" s="205"/>
      <c r="F181" s="262"/>
      <c r="G181" s="221"/>
      <c r="H181" s="202"/>
      <c r="I181" s="203"/>
      <c r="J181" s="5"/>
      <c r="K181" s="182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1">
        <f>'Données projet'!A170</f>
        <v>0</v>
      </c>
      <c r="B182" s="192">
        <f>'Données projet'!D170</f>
        <v>0</v>
      </c>
      <c r="C182" s="205"/>
      <c r="D182" s="190">
        <f t="shared" si="11"/>
        <v>0</v>
      </c>
      <c r="E182" s="205"/>
      <c r="F182" s="262"/>
      <c r="G182" s="221"/>
      <c r="H182" s="202"/>
      <c r="I182" s="203"/>
      <c r="J182" s="5"/>
      <c r="K182" s="182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1">
        <f>'Données projet'!A171</f>
        <v>0</v>
      </c>
      <c r="B183" s="192">
        <f>'Données projet'!D171</f>
        <v>0</v>
      </c>
      <c r="C183" s="205"/>
      <c r="D183" s="190">
        <f t="shared" si="11"/>
        <v>0</v>
      </c>
      <c r="E183" s="205"/>
      <c r="F183" s="262"/>
      <c r="G183" s="221"/>
      <c r="H183" s="202"/>
      <c r="I183" s="203"/>
      <c r="J183" s="5"/>
      <c r="K183" s="182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1">
        <f>'Données projet'!A172</f>
        <v>0</v>
      </c>
      <c r="B184" s="192">
        <f>'Données projet'!D172</f>
        <v>0</v>
      </c>
      <c r="C184" s="205"/>
      <c r="D184" s="190">
        <f t="shared" si="11"/>
        <v>0</v>
      </c>
      <c r="E184" s="205"/>
      <c r="F184" s="262"/>
      <c r="G184" s="222"/>
      <c r="H184" s="202"/>
      <c r="I184" s="203"/>
      <c r="J184" s="5"/>
      <c r="K184" s="182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1">
        <f>'Données projet'!A173</f>
        <v>0</v>
      </c>
      <c r="B185" s="192">
        <f>'Données projet'!D173</f>
        <v>0</v>
      </c>
      <c r="C185" s="205"/>
      <c r="D185" s="190">
        <f t="shared" si="11"/>
        <v>0</v>
      </c>
      <c r="E185" s="205"/>
      <c r="F185" s="262"/>
      <c r="G185" s="222"/>
      <c r="H185" s="202"/>
      <c r="I185" s="203"/>
      <c r="J185" s="5"/>
      <c r="K185" s="182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1">
        <f>'Données projet'!A174</f>
        <v>0</v>
      </c>
      <c r="B186" s="192">
        <f>'Données projet'!D174</f>
        <v>0</v>
      </c>
      <c r="C186" s="205"/>
      <c r="D186" s="190">
        <f t="shared" si="11"/>
        <v>0</v>
      </c>
      <c r="E186" s="205"/>
      <c r="F186" s="262"/>
      <c r="G186" s="222"/>
      <c r="H186" s="202"/>
      <c r="I186" s="203"/>
      <c r="J186" s="5"/>
      <c r="K186" s="182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1">
        <f>'Données projet'!A175</f>
        <v>0</v>
      </c>
      <c r="B187" s="192">
        <f>'Données projet'!D175</f>
        <v>0</v>
      </c>
      <c r="C187" s="205"/>
      <c r="D187" s="190">
        <f t="shared" si="11"/>
        <v>0</v>
      </c>
      <c r="E187" s="205"/>
      <c r="F187" s="262"/>
      <c r="G187" s="222"/>
      <c r="H187" s="202"/>
      <c r="I187" s="203"/>
      <c r="J187" s="5"/>
      <c r="K187" s="182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1">
        <f>'Données projet'!A176</f>
        <v>0</v>
      </c>
      <c r="B188" s="192">
        <f>'Données projet'!D176</f>
        <v>0</v>
      </c>
      <c r="C188" s="205"/>
      <c r="D188" s="190">
        <f t="shared" si="11"/>
        <v>0</v>
      </c>
      <c r="E188" s="205"/>
      <c r="F188" s="262"/>
      <c r="G188" s="222"/>
      <c r="H188" s="202"/>
      <c r="I188" s="203"/>
      <c r="J188" s="5"/>
      <c r="K188" s="182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1">
        <f>'Données projet'!A177</f>
        <v>0</v>
      </c>
      <c r="B189" s="192">
        <f>'Données projet'!D177</f>
        <v>0</v>
      </c>
      <c r="C189" s="205"/>
      <c r="D189" s="190">
        <f t="shared" si="11"/>
        <v>0</v>
      </c>
      <c r="E189" s="205"/>
      <c r="F189" s="262"/>
      <c r="G189" s="222"/>
      <c r="H189" s="202"/>
      <c r="I189" s="203"/>
      <c r="J189" s="5"/>
      <c r="K189" s="182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1">
        <f>'Données projet'!A178</f>
        <v>0</v>
      </c>
      <c r="B190" s="192">
        <f>'Données projet'!D178</f>
        <v>0</v>
      </c>
      <c r="C190" s="205"/>
      <c r="D190" s="190">
        <f t="shared" si="11"/>
        <v>0</v>
      </c>
      <c r="E190" s="205"/>
      <c r="F190" s="262"/>
      <c r="G190" s="222"/>
      <c r="H190" s="202"/>
      <c r="I190" s="203"/>
      <c r="J190" s="5"/>
      <c r="K190" s="182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1">
        <f>'Données projet'!A179</f>
        <v>0</v>
      </c>
      <c r="B191" s="192">
        <f>'Données projet'!D179</f>
        <v>0</v>
      </c>
      <c r="C191" s="205"/>
      <c r="D191" s="190">
        <f t="shared" si="11"/>
        <v>0</v>
      </c>
      <c r="E191" s="205"/>
      <c r="F191" s="262"/>
      <c r="G191" s="222"/>
      <c r="H191" s="202"/>
      <c r="I191" s="203"/>
      <c r="J191" s="5"/>
      <c r="K191" s="182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1">
        <f>'Données projet'!A180</f>
        <v>0</v>
      </c>
      <c r="B192" s="192">
        <f>'Données projet'!D180</f>
        <v>0</v>
      </c>
      <c r="C192" s="205"/>
      <c r="D192" s="190">
        <f t="shared" si="11"/>
        <v>0</v>
      </c>
      <c r="E192" s="205"/>
      <c r="F192" s="262"/>
      <c r="G192" s="222"/>
      <c r="H192" s="202"/>
      <c r="I192" s="203"/>
      <c r="J192" s="5"/>
      <c r="K192" s="182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1">
        <f>'Données projet'!A181</f>
        <v>0</v>
      </c>
      <c r="B193" s="192">
        <f>'Données projet'!D181</f>
        <v>0</v>
      </c>
      <c r="C193" s="205"/>
      <c r="D193" s="190">
        <f t="shared" si="11"/>
        <v>0</v>
      </c>
      <c r="E193" s="205"/>
      <c r="F193" s="262"/>
      <c r="G193" s="222"/>
      <c r="H193" s="202"/>
      <c r="I193" s="203"/>
      <c r="J193" s="5"/>
      <c r="K193" s="182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1">
        <f>'Données projet'!A182</f>
        <v>0</v>
      </c>
      <c r="B194" s="192">
        <f>'Données projet'!D182</f>
        <v>0</v>
      </c>
      <c r="C194" s="205"/>
      <c r="D194" s="190">
        <f t="shared" si="11"/>
        <v>0</v>
      </c>
      <c r="E194" s="205"/>
      <c r="F194" s="262"/>
      <c r="G194" s="222"/>
      <c r="H194" s="202"/>
      <c r="I194" s="203"/>
      <c r="J194" s="5"/>
      <c r="K194" s="182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1">
        <f>'Données projet'!A183</f>
        <v>0</v>
      </c>
      <c r="B195" s="192">
        <f>'Données projet'!D183</f>
        <v>0</v>
      </c>
      <c r="C195" s="205"/>
      <c r="D195" s="190">
        <f t="shared" si="11"/>
        <v>0</v>
      </c>
      <c r="E195" s="205"/>
      <c r="F195" s="262"/>
      <c r="G195" s="222"/>
      <c r="H195" s="202"/>
      <c r="I195" s="203"/>
      <c r="J195" s="5"/>
      <c r="K195" s="182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1">
        <f>'Données projet'!A184</f>
        <v>0</v>
      </c>
      <c r="B196" s="192">
        <f>'Données projet'!D184</f>
        <v>0</v>
      </c>
      <c r="C196" s="205"/>
      <c r="D196" s="190">
        <f t="shared" si="11"/>
        <v>0</v>
      </c>
      <c r="E196" s="205"/>
      <c r="F196" s="262"/>
      <c r="G196" s="222"/>
      <c r="H196" s="202"/>
      <c r="I196" s="203"/>
      <c r="J196" s="5"/>
      <c r="K196" s="182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1">
        <f>'Données projet'!A185</f>
        <v>0</v>
      </c>
      <c r="B197" s="192">
        <f>'Données projet'!D185</f>
        <v>0</v>
      </c>
      <c r="C197" s="205"/>
      <c r="D197" s="190">
        <f t="shared" si="11"/>
        <v>0</v>
      </c>
      <c r="E197" s="205"/>
      <c r="F197" s="262"/>
      <c r="G197" s="222"/>
      <c r="H197" s="202"/>
      <c r="I197" s="203"/>
      <c r="J197" s="5"/>
      <c r="K197" s="182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0"/>
      <c r="G198" s="222"/>
      <c r="H198" s="202"/>
      <c r="I198" s="203"/>
      <c r="J198" s="5"/>
      <c r="K198" s="182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0"/>
      <c r="G199" s="222"/>
      <c r="H199" s="202"/>
      <c r="I199" s="203"/>
      <c r="J199" s="5"/>
      <c r="K199" s="182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5" t="str">
        <f>IF('Données projet'!$B$15="","",'Données projet'!$B$15)</f>
        <v/>
      </c>
      <c r="C200" s="5"/>
      <c r="D200" s="5"/>
      <c r="E200" s="5"/>
      <c r="F200" s="260"/>
      <c r="G200" s="222"/>
      <c r="H200" s="202"/>
      <c r="I200" s="203"/>
      <c r="J200" s="5"/>
      <c r="K200" s="182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0"/>
      <c r="G201" s="222"/>
      <c r="H201" s="202"/>
      <c r="I201" s="203"/>
      <c r="J201" s="5"/>
      <c r="K201" s="182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6" t="s">
        <v>180</v>
      </c>
      <c r="B202" s="51" t="s">
        <v>256</v>
      </c>
      <c r="C202" s="51" t="s">
        <v>255</v>
      </c>
      <c r="D202" s="256" t="s">
        <v>252</v>
      </c>
      <c r="E202" s="256" t="s">
        <v>320</v>
      </c>
      <c r="F202" s="261"/>
      <c r="G202" s="222"/>
      <c r="H202" s="202"/>
      <c r="I202" s="203"/>
      <c r="J202" s="5"/>
      <c r="K202" s="182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09">
        <v>0</v>
      </c>
      <c r="B203" s="212" t="s">
        <v>132</v>
      </c>
      <c r="C203" s="211" t="s">
        <v>132</v>
      </c>
      <c r="D203" s="210" t="s">
        <v>132</v>
      </c>
      <c r="E203" s="205"/>
      <c r="F203" s="261"/>
      <c r="G203" s="222"/>
      <c r="H203" s="202"/>
      <c r="I203" s="203"/>
      <c r="J203" s="5"/>
      <c r="K203" s="182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09">
        <v>1</v>
      </c>
      <c r="B204" s="212" t="s">
        <v>132</v>
      </c>
      <c r="C204" s="211" t="s">
        <v>132</v>
      </c>
      <c r="D204" s="210" t="s">
        <v>132</v>
      </c>
      <c r="E204" s="205"/>
      <c r="F204" s="261"/>
      <c r="G204" s="220"/>
      <c r="H204" s="202"/>
      <c r="I204" s="203"/>
      <c r="J204" s="5"/>
      <c r="K204" s="182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09">
        <v>2</v>
      </c>
      <c r="B205" s="212" t="s">
        <v>132</v>
      </c>
      <c r="C205" s="211" t="s">
        <v>132</v>
      </c>
      <c r="D205" s="210" t="s">
        <v>132</v>
      </c>
      <c r="E205" s="205"/>
      <c r="F205" s="261"/>
      <c r="G205" s="220"/>
      <c r="H205" s="202"/>
      <c r="I205" s="203"/>
      <c r="J205" s="5"/>
      <c r="K205" s="182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09">
        <v>3</v>
      </c>
      <c r="B206" s="212" t="s">
        <v>132</v>
      </c>
      <c r="C206" s="211" t="s">
        <v>132</v>
      </c>
      <c r="D206" s="210" t="s">
        <v>132</v>
      </c>
      <c r="E206" s="205"/>
      <c r="F206" s="261"/>
      <c r="G206" s="220"/>
      <c r="H206" s="202"/>
      <c r="I206" s="203"/>
      <c r="J206" s="5"/>
      <c r="K206" s="182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09">
        <v>4</v>
      </c>
      <c r="B207" s="212" t="s">
        <v>132</v>
      </c>
      <c r="C207" s="211" t="s">
        <v>132</v>
      </c>
      <c r="D207" s="210" t="s">
        <v>132</v>
      </c>
      <c r="E207" s="205"/>
      <c r="F207" s="261"/>
      <c r="G207" s="220"/>
      <c r="H207" s="202"/>
      <c r="I207" s="203"/>
      <c r="J207" s="5"/>
      <c r="K207" s="182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09">
        <v>5</v>
      </c>
      <c r="B208" s="212" t="s">
        <v>132</v>
      </c>
      <c r="C208" s="211" t="s">
        <v>132</v>
      </c>
      <c r="D208" s="210" t="s">
        <v>132</v>
      </c>
      <c r="E208" s="205"/>
      <c r="F208" s="261"/>
      <c r="G208" s="221"/>
      <c r="H208" s="202"/>
      <c r="I208" s="203"/>
      <c r="J208" s="5"/>
      <c r="K208" s="182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1">
        <f>'Données projet'!A192</f>
        <v>0</v>
      </c>
      <c r="B209" s="192">
        <f>'Données projet'!D192</f>
        <v>0</v>
      </c>
      <c r="C209" s="205"/>
      <c r="D209" s="190">
        <f>B209*C209</f>
        <v>0</v>
      </c>
      <c r="E209" s="205"/>
      <c r="F209" s="262"/>
      <c r="G209" s="221"/>
      <c r="H209" s="202"/>
      <c r="I209" s="203"/>
      <c r="J209" s="5"/>
      <c r="K209" s="182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1">
        <f>'Données projet'!A193</f>
        <v>0</v>
      </c>
      <c r="B210" s="192">
        <f>'Données projet'!D193</f>
        <v>0</v>
      </c>
      <c r="C210" s="205"/>
      <c r="D210" s="190">
        <f t="shared" ref="D210:D228" si="12">B210*C210</f>
        <v>0</v>
      </c>
      <c r="E210" s="205"/>
      <c r="F210" s="262"/>
      <c r="G210" s="221"/>
      <c r="H210" s="202"/>
      <c r="I210" s="203"/>
      <c r="J210" s="5"/>
      <c r="K210" s="182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1">
        <f>'Données projet'!A194</f>
        <v>0</v>
      </c>
      <c r="B211" s="192">
        <f>'Données projet'!D194</f>
        <v>0</v>
      </c>
      <c r="C211" s="205"/>
      <c r="D211" s="190">
        <f t="shared" si="12"/>
        <v>0</v>
      </c>
      <c r="E211" s="205"/>
      <c r="F211" s="262"/>
      <c r="G211" s="221"/>
      <c r="H211" s="202"/>
      <c r="I211" s="203"/>
      <c r="J211" s="5"/>
      <c r="K211" s="182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1">
        <f>'Données projet'!A195</f>
        <v>0</v>
      </c>
      <c r="B212" s="192">
        <f>'Données projet'!D195</f>
        <v>0</v>
      </c>
      <c r="C212" s="205"/>
      <c r="D212" s="190">
        <f t="shared" si="12"/>
        <v>0</v>
      </c>
      <c r="E212" s="205"/>
      <c r="F212" s="262"/>
      <c r="G212" s="221"/>
      <c r="H212" s="202"/>
      <c r="I212" s="203"/>
      <c r="J212" s="5"/>
      <c r="K212" s="182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1">
        <f>'Données projet'!A196</f>
        <v>0</v>
      </c>
      <c r="B213" s="192">
        <f>'Données projet'!D196</f>
        <v>0</v>
      </c>
      <c r="C213" s="205"/>
      <c r="D213" s="190">
        <f t="shared" si="12"/>
        <v>0</v>
      </c>
      <c r="E213" s="205"/>
      <c r="F213" s="262"/>
      <c r="G213" s="221"/>
      <c r="H213" s="202"/>
      <c r="I213" s="203"/>
      <c r="J213" s="5"/>
      <c r="K213" s="182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1">
        <f>'Données projet'!A197</f>
        <v>0</v>
      </c>
      <c r="B214" s="192">
        <f>'Données projet'!D197</f>
        <v>0</v>
      </c>
      <c r="C214" s="205"/>
      <c r="D214" s="190">
        <f t="shared" si="12"/>
        <v>0</v>
      </c>
      <c r="E214" s="205"/>
      <c r="F214" s="262"/>
      <c r="G214" s="221"/>
      <c r="H214" s="202"/>
      <c r="I214" s="203"/>
      <c r="J214" s="5"/>
      <c r="K214" s="182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1">
        <f>'Données projet'!A198</f>
        <v>0</v>
      </c>
      <c r="B215" s="192">
        <f>'Données projet'!D198</f>
        <v>0</v>
      </c>
      <c r="C215" s="205"/>
      <c r="D215" s="190">
        <f t="shared" si="12"/>
        <v>0</v>
      </c>
      <c r="E215" s="205"/>
      <c r="F215" s="262"/>
      <c r="G215" s="222"/>
      <c r="H215" s="202"/>
      <c r="I215" s="203"/>
      <c r="J215" s="5"/>
      <c r="K215" s="182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1">
        <f>'Données projet'!A199</f>
        <v>0</v>
      </c>
      <c r="B216" s="192">
        <f>'Données projet'!D199</f>
        <v>0</v>
      </c>
      <c r="C216" s="205"/>
      <c r="D216" s="190">
        <f t="shared" si="12"/>
        <v>0</v>
      </c>
      <c r="E216" s="205"/>
      <c r="F216" s="262"/>
      <c r="G216" s="222"/>
      <c r="H216" s="202"/>
      <c r="I216" s="203"/>
      <c r="J216" s="5"/>
      <c r="K216" s="182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1">
        <f>'Données projet'!A200</f>
        <v>0</v>
      </c>
      <c r="B217" s="192">
        <f>'Données projet'!D200</f>
        <v>0</v>
      </c>
      <c r="C217" s="205"/>
      <c r="D217" s="190">
        <f t="shared" si="12"/>
        <v>0</v>
      </c>
      <c r="E217" s="205"/>
      <c r="F217" s="262"/>
      <c r="G217" s="222"/>
      <c r="H217" s="202"/>
      <c r="I217" s="203"/>
      <c r="J217" s="5"/>
      <c r="K217" s="182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1">
        <f>'Données projet'!A201</f>
        <v>0</v>
      </c>
      <c r="B218" s="192">
        <f>'Données projet'!D201</f>
        <v>0</v>
      </c>
      <c r="C218" s="205"/>
      <c r="D218" s="190">
        <f t="shared" si="12"/>
        <v>0</v>
      </c>
      <c r="E218" s="205"/>
      <c r="F218" s="262"/>
      <c r="G218" s="222"/>
      <c r="H218" s="202"/>
      <c r="I218" s="203"/>
      <c r="J218" s="5"/>
      <c r="K218" s="182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1">
        <f>'Données projet'!A202</f>
        <v>0</v>
      </c>
      <c r="B219" s="192">
        <f>'Données projet'!D202</f>
        <v>0</v>
      </c>
      <c r="C219" s="205"/>
      <c r="D219" s="190">
        <f t="shared" si="12"/>
        <v>0</v>
      </c>
      <c r="E219" s="205"/>
      <c r="F219" s="262"/>
      <c r="G219" s="222"/>
      <c r="H219" s="202"/>
      <c r="I219" s="203"/>
      <c r="J219" s="5"/>
      <c r="K219" s="182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1">
        <f>'Données projet'!A203</f>
        <v>0</v>
      </c>
      <c r="B220" s="192">
        <f>'Données projet'!D203</f>
        <v>0</v>
      </c>
      <c r="C220" s="205"/>
      <c r="D220" s="190">
        <f t="shared" si="12"/>
        <v>0</v>
      </c>
      <c r="E220" s="205"/>
      <c r="F220" s="262"/>
      <c r="G220" s="222"/>
      <c r="H220" s="5"/>
      <c r="I220" s="5"/>
      <c r="J220" s="5"/>
      <c r="K220" s="182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1">
        <f>'Données projet'!A204</f>
        <v>0</v>
      </c>
      <c r="B221" s="192">
        <f>'Données projet'!D204</f>
        <v>0</v>
      </c>
      <c r="C221" s="205"/>
      <c r="D221" s="190">
        <f t="shared" si="12"/>
        <v>0</v>
      </c>
      <c r="E221" s="205"/>
      <c r="F221" s="262"/>
      <c r="G221" s="222"/>
      <c r="H221" s="5"/>
      <c r="I221" s="5"/>
      <c r="J221" s="5"/>
      <c r="K221" s="182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1">
        <f>'Données projet'!A205</f>
        <v>0</v>
      </c>
      <c r="B222" s="192">
        <f>'Données projet'!D205</f>
        <v>0</v>
      </c>
      <c r="C222" s="205"/>
      <c r="D222" s="190">
        <f t="shared" si="12"/>
        <v>0</v>
      </c>
      <c r="E222" s="205"/>
      <c r="F222" s="262"/>
      <c r="G222" s="222"/>
      <c r="H222" s="5"/>
      <c r="I222" s="5"/>
      <c r="J222" s="5"/>
      <c r="K222" s="182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1">
        <f>'Données projet'!A206</f>
        <v>0</v>
      </c>
      <c r="B223" s="192">
        <f>'Données projet'!D206</f>
        <v>0</v>
      </c>
      <c r="C223" s="205"/>
      <c r="D223" s="190">
        <f t="shared" si="12"/>
        <v>0</v>
      </c>
      <c r="E223" s="205"/>
      <c r="F223" s="262"/>
      <c r="G223" s="222"/>
      <c r="H223" s="5"/>
      <c r="I223" s="5"/>
      <c r="J223" s="5"/>
      <c r="K223" s="182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1">
        <f>'Données projet'!A207</f>
        <v>0</v>
      </c>
      <c r="B224" s="192">
        <f>'Données projet'!D207</f>
        <v>0</v>
      </c>
      <c r="C224" s="205"/>
      <c r="D224" s="190">
        <f t="shared" si="12"/>
        <v>0</v>
      </c>
      <c r="E224" s="205"/>
      <c r="F224" s="262"/>
      <c r="G224" s="222"/>
      <c r="H224" s="5"/>
      <c r="I224" s="5"/>
      <c r="J224" s="5"/>
      <c r="K224" s="182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1">
        <f>'Données projet'!A208</f>
        <v>0</v>
      </c>
      <c r="B225" s="192">
        <f>'Données projet'!D208</f>
        <v>0</v>
      </c>
      <c r="C225" s="205"/>
      <c r="D225" s="190">
        <f t="shared" si="12"/>
        <v>0</v>
      </c>
      <c r="E225" s="205"/>
      <c r="F225" s="262"/>
      <c r="G225" s="222"/>
      <c r="H225" s="5"/>
      <c r="I225" s="5"/>
      <c r="J225" s="5"/>
      <c r="K225" s="182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1">
        <f>'Données projet'!A209</f>
        <v>0</v>
      </c>
      <c r="B226" s="192">
        <f>'Données projet'!D209</f>
        <v>0</v>
      </c>
      <c r="C226" s="205"/>
      <c r="D226" s="190">
        <f t="shared" si="12"/>
        <v>0</v>
      </c>
      <c r="E226" s="205"/>
      <c r="F226" s="262"/>
      <c r="G226" s="222"/>
      <c r="H226" s="5"/>
      <c r="I226" s="5"/>
      <c r="J226" s="5"/>
      <c r="K226" s="182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1">
        <f>'Données projet'!A210</f>
        <v>0</v>
      </c>
      <c r="B227" s="192">
        <f>'Données projet'!D210</f>
        <v>0</v>
      </c>
      <c r="C227" s="205"/>
      <c r="D227" s="190">
        <f t="shared" si="12"/>
        <v>0</v>
      </c>
      <c r="E227" s="205"/>
      <c r="F227" s="262"/>
      <c r="G227" s="222"/>
      <c r="H227" s="5"/>
      <c r="I227" s="5"/>
      <c r="J227" s="5"/>
      <c r="K227" s="182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1">
        <f>'Données projet'!A211</f>
        <v>0</v>
      </c>
      <c r="B228" s="192">
        <f>'Données projet'!D211</f>
        <v>0</v>
      </c>
      <c r="C228" s="205"/>
      <c r="D228" s="190">
        <f t="shared" si="12"/>
        <v>0</v>
      </c>
      <c r="E228" s="205"/>
      <c r="F228" s="262"/>
      <c r="G228" s="222"/>
      <c r="H228" s="5"/>
      <c r="I228" s="5"/>
      <c r="J228" s="5"/>
      <c r="K228" s="182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0"/>
      <c r="G229" s="222"/>
      <c r="H229" s="5"/>
      <c r="I229" s="5"/>
      <c r="J229" s="5"/>
      <c r="K229" s="182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0"/>
      <c r="G230" s="222"/>
      <c r="H230" s="5"/>
      <c r="I230" s="5"/>
      <c r="J230" s="5"/>
      <c r="K230" s="182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5" t="str">
        <f>IF('Données projet'!$B$16="","",'Données projet'!$B$16)</f>
        <v/>
      </c>
      <c r="C231" s="5"/>
      <c r="D231" s="5"/>
      <c r="E231" s="5"/>
      <c r="F231" s="260"/>
      <c r="G231" s="222"/>
      <c r="H231" s="5"/>
      <c r="I231" s="5"/>
      <c r="J231" s="5"/>
      <c r="K231" s="182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0"/>
      <c r="G232" s="222"/>
      <c r="H232" s="5"/>
      <c r="I232" s="5"/>
      <c r="J232" s="5"/>
      <c r="K232" s="182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6" t="s">
        <v>180</v>
      </c>
      <c r="B233" s="51" t="s">
        <v>256</v>
      </c>
      <c r="C233" s="51" t="s">
        <v>255</v>
      </c>
      <c r="D233" s="256" t="s">
        <v>252</v>
      </c>
      <c r="E233" s="256" t="s">
        <v>320</v>
      </c>
      <c r="F233" s="261"/>
      <c r="G233" s="222"/>
      <c r="H233" s="5"/>
      <c r="I233" s="5"/>
      <c r="J233" s="5"/>
      <c r="K233" s="182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09">
        <v>0</v>
      </c>
      <c r="B234" s="212" t="s">
        <v>132</v>
      </c>
      <c r="C234" s="211" t="s">
        <v>132</v>
      </c>
      <c r="D234" s="210" t="s">
        <v>132</v>
      </c>
      <c r="E234" s="205"/>
      <c r="F234" s="261"/>
      <c r="G234" s="222"/>
      <c r="H234" s="5"/>
      <c r="I234" s="5"/>
      <c r="J234" s="5"/>
      <c r="K234" s="182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09">
        <v>1</v>
      </c>
      <c r="B235" s="212" t="s">
        <v>132</v>
      </c>
      <c r="C235" s="211" t="s">
        <v>132</v>
      </c>
      <c r="D235" s="210" t="s">
        <v>132</v>
      </c>
      <c r="E235" s="205"/>
      <c r="F235" s="261"/>
      <c r="G235" s="220"/>
      <c r="H235" s="5"/>
      <c r="I235" s="5"/>
      <c r="J235" s="5"/>
      <c r="K235" s="182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09">
        <v>2</v>
      </c>
      <c r="B236" s="212" t="s">
        <v>132</v>
      </c>
      <c r="C236" s="211" t="s">
        <v>132</v>
      </c>
      <c r="D236" s="210" t="s">
        <v>132</v>
      </c>
      <c r="E236" s="205"/>
      <c r="F236" s="261"/>
      <c r="G236" s="220"/>
      <c r="H236" s="5"/>
      <c r="I236" s="5"/>
      <c r="J236" s="5"/>
      <c r="K236" s="182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09">
        <v>3</v>
      </c>
      <c r="B237" s="212" t="s">
        <v>132</v>
      </c>
      <c r="C237" s="211" t="s">
        <v>132</v>
      </c>
      <c r="D237" s="210" t="s">
        <v>132</v>
      </c>
      <c r="E237" s="205"/>
      <c r="F237" s="261"/>
      <c r="G237" s="220"/>
      <c r="H237" s="5"/>
      <c r="I237" s="5"/>
      <c r="J237" s="5"/>
      <c r="K237" s="182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09">
        <v>4</v>
      </c>
      <c r="B238" s="212" t="s">
        <v>132</v>
      </c>
      <c r="C238" s="211" t="s">
        <v>132</v>
      </c>
      <c r="D238" s="210" t="s">
        <v>132</v>
      </c>
      <c r="E238" s="205"/>
      <c r="F238" s="261"/>
      <c r="G238" s="220"/>
      <c r="H238" s="5"/>
      <c r="I238" s="5"/>
      <c r="J238" s="5"/>
      <c r="K238" s="182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09">
        <v>5</v>
      </c>
      <c r="B239" s="212" t="s">
        <v>132</v>
      </c>
      <c r="C239" s="211" t="s">
        <v>132</v>
      </c>
      <c r="D239" s="210" t="s">
        <v>132</v>
      </c>
      <c r="E239" s="205"/>
      <c r="F239" s="261"/>
      <c r="G239" s="221"/>
      <c r="H239" s="5"/>
      <c r="I239" s="5"/>
      <c r="J239" s="5"/>
      <c r="K239" s="182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1">
        <f>'Données projet'!A218</f>
        <v>0</v>
      </c>
      <c r="B240" s="192">
        <f>'Données projet'!D218</f>
        <v>0</v>
      </c>
      <c r="C240" s="205"/>
      <c r="D240" s="190">
        <f>B240*C240</f>
        <v>0</v>
      </c>
      <c r="E240" s="205"/>
      <c r="F240" s="262"/>
      <c r="G240" s="221"/>
      <c r="H240" s="5"/>
      <c r="I240" s="5"/>
      <c r="J240" s="5"/>
      <c r="K240" s="182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1">
        <f>'Données projet'!A219</f>
        <v>0</v>
      </c>
      <c r="B241" s="192">
        <f>'Données projet'!D219</f>
        <v>0</v>
      </c>
      <c r="C241" s="205"/>
      <c r="D241" s="190">
        <f t="shared" ref="D241:D259" si="13">B241*C241</f>
        <v>0</v>
      </c>
      <c r="E241" s="205"/>
      <c r="F241" s="262"/>
      <c r="G241" s="221"/>
      <c r="H241" s="5"/>
      <c r="I241" s="5"/>
      <c r="J241" s="5"/>
      <c r="K241" s="182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1">
        <f>'Données projet'!A220</f>
        <v>0</v>
      </c>
      <c r="B242" s="192">
        <f>'Données projet'!D220</f>
        <v>0</v>
      </c>
      <c r="C242" s="205"/>
      <c r="D242" s="190">
        <f t="shared" si="13"/>
        <v>0</v>
      </c>
      <c r="E242" s="205"/>
      <c r="F242" s="262"/>
      <c r="G242" s="221"/>
      <c r="H242" s="5"/>
      <c r="I242" s="5"/>
      <c r="J242" s="5"/>
      <c r="K242" s="182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1">
        <f>'Données projet'!A221</f>
        <v>0</v>
      </c>
      <c r="B243" s="192">
        <f>'Données projet'!D221</f>
        <v>0</v>
      </c>
      <c r="C243" s="205"/>
      <c r="D243" s="190">
        <f t="shared" si="13"/>
        <v>0</v>
      </c>
      <c r="E243" s="205"/>
      <c r="F243" s="262"/>
      <c r="G243" s="221"/>
      <c r="H243" s="5"/>
      <c r="I243" s="5"/>
      <c r="J243" s="5"/>
      <c r="K243" s="182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1">
        <f>'Données projet'!A222</f>
        <v>0</v>
      </c>
      <c r="B244" s="192">
        <f>'Données projet'!D222</f>
        <v>0</v>
      </c>
      <c r="C244" s="205"/>
      <c r="D244" s="190">
        <f t="shared" si="13"/>
        <v>0</v>
      </c>
      <c r="E244" s="205"/>
      <c r="F244" s="262"/>
      <c r="G244" s="221"/>
      <c r="H244" s="5"/>
      <c r="I244" s="5"/>
      <c r="J244" s="5"/>
      <c r="K244" s="182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1">
        <f>'Données projet'!A223</f>
        <v>0</v>
      </c>
      <c r="B245" s="192">
        <f>'Données projet'!D223</f>
        <v>0</v>
      </c>
      <c r="C245" s="205"/>
      <c r="D245" s="190">
        <f t="shared" si="13"/>
        <v>0</v>
      </c>
      <c r="E245" s="205"/>
      <c r="F245" s="262"/>
      <c r="G245" s="221"/>
      <c r="H245" s="5"/>
      <c r="I245" s="5"/>
      <c r="J245" s="5"/>
      <c r="K245" s="182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1">
        <f>'Données projet'!A224</f>
        <v>0</v>
      </c>
      <c r="B246" s="192">
        <f>'Données projet'!D224</f>
        <v>0</v>
      </c>
      <c r="C246" s="205"/>
      <c r="D246" s="190">
        <f t="shared" si="13"/>
        <v>0</v>
      </c>
      <c r="E246" s="205"/>
      <c r="F246" s="262"/>
      <c r="G246" s="222"/>
      <c r="H246" s="5"/>
      <c r="I246" s="5"/>
      <c r="J246" s="5"/>
      <c r="K246" s="182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1">
        <f>'Données projet'!A225</f>
        <v>0</v>
      </c>
      <c r="B247" s="192">
        <f>'Données projet'!D225</f>
        <v>0</v>
      </c>
      <c r="C247" s="205"/>
      <c r="D247" s="190">
        <f t="shared" si="13"/>
        <v>0</v>
      </c>
      <c r="E247" s="205"/>
      <c r="F247" s="262"/>
      <c r="G247" s="222"/>
      <c r="H247" s="5"/>
      <c r="I247" s="5"/>
      <c r="J247" s="5"/>
      <c r="K247" s="182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1">
        <f>'Données projet'!A226</f>
        <v>0</v>
      </c>
      <c r="B248" s="192">
        <f>'Données projet'!D226</f>
        <v>0</v>
      </c>
      <c r="C248" s="205"/>
      <c r="D248" s="190">
        <f t="shared" si="13"/>
        <v>0</v>
      </c>
      <c r="E248" s="205"/>
      <c r="F248" s="262"/>
      <c r="G248" s="222"/>
      <c r="H248" s="5"/>
      <c r="I248" s="5"/>
      <c r="J248" s="5"/>
      <c r="K248" s="182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1">
        <f>'Données projet'!A227</f>
        <v>0</v>
      </c>
      <c r="B249" s="192">
        <f>'Données projet'!D227</f>
        <v>0</v>
      </c>
      <c r="C249" s="205"/>
      <c r="D249" s="190">
        <f t="shared" si="13"/>
        <v>0</v>
      </c>
      <c r="E249" s="205"/>
      <c r="F249" s="262"/>
      <c r="G249" s="222"/>
      <c r="H249" s="5"/>
      <c r="I249" s="5"/>
      <c r="J249" s="5"/>
      <c r="K249" s="182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1">
        <f>'Données projet'!A228</f>
        <v>0</v>
      </c>
      <c r="B250" s="192">
        <f>'Données projet'!D228</f>
        <v>0</v>
      </c>
      <c r="C250" s="205"/>
      <c r="D250" s="190">
        <f t="shared" si="13"/>
        <v>0</v>
      </c>
      <c r="E250" s="205"/>
      <c r="F250" s="262"/>
      <c r="G250" s="222"/>
      <c r="H250" s="5"/>
      <c r="I250" s="5"/>
      <c r="J250" s="5"/>
      <c r="K250" s="182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1">
        <f>'Données projet'!A229</f>
        <v>0</v>
      </c>
      <c r="B251" s="192">
        <f>'Données projet'!D229</f>
        <v>0</v>
      </c>
      <c r="C251" s="205"/>
      <c r="D251" s="190">
        <f t="shared" si="13"/>
        <v>0</v>
      </c>
      <c r="E251" s="205"/>
      <c r="F251" s="262"/>
      <c r="G251" s="222"/>
      <c r="H251" s="5"/>
      <c r="I251" s="5"/>
      <c r="J251" s="5"/>
      <c r="K251" s="182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1">
        <f>'Données projet'!A230</f>
        <v>0</v>
      </c>
      <c r="B252" s="192">
        <f>'Données projet'!D230</f>
        <v>0</v>
      </c>
      <c r="C252" s="205"/>
      <c r="D252" s="190">
        <f t="shared" si="13"/>
        <v>0</v>
      </c>
      <c r="E252" s="205"/>
      <c r="F252" s="262"/>
      <c r="G252" s="222"/>
      <c r="H252" s="5"/>
      <c r="I252" s="5"/>
      <c r="J252" s="5"/>
      <c r="K252" s="182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1">
        <f>'Données projet'!A231</f>
        <v>0</v>
      </c>
      <c r="B253" s="192">
        <f>'Données projet'!D231</f>
        <v>0</v>
      </c>
      <c r="C253" s="205"/>
      <c r="D253" s="190">
        <f t="shared" si="13"/>
        <v>0</v>
      </c>
      <c r="E253" s="205"/>
      <c r="F253" s="262"/>
      <c r="G253" s="222"/>
      <c r="H253" s="5"/>
      <c r="I253" s="5"/>
      <c r="J253" s="5"/>
      <c r="K253" s="182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1">
        <f>'Données projet'!A232</f>
        <v>0</v>
      </c>
      <c r="B254" s="192">
        <f>'Données projet'!D232</f>
        <v>0</v>
      </c>
      <c r="C254" s="205"/>
      <c r="D254" s="190">
        <f t="shared" si="13"/>
        <v>0</v>
      </c>
      <c r="E254" s="205"/>
      <c r="F254" s="262"/>
      <c r="G254" s="222"/>
      <c r="H254" s="5"/>
      <c r="I254" s="5"/>
      <c r="J254" s="5"/>
      <c r="K254" s="182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1">
        <f>'Données projet'!A233</f>
        <v>0</v>
      </c>
      <c r="B255" s="192">
        <f>'Données projet'!D233</f>
        <v>0</v>
      </c>
      <c r="C255" s="205"/>
      <c r="D255" s="190">
        <f t="shared" si="13"/>
        <v>0</v>
      </c>
      <c r="E255" s="205"/>
      <c r="F255" s="262"/>
      <c r="G255" s="222"/>
      <c r="H255" s="5"/>
      <c r="I255" s="5"/>
      <c r="J255" s="5"/>
      <c r="K255" s="182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1">
        <f>'Données projet'!A234</f>
        <v>0</v>
      </c>
      <c r="B256" s="192">
        <f>'Données projet'!D234</f>
        <v>0</v>
      </c>
      <c r="C256" s="205"/>
      <c r="D256" s="190">
        <f t="shared" si="13"/>
        <v>0</v>
      </c>
      <c r="E256" s="205"/>
      <c r="F256" s="262"/>
      <c r="G256" s="222"/>
      <c r="H256" s="5"/>
      <c r="I256" s="5"/>
      <c r="J256" s="5"/>
      <c r="K256" s="182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1">
        <f>'Données projet'!A235</f>
        <v>0</v>
      </c>
      <c r="B257" s="192">
        <f>'Données projet'!D235</f>
        <v>0</v>
      </c>
      <c r="C257" s="205"/>
      <c r="D257" s="190">
        <f t="shared" si="13"/>
        <v>0</v>
      </c>
      <c r="E257" s="205"/>
      <c r="F257" s="262"/>
      <c r="G257" s="222"/>
      <c r="H257" s="5"/>
      <c r="I257" s="5"/>
      <c r="J257" s="5"/>
      <c r="K257" s="182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1">
        <f>'Données projet'!A236</f>
        <v>0</v>
      </c>
      <c r="B258" s="192">
        <f>'Données projet'!D236</f>
        <v>0</v>
      </c>
      <c r="C258" s="205"/>
      <c r="D258" s="190">
        <f t="shared" si="13"/>
        <v>0</v>
      </c>
      <c r="E258" s="205"/>
      <c r="F258" s="262"/>
      <c r="G258" s="222"/>
      <c r="H258" s="5"/>
      <c r="I258" s="5"/>
      <c r="J258" s="5"/>
      <c r="K258" s="182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1">
        <f>'Données projet'!A237</f>
        <v>0</v>
      </c>
      <c r="B259" s="192">
        <f>'Données projet'!D237</f>
        <v>0</v>
      </c>
      <c r="C259" s="205"/>
      <c r="D259" s="190">
        <f t="shared" si="13"/>
        <v>0</v>
      </c>
      <c r="E259" s="205"/>
      <c r="F259" s="262"/>
      <c r="G259" s="222"/>
      <c r="H259" s="5"/>
      <c r="I259" s="5"/>
      <c r="J259" s="5"/>
      <c r="K259" s="182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0"/>
      <c r="G260" s="222"/>
      <c r="H260" s="5"/>
      <c r="I260" s="5"/>
      <c r="J260" s="5"/>
      <c r="K260" s="182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0"/>
      <c r="G261" s="222"/>
      <c r="H261" s="5"/>
      <c r="I261" s="5"/>
      <c r="J261" s="5"/>
      <c r="K261" s="182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5" t="str">
        <f>IF('Données projet'!$B$17="","",'Données projet'!$B$17)</f>
        <v/>
      </c>
      <c r="C262" s="5"/>
      <c r="D262" s="5"/>
      <c r="E262" s="5"/>
      <c r="F262" s="260"/>
      <c r="G262" s="222"/>
      <c r="H262" s="5"/>
      <c r="I262" s="5"/>
      <c r="J262" s="5"/>
      <c r="K262" s="182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0"/>
      <c r="G263" s="222"/>
      <c r="H263" s="5"/>
      <c r="I263" s="5"/>
      <c r="J263" s="5"/>
      <c r="K263" s="182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6" t="s">
        <v>180</v>
      </c>
      <c r="B264" s="51" t="s">
        <v>256</v>
      </c>
      <c r="C264" s="51" t="s">
        <v>255</v>
      </c>
      <c r="D264" s="256" t="s">
        <v>252</v>
      </c>
      <c r="E264" s="256" t="s">
        <v>320</v>
      </c>
      <c r="F264" s="261"/>
      <c r="G264" s="222"/>
      <c r="H264" s="5"/>
      <c r="I264" s="5"/>
      <c r="J264" s="5"/>
      <c r="K264" s="182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09">
        <v>0</v>
      </c>
      <c r="B265" s="212" t="s">
        <v>132</v>
      </c>
      <c r="C265" s="211" t="s">
        <v>132</v>
      </c>
      <c r="D265" s="210" t="s">
        <v>132</v>
      </c>
      <c r="E265" s="205"/>
      <c r="F265" s="261"/>
      <c r="G265" s="222"/>
      <c r="H265" s="5"/>
      <c r="I265" s="5"/>
      <c r="J265" s="5"/>
      <c r="K265" s="182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09">
        <v>1</v>
      </c>
      <c r="B266" s="212" t="s">
        <v>132</v>
      </c>
      <c r="C266" s="211" t="s">
        <v>132</v>
      </c>
      <c r="D266" s="210" t="s">
        <v>132</v>
      </c>
      <c r="E266" s="205"/>
      <c r="F266" s="261"/>
      <c r="G266" s="220"/>
      <c r="H266" s="5"/>
      <c r="I266" s="5"/>
      <c r="J266" s="5"/>
      <c r="K266" s="182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09">
        <v>2</v>
      </c>
      <c r="B267" s="212" t="s">
        <v>132</v>
      </c>
      <c r="C267" s="211" t="s">
        <v>132</v>
      </c>
      <c r="D267" s="210" t="s">
        <v>132</v>
      </c>
      <c r="E267" s="205"/>
      <c r="F267" s="261"/>
      <c r="G267" s="220"/>
      <c r="H267" s="5"/>
      <c r="I267" s="5"/>
      <c r="J267" s="5"/>
      <c r="K267" s="182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09">
        <v>3</v>
      </c>
      <c r="B268" s="212" t="s">
        <v>132</v>
      </c>
      <c r="C268" s="211" t="s">
        <v>132</v>
      </c>
      <c r="D268" s="210" t="s">
        <v>132</v>
      </c>
      <c r="E268" s="205"/>
      <c r="F268" s="261"/>
      <c r="G268" s="220"/>
      <c r="H268" s="5"/>
      <c r="I268" s="5"/>
      <c r="J268" s="5"/>
      <c r="K268" s="182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09">
        <v>4</v>
      </c>
      <c r="B269" s="212" t="s">
        <v>132</v>
      </c>
      <c r="C269" s="211" t="s">
        <v>132</v>
      </c>
      <c r="D269" s="210" t="s">
        <v>132</v>
      </c>
      <c r="E269" s="205"/>
      <c r="F269" s="261"/>
      <c r="G269" s="220"/>
      <c r="H269" s="5"/>
      <c r="I269" s="5"/>
      <c r="J269" s="5"/>
      <c r="K269" s="182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09">
        <v>5</v>
      </c>
      <c r="B270" s="212" t="s">
        <v>132</v>
      </c>
      <c r="C270" s="211" t="s">
        <v>132</v>
      </c>
      <c r="D270" s="210" t="s">
        <v>132</v>
      </c>
      <c r="E270" s="205"/>
      <c r="F270" s="261"/>
      <c r="G270" s="221"/>
      <c r="H270" s="5"/>
      <c r="I270" s="5"/>
      <c r="J270" s="5"/>
      <c r="K270" s="182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1">
        <f>'Données projet'!A244</f>
        <v>0</v>
      </c>
      <c r="B271" s="192">
        <f>'Données projet'!D244</f>
        <v>0</v>
      </c>
      <c r="C271" s="205"/>
      <c r="D271" s="190">
        <f>B271*C271</f>
        <v>0</v>
      </c>
      <c r="E271" s="205"/>
      <c r="F271" s="262"/>
      <c r="G271" s="221"/>
      <c r="H271" s="5"/>
      <c r="I271" s="5"/>
      <c r="J271" s="5"/>
      <c r="K271" s="182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1">
        <f>'Données projet'!A245</f>
        <v>0</v>
      </c>
      <c r="B272" s="192">
        <f>'Données projet'!D245</f>
        <v>0</v>
      </c>
      <c r="C272" s="205"/>
      <c r="D272" s="190">
        <f t="shared" ref="D272:D290" si="14">B272*C272</f>
        <v>0</v>
      </c>
      <c r="E272" s="205"/>
      <c r="F272" s="262"/>
      <c r="G272" s="221"/>
      <c r="H272" s="5"/>
      <c r="I272" s="5"/>
      <c r="J272" s="5"/>
      <c r="K272" s="182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1">
        <f>'Données projet'!A246</f>
        <v>0</v>
      </c>
      <c r="B273" s="192">
        <f>'Données projet'!D246</f>
        <v>0</v>
      </c>
      <c r="C273" s="205"/>
      <c r="D273" s="190">
        <f t="shared" si="14"/>
        <v>0</v>
      </c>
      <c r="E273" s="205"/>
      <c r="F273" s="262"/>
      <c r="G273" s="221"/>
      <c r="H273" s="5"/>
      <c r="I273" s="5"/>
      <c r="J273" s="5"/>
      <c r="K273" s="182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1">
        <f>'Données projet'!A247</f>
        <v>0</v>
      </c>
      <c r="B274" s="192">
        <f>'Données projet'!D247</f>
        <v>0</v>
      </c>
      <c r="C274" s="205"/>
      <c r="D274" s="190">
        <f t="shared" si="14"/>
        <v>0</v>
      </c>
      <c r="E274" s="205"/>
      <c r="F274" s="262"/>
      <c r="G274" s="221"/>
      <c r="H274" s="5"/>
      <c r="I274" s="5"/>
      <c r="J274" s="5"/>
      <c r="K274" s="182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1">
        <f>'Données projet'!A248</f>
        <v>0</v>
      </c>
      <c r="B275" s="192">
        <f>'Données projet'!D248</f>
        <v>0</v>
      </c>
      <c r="C275" s="205"/>
      <c r="D275" s="190">
        <f t="shared" si="14"/>
        <v>0</v>
      </c>
      <c r="E275" s="205"/>
      <c r="F275" s="262"/>
      <c r="G275" s="221"/>
      <c r="H275" s="5"/>
      <c r="I275" s="5"/>
      <c r="J275" s="5"/>
      <c r="K275" s="182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1">
        <f>'Données projet'!A249</f>
        <v>0</v>
      </c>
      <c r="B276" s="192">
        <f>'Données projet'!D249</f>
        <v>0</v>
      </c>
      <c r="C276" s="205"/>
      <c r="D276" s="190">
        <f t="shared" si="14"/>
        <v>0</v>
      </c>
      <c r="E276" s="205"/>
      <c r="F276" s="262"/>
      <c r="G276" s="221"/>
      <c r="H276" s="5"/>
      <c r="I276" s="5"/>
      <c r="J276" s="5"/>
      <c r="K276" s="182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1">
        <f>'Données projet'!A250</f>
        <v>0</v>
      </c>
      <c r="B277" s="192">
        <f>'Données projet'!D250</f>
        <v>0</v>
      </c>
      <c r="C277" s="205"/>
      <c r="D277" s="190">
        <f t="shared" si="14"/>
        <v>0</v>
      </c>
      <c r="E277" s="205"/>
      <c r="F277" s="262"/>
      <c r="G277" s="222"/>
      <c r="H277" s="5"/>
      <c r="I277" s="5"/>
      <c r="J277" s="5"/>
      <c r="K277" s="182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1">
        <f>'Données projet'!A251</f>
        <v>0</v>
      </c>
      <c r="B278" s="192">
        <f>'Données projet'!D251</f>
        <v>0</v>
      </c>
      <c r="C278" s="205"/>
      <c r="D278" s="190">
        <f t="shared" si="14"/>
        <v>0</v>
      </c>
      <c r="E278" s="205"/>
      <c r="F278" s="262"/>
      <c r="G278" s="222"/>
      <c r="H278" s="5"/>
      <c r="I278" s="5"/>
      <c r="J278" s="5"/>
      <c r="K278" s="182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1">
        <f>'Données projet'!A252</f>
        <v>0</v>
      </c>
      <c r="B279" s="192">
        <f>'Données projet'!D252</f>
        <v>0</v>
      </c>
      <c r="C279" s="205"/>
      <c r="D279" s="190">
        <f t="shared" si="14"/>
        <v>0</v>
      </c>
      <c r="E279" s="205"/>
      <c r="F279" s="262"/>
      <c r="G279" s="222"/>
      <c r="H279" s="5"/>
      <c r="I279" s="5"/>
      <c r="J279" s="5"/>
      <c r="K279" s="182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1">
        <f>'Données projet'!A253</f>
        <v>0</v>
      </c>
      <c r="B280" s="192">
        <f>'Données projet'!D253</f>
        <v>0</v>
      </c>
      <c r="C280" s="205"/>
      <c r="D280" s="190">
        <f t="shared" si="14"/>
        <v>0</v>
      </c>
      <c r="E280" s="205"/>
      <c r="F280" s="262"/>
      <c r="G280" s="222"/>
      <c r="H280" s="5"/>
      <c r="I280" s="5"/>
      <c r="J280" s="5"/>
      <c r="K280" s="182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1">
        <f>'Données projet'!A254</f>
        <v>0</v>
      </c>
      <c r="B281" s="192">
        <f>'Données projet'!D254</f>
        <v>0</v>
      </c>
      <c r="C281" s="205"/>
      <c r="D281" s="190">
        <f t="shared" si="14"/>
        <v>0</v>
      </c>
      <c r="E281" s="205"/>
      <c r="F281" s="262"/>
      <c r="G281" s="222"/>
      <c r="H281" s="5"/>
      <c r="I281" s="5"/>
      <c r="J281" s="5"/>
      <c r="K281" s="182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1">
        <f>'Données projet'!A255</f>
        <v>0</v>
      </c>
      <c r="B282" s="192">
        <f>'Données projet'!D255</f>
        <v>0</v>
      </c>
      <c r="C282" s="205"/>
      <c r="D282" s="190">
        <f t="shared" si="14"/>
        <v>0</v>
      </c>
      <c r="E282" s="205"/>
      <c r="F282" s="262"/>
      <c r="G282" s="222"/>
      <c r="H282" s="5"/>
      <c r="I282" s="5"/>
      <c r="J282" s="5"/>
      <c r="K282" s="182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1">
        <f>'Données projet'!A256</f>
        <v>0</v>
      </c>
      <c r="B283" s="192">
        <f>'Données projet'!D256</f>
        <v>0</v>
      </c>
      <c r="C283" s="205"/>
      <c r="D283" s="190">
        <f t="shared" si="14"/>
        <v>0</v>
      </c>
      <c r="E283" s="205"/>
      <c r="F283" s="262"/>
      <c r="G283" s="222"/>
      <c r="H283" s="5"/>
      <c r="I283" s="5"/>
      <c r="J283" s="5"/>
      <c r="K283" s="182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1">
        <f>'Données projet'!A257</f>
        <v>0</v>
      </c>
      <c r="B284" s="192">
        <f>'Données projet'!D257</f>
        <v>0</v>
      </c>
      <c r="C284" s="205"/>
      <c r="D284" s="190">
        <f t="shared" si="14"/>
        <v>0</v>
      </c>
      <c r="E284" s="205"/>
      <c r="F284" s="262"/>
      <c r="G284" s="222"/>
      <c r="H284" s="5"/>
      <c r="I284" s="5"/>
      <c r="J284" s="5"/>
      <c r="K284" s="182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1">
        <f>'Données projet'!A258</f>
        <v>0</v>
      </c>
      <c r="B285" s="192">
        <f>'Données projet'!D258</f>
        <v>0</v>
      </c>
      <c r="C285" s="205"/>
      <c r="D285" s="190">
        <f t="shared" si="14"/>
        <v>0</v>
      </c>
      <c r="E285" s="205"/>
      <c r="F285" s="262"/>
      <c r="G285" s="222"/>
      <c r="H285" s="5"/>
      <c r="I285" s="5"/>
      <c r="J285" s="5"/>
      <c r="K285" s="182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1">
        <f>'Données projet'!A259</f>
        <v>0</v>
      </c>
      <c r="B286" s="192">
        <f>'Données projet'!D259</f>
        <v>0</v>
      </c>
      <c r="C286" s="205"/>
      <c r="D286" s="190">
        <f t="shared" si="14"/>
        <v>0</v>
      </c>
      <c r="E286" s="205"/>
      <c r="F286" s="262"/>
      <c r="G286" s="222"/>
      <c r="H286" s="5"/>
      <c r="I286" s="5"/>
      <c r="J286" s="5"/>
      <c r="K286" s="182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1">
        <f>'Données projet'!A260</f>
        <v>0</v>
      </c>
      <c r="B287" s="192">
        <f>'Données projet'!D260</f>
        <v>0</v>
      </c>
      <c r="C287" s="205"/>
      <c r="D287" s="190">
        <f t="shared" si="14"/>
        <v>0</v>
      </c>
      <c r="E287" s="205"/>
      <c r="F287" s="262"/>
      <c r="G287" s="222"/>
      <c r="H287" s="5"/>
      <c r="I287" s="5"/>
      <c r="J287" s="5"/>
      <c r="K287" s="182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1">
        <f>'Données projet'!A261</f>
        <v>0</v>
      </c>
      <c r="B288" s="192">
        <f>'Données projet'!D261</f>
        <v>0</v>
      </c>
      <c r="C288" s="205"/>
      <c r="D288" s="190">
        <f t="shared" si="14"/>
        <v>0</v>
      </c>
      <c r="E288" s="205"/>
      <c r="F288" s="262"/>
      <c r="G288" s="222"/>
      <c r="H288" s="5"/>
      <c r="I288" s="5"/>
      <c r="J288" s="5"/>
      <c r="K288" s="182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1">
        <f>'Données projet'!A262</f>
        <v>0</v>
      </c>
      <c r="B289" s="192">
        <f>'Données projet'!D262</f>
        <v>0</v>
      </c>
      <c r="C289" s="205"/>
      <c r="D289" s="190">
        <f t="shared" si="14"/>
        <v>0</v>
      </c>
      <c r="E289" s="205"/>
      <c r="F289" s="262"/>
      <c r="G289" s="222"/>
      <c r="H289" s="5"/>
      <c r="I289" s="5"/>
      <c r="J289" s="5"/>
      <c r="K289" s="182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1">
        <f>'Données projet'!A263</f>
        <v>0</v>
      </c>
      <c r="B290" s="192">
        <f>'Données projet'!D263</f>
        <v>0</v>
      </c>
      <c r="C290" s="205"/>
      <c r="D290" s="190">
        <f t="shared" si="14"/>
        <v>0</v>
      </c>
      <c r="E290" s="205"/>
      <c r="F290" s="262"/>
      <c r="G290" s="222"/>
      <c r="H290" s="5"/>
      <c r="I290" s="5"/>
      <c r="J290" s="5"/>
      <c r="K290" s="182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0"/>
      <c r="G291" s="222"/>
      <c r="H291" s="5"/>
      <c r="I291" s="5"/>
      <c r="J291" s="5"/>
      <c r="K291" s="182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0"/>
      <c r="G292" s="222"/>
      <c r="H292" s="5"/>
      <c r="I292" s="5"/>
      <c r="J292" s="5"/>
      <c r="K292" s="182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5" t="str">
        <f>IF('Données projet'!$B$18="","",'Données projet'!$B$18)</f>
        <v/>
      </c>
      <c r="C293" s="5"/>
      <c r="D293" s="5"/>
      <c r="E293" s="5"/>
      <c r="F293" s="260"/>
      <c r="G293" s="222"/>
      <c r="H293" s="5"/>
      <c r="I293" s="5"/>
      <c r="J293" s="5"/>
      <c r="K293" s="182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0"/>
      <c r="G294" s="222"/>
      <c r="H294" s="5"/>
      <c r="I294" s="5"/>
      <c r="J294" s="5"/>
      <c r="K294" s="182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6" t="s">
        <v>180</v>
      </c>
      <c r="B295" s="51" t="s">
        <v>256</v>
      </c>
      <c r="C295" s="51" t="s">
        <v>255</v>
      </c>
      <c r="D295" s="256" t="s">
        <v>252</v>
      </c>
      <c r="E295" s="256" t="s">
        <v>320</v>
      </c>
      <c r="F295" s="261"/>
      <c r="G295" s="222"/>
      <c r="H295" s="5"/>
      <c r="I295" s="5"/>
      <c r="J295" s="5"/>
      <c r="K295" s="182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09">
        <v>0</v>
      </c>
      <c r="B296" s="212" t="s">
        <v>132</v>
      </c>
      <c r="C296" s="211" t="s">
        <v>132</v>
      </c>
      <c r="D296" s="210" t="s">
        <v>132</v>
      </c>
      <c r="E296" s="205"/>
      <c r="F296" s="261"/>
      <c r="G296" s="222"/>
      <c r="H296" s="5"/>
      <c r="I296" s="5"/>
      <c r="J296" s="5"/>
      <c r="K296" s="182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09">
        <v>1</v>
      </c>
      <c r="B297" s="212" t="s">
        <v>132</v>
      </c>
      <c r="C297" s="211" t="s">
        <v>132</v>
      </c>
      <c r="D297" s="210" t="s">
        <v>132</v>
      </c>
      <c r="E297" s="205"/>
      <c r="F297" s="261"/>
      <c r="G297" s="220"/>
      <c r="H297" s="5"/>
      <c r="I297" s="5"/>
      <c r="J297" s="5"/>
      <c r="K297" s="182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09">
        <v>2</v>
      </c>
      <c r="B298" s="212" t="s">
        <v>132</v>
      </c>
      <c r="C298" s="211" t="s">
        <v>132</v>
      </c>
      <c r="D298" s="210" t="s">
        <v>132</v>
      </c>
      <c r="E298" s="205"/>
      <c r="F298" s="261"/>
      <c r="G298" s="220"/>
      <c r="H298" s="5"/>
      <c r="I298" s="5"/>
      <c r="J298" s="5"/>
      <c r="K298" s="182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09">
        <v>3</v>
      </c>
      <c r="B299" s="212" t="s">
        <v>132</v>
      </c>
      <c r="C299" s="211" t="s">
        <v>132</v>
      </c>
      <c r="D299" s="210" t="s">
        <v>132</v>
      </c>
      <c r="E299" s="205"/>
      <c r="F299" s="261"/>
      <c r="G299" s="220"/>
      <c r="H299" s="5"/>
      <c r="I299" s="5"/>
      <c r="J299" s="5"/>
      <c r="K299" s="182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09">
        <v>4</v>
      </c>
      <c r="B300" s="212" t="s">
        <v>132</v>
      </c>
      <c r="C300" s="211" t="s">
        <v>132</v>
      </c>
      <c r="D300" s="210" t="s">
        <v>132</v>
      </c>
      <c r="E300" s="205"/>
      <c r="F300" s="261"/>
      <c r="G300" s="220"/>
      <c r="H300" s="5"/>
      <c r="I300" s="5"/>
      <c r="J300" s="5"/>
      <c r="K300" s="182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09">
        <v>5</v>
      </c>
      <c r="B301" s="212" t="s">
        <v>132</v>
      </c>
      <c r="C301" s="211" t="s">
        <v>132</v>
      </c>
      <c r="D301" s="210" t="s">
        <v>132</v>
      </c>
      <c r="E301" s="205"/>
      <c r="F301" s="261"/>
      <c r="G301" s="221"/>
      <c r="H301" s="5"/>
      <c r="I301" s="5"/>
      <c r="J301" s="5"/>
      <c r="K301" s="182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1">
        <f>'Données projet'!A270</f>
        <v>0</v>
      </c>
      <c r="B302" s="192">
        <f>'Données projet'!D270</f>
        <v>0</v>
      </c>
      <c r="C302" s="203"/>
      <c r="D302" s="193">
        <f>B302*C302</f>
        <v>0</v>
      </c>
      <c r="E302" s="205"/>
      <c r="F302" s="263"/>
      <c r="G302" s="221"/>
      <c r="H302" s="5"/>
      <c r="I302" s="5"/>
      <c r="J302" s="5"/>
      <c r="K302" s="182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1">
        <f>'Données projet'!A271</f>
        <v>0</v>
      </c>
      <c r="B303" s="192">
        <f>'Données projet'!D271</f>
        <v>0</v>
      </c>
      <c r="C303" s="203"/>
      <c r="D303" s="193">
        <f t="shared" ref="D303:D321" si="15">B303*C303</f>
        <v>0</v>
      </c>
      <c r="E303" s="205"/>
      <c r="F303" s="263"/>
      <c r="G303" s="221"/>
      <c r="H303" s="5"/>
      <c r="I303" s="5"/>
      <c r="J303" s="5"/>
      <c r="K303" s="182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1">
        <f>'Données projet'!A272</f>
        <v>0</v>
      </c>
      <c r="B304" s="192">
        <f>'Données projet'!D272</f>
        <v>0</v>
      </c>
      <c r="C304" s="203"/>
      <c r="D304" s="193">
        <f t="shared" si="15"/>
        <v>0</v>
      </c>
      <c r="E304" s="205"/>
      <c r="F304" s="263"/>
      <c r="G304" s="221"/>
      <c r="H304" s="5"/>
      <c r="I304" s="5"/>
      <c r="J304" s="5"/>
      <c r="K304" s="182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1">
        <f>'Données projet'!A273</f>
        <v>0</v>
      </c>
      <c r="B305" s="192">
        <f>'Données projet'!D273</f>
        <v>0</v>
      </c>
      <c r="C305" s="203"/>
      <c r="D305" s="193">
        <f t="shared" si="15"/>
        <v>0</v>
      </c>
      <c r="E305" s="205"/>
      <c r="F305" s="263"/>
      <c r="G305" s="221"/>
      <c r="H305" s="5"/>
      <c r="I305" s="5"/>
      <c r="J305" s="5"/>
      <c r="K305" s="182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1">
        <f>'Données projet'!A274</f>
        <v>0</v>
      </c>
      <c r="B306" s="192">
        <f>'Données projet'!D274</f>
        <v>0</v>
      </c>
      <c r="C306" s="203"/>
      <c r="D306" s="193">
        <f t="shared" si="15"/>
        <v>0</v>
      </c>
      <c r="E306" s="205"/>
      <c r="F306" s="263"/>
      <c r="G306" s="221"/>
      <c r="H306" s="5"/>
      <c r="I306" s="5"/>
      <c r="J306" s="5"/>
      <c r="K306" s="182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1">
        <f>'Données projet'!A275</f>
        <v>0</v>
      </c>
      <c r="B307" s="192">
        <f>'Données projet'!D275</f>
        <v>0</v>
      </c>
      <c r="C307" s="203"/>
      <c r="D307" s="193">
        <f t="shared" si="15"/>
        <v>0</v>
      </c>
      <c r="E307" s="205"/>
      <c r="F307" s="263"/>
      <c r="G307" s="221"/>
      <c r="H307" s="5"/>
      <c r="I307" s="5"/>
      <c r="J307" s="5"/>
      <c r="K307" s="182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1">
        <f>'Données projet'!A276</f>
        <v>0</v>
      </c>
      <c r="B308" s="192">
        <f>'Données projet'!D276</f>
        <v>0</v>
      </c>
      <c r="C308" s="203"/>
      <c r="D308" s="193">
        <f t="shared" si="15"/>
        <v>0</v>
      </c>
      <c r="E308" s="205"/>
      <c r="F308" s="263"/>
      <c r="G308" s="217"/>
      <c r="H308" s="5"/>
      <c r="I308" s="5"/>
      <c r="J308" s="5"/>
      <c r="K308" s="182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1">
        <f>'Données projet'!A277</f>
        <v>0</v>
      </c>
      <c r="B309" s="192">
        <f>'Données projet'!D277</f>
        <v>0</v>
      </c>
      <c r="C309" s="203"/>
      <c r="D309" s="193">
        <f t="shared" si="15"/>
        <v>0</v>
      </c>
      <c r="E309" s="205"/>
      <c r="F309" s="263"/>
      <c r="G309" s="217"/>
      <c r="H309" s="5"/>
      <c r="I309" s="5"/>
      <c r="J309" s="5"/>
      <c r="K309" s="182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1">
        <f>'Données projet'!A278</f>
        <v>0</v>
      </c>
      <c r="B310" s="192">
        <f>'Données projet'!D278</f>
        <v>0</v>
      </c>
      <c r="C310" s="203"/>
      <c r="D310" s="193">
        <f t="shared" si="15"/>
        <v>0</v>
      </c>
      <c r="E310" s="205"/>
      <c r="F310" s="263"/>
      <c r="G310" s="217"/>
      <c r="H310" s="5"/>
      <c r="I310" s="5"/>
      <c r="J310" s="5"/>
      <c r="K310" s="182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1">
        <f>'Données projet'!A279</f>
        <v>0</v>
      </c>
      <c r="B311" s="192">
        <f>'Données projet'!D279</f>
        <v>0</v>
      </c>
      <c r="C311" s="203"/>
      <c r="D311" s="193">
        <f t="shared" si="15"/>
        <v>0</v>
      </c>
      <c r="E311" s="205"/>
      <c r="F311" s="263"/>
      <c r="G311" s="217"/>
      <c r="H311" s="5"/>
      <c r="I311" s="5"/>
      <c r="J311" s="5"/>
      <c r="K311" s="182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1">
        <f>'Données projet'!A280</f>
        <v>0</v>
      </c>
      <c r="B312" s="192">
        <f>'Données projet'!D280</f>
        <v>0</v>
      </c>
      <c r="C312" s="203"/>
      <c r="D312" s="193">
        <f t="shared" si="15"/>
        <v>0</v>
      </c>
      <c r="E312" s="205"/>
      <c r="F312" s="263"/>
      <c r="G312" s="217"/>
      <c r="H312" s="5"/>
      <c r="I312" s="5"/>
      <c r="J312" s="5"/>
      <c r="K312" s="182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1">
        <f>'Données projet'!A281</f>
        <v>0</v>
      </c>
      <c r="B313" s="192">
        <f>'Données projet'!D281</f>
        <v>0</v>
      </c>
      <c r="C313" s="203"/>
      <c r="D313" s="193">
        <f t="shared" si="15"/>
        <v>0</v>
      </c>
      <c r="E313" s="205"/>
      <c r="F313" s="263"/>
      <c r="G313" s="217"/>
      <c r="H313" s="5"/>
      <c r="I313" s="5"/>
      <c r="J313" s="5"/>
      <c r="K313" s="182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1">
        <f>'Données projet'!A282</f>
        <v>0</v>
      </c>
      <c r="B314" s="192">
        <f>'Données projet'!D282</f>
        <v>0</v>
      </c>
      <c r="C314" s="203"/>
      <c r="D314" s="193">
        <f t="shared" si="15"/>
        <v>0</v>
      </c>
      <c r="E314" s="205"/>
      <c r="F314" s="263"/>
      <c r="G314" s="217"/>
      <c r="H314" s="5"/>
      <c r="I314" s="5"/>
      <c r="J314" s="5"/>
      <c r="K314" s="182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1">
        <f>'Données projet'!A283</f>
        <v>0</v>
      </c>
      <c r="B315" s="192">
        <f>'Données projet'!D283</f>
        <v>0</v>
      </c>
      <c r="C315" s="203"/>
      <c r="D315" s="193">
        <f t="shared" si="15"/>
        <v>0</v>
      </c>
      <c r="E315" s="205"/>
      <c r="F315" s="263"/>
      <c r="G315" s="217"/>
      <c r="H315" s="5"/>
      <c r="I315" s="5"/>
      <c r="J315" s="5"/>
      <c r="K315" s="182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1">
        <f>'Données projet'!A284</f>
        <v>0</v>
      </c>
      <c r="B316" s="192">
        <f>'Données projet'!D284</f>
        <v>0</v>
      </c>
      <c r="C316" s="203"/>
      <c r="D316" s="193">
        <f t="shared" si="15"/>
        <v>0</v>
      </c>
      <c r="E316" s="205"/>
      <c r="F316" s="263"/>
      <c r="G316" s="217"/>
      <c r="H316" s="5"/>
      <c r="I316" s="5"/>
      <c r="J316" s="5"/>
      <c r="K316" s="182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1">
        <f>'Données projet'!A285</f>
        <v>0</v>
      </c>
      <c r="B317" s="192">
        <f>'Données projet'!D285</f>
        <v>0</v>
      </c>
      <c r="C317" s="203"/>
      <c r="D317" s="193">
        <f t="shared" si="15"/>
        <v>0</v>
      </c>
      <c r="E317" s="205"/>
      <c r="F317" s="263"/>
      <c r="G317" s="217"/>
      <c r="H317" s="5"/>
      <c r="I317" s="5"/>
      <c r="J317" s="5"/>
      <c r="K317" s="182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1">
        <f>'Données projet'!A286</f>
        <v>0</v>
      </c>
      <c r="B318" s="192">
        <f>'Données projet'!D286</f>
        <v>0</v>
      </c>
      <c r="C318" s="203"/>
      <c r="D318" s="193">
        <f t="shared" si="15"/>
        <v>0</v>
      </c>
      <c r="E318" s="205"/>
      <c r="F318" s="263"/>
      <c r="G318" s="217"/>
      <c r="H318" s="5"/>
      <c r="I318" s="5"/>
      <c r="J318" s="5"/>
      <c r="K318" s="182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1">
        <f>'Données projet'!A287</f>
        <v>0</v>
      </c>
      <c r="B319" s="192">
        <f>'Données projet'!D287</f>
        <v>0</v>
      </c>
      <c r="C319" s="203"/>
      <c r="D319" s="193">
        <f t="shared" si="15"/>
        <v>0</v>
      </c>
      <c r="E319" s="205"/>
      <c r="F319" s="263"/>
      <c r="G319" s="217"/>
      <c r="H319" s="5"/>
      <c r="I319" s="5"/>
      <c r="J319" s="5"/>
      <c r="K319" s="182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1">
        <f>'Données projet'!A288</f>
        <v>0</v>
      </c>
      <c r="B320" s="192">
        <f>'Données projet'!D288</f>
        <v>0</v>
      </c>
      <c r="C320" s="203"/>
      <c r="D320" s="193">
        <f t="shared" si="15"/>
        <v>0</v>
      </c>
      <c r="E320" s="205"/>
      <c r="F320" s="263"/>
      <c r="G320" s="217"/>
      <c r="H320" s="5"/>
      <c r="I320" s="5"/>
      <c r="J320" s="5"/>
      <c r="K320" s="182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1">
        <f>'Données projet'!A289</f>
        <v>0</v>
      </c>
      <c r="B321" s="192">
        <f>'Données projet'!D289</f>
        <v>0</v>
      </c>
      <c r="C321" s="208"/>
      <c r="D321" s="193">
        <f t="shared" si="15"/>
        <v>0</v>
      </c>
      <c r="E321" s="205"/>
      <c r="F321" s="263"/>
      <c r="G321" s="217"/>
      <c r="H321" s="5"/>
      <c r="I321" s="5"/>
      <c r="J321" s="5"/>
      <c r="K321" s="182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7"/>
      <c r="H322" s="5"/>
      <c r="I322" s="5"/>
      <c r="J322" s="5"/>
      <c r="K322" s="182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7"/>
      <c r="H323" s="5"/>
      <c r="I323" s="5"/>
      <c r="J323" s="5"/>
      <c r="K323" s="182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7"/>
      <c r="H324" s="5"/>
      <c r="I324" s="5"/>
      <c r="J324" s="5"/>
      <c r="K324" s="182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7"/>
      <c r="H325" s="5"/>
      <c r="I325" s="5"/>
      <c r="J325" s="5"/>
      <c r="K325" s="182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7"/>
      <c r="H326" s="5"/>
      <c r="I326" s="5"/>
      <c r="J326" s="5"/>
      <c r="K326" s="182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7"/>
      <c r="H327" s="5"/>
      <c r="I327" s="5"/>
      <c r="J327" s="5"/>
      <c r="K327" s="182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0"/>
      <c r="G328" s="230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0"/>
      <c r="G329" s="230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0"/>
      <c r="G330" s="230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0"/>
      <c r="G331" s="230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0"/>
      <c r="G332" s="230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0"/>
      <c r="G333" s="230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0"/>
      <c r="G334" s="230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0"/>
      <c r="G335" s="230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0"/>
      <c r="G336" s="230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0"/>
      <c r="G337" s="230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0"/>
      <c r="G338" s="230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0"/>
      <c r="G339" s="230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0"/>
      <c r="G340" s="230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0"/>
      <c r="G341" s="230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0"/>
      <c r="G342" s="230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0"/>
      <c r="G343" s="230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0"/>
      <c r="G344" s="230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0"/>
      <c r="G345" s="230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0"/>
      <c r="G346" s="230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0"/>
      <c r="G347" s="230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0"/>
      <c r="G348" s="230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0"/>
      <c r="G349" s="230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0"/>
      <c r="G350" s="230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0"/>
      <c r="G351" s="230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0"/>
      <c r="G352" s="230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0"/>
      <c r="G353" s="230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0"/>
      <c r="G354" s="230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0"/>
      <c r="G355" s="230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0"/>
      <c r="G356" s="230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0"/>
      <c r="G357" s="230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0"/>
      <c r="G358" s="230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0"/>
      <c r="G359" s="230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0"/>
      <c r="G360" s="230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0"/>
      <c r="G361" s="230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0"/>
      <c r="G362" s="230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0"/>
      <c r="G363" s="230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0"/>
      <c r="G364" s="230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0"/>
      <c r="G365" s="230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0"/>
      <c r="G366" s="230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0"/>
      <c r="G367" s="230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0"/>
      <c r="G368" s="230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0"/>
      <c r="G369" s="230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0"/>
      <c r="G370" s="70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0"/>
      <c r="G371" s="70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0"/>
      <c r="G372" s="70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0"/>
      <c r="G373" s="70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0"/>
      <c r="G374" s="70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0"/>
      <c r="G375" s="70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0"/>
      <c r="G376" s="70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0"/>
      <c r="G377" s="70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0"/>
      <c r="G378" s="70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0"/>
      <c r="G379" s="70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0"/>
      <c r="G380" s="70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0"/>
      <c r="G381" s="70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0"/>
      <c r="G382" s="70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0"/>
      <c r="G383" s="70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0"/>
      <c r="G384" s="70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0"/>
      <c r="G385" s="70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0"/>
      <c r="G386" s="70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0"/>
      <c r="G387" s="70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0"/>
      <c r="G388" s="70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0"/>
      <c r="G389" s="70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0"/>
      <c r="G390" s="70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0"/>
      <c r="G391" s="70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0"/>
      <c r="G392" s="70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0"/>
      <c r="G393" s="70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0"/>
      <c r="G394" s="70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0"/>
      <c r="G395" s="70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0"/>
      <c r="G396" s="70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0"/>
      <c r="G397" s="70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0"/>
      <c r="G398" s="70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0"/>
      <c r="G399" s="70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0"/>
      <c r="G400" s="70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0"/>
      <c r="G401" s="70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0"/>
      <c r="G402" s="70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0"/>
      <c r="G403" s="70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0"/>
      <c r="G404" s="70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0"/>
      <c r="G405" s="70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0"/>
      <c r="G406" s="70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0"/>
      <c r="G407" s="70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0"/>
      <c r="G408" s="70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0"/>
      <c r="G409" s="70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0"/>
      <c r="G410" s="70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0"/>
      <c r="G411" s="70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0"/>
      <c r="G412" s="70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0"/>
      <c r="G413" s="70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0"/>
      <c r="G414" s="70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0"/>
      <c r="G415" s="70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0"/>
      <c r="G416" s="70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0"/>
      <c r="G417" s="70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0"/>
      <c r="G418" s="70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0"/>
      <c r="G419" s="70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0"/>
      <c r="G420" s="70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0"/>
      <c r="G421" s="70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0"/>
      <c r="G422" s="70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0"/>
      <c r="G423" s="70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0"/>
      <c r="G424" s="70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0"/>
      <c r="G425" s="70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0"/>
      <c r="G426" s="70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0"/>
      <c r="G427" s="70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0"/>
      <c r="G428" s="70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0"/>
      <c r="G429" s="70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0"/>
      <c r="G430" s="70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0"/>
      <c r="G431" s="70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0"/>
      <c r="G432" s="70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0"/>
      <c r="G433" s="70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0"/>
      <c r="G434" s="70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0"/>
      <c r="G435" s="70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0"/>
      <c r="G436" s="70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0"/>
      <c r="G437" s="70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0"/>
      <c r="G438" s="70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0"/>
      <c r="G439" s="70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0"/>
      <c r="G440" s="70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0"/>
      <c r="G441" s="70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Hippolyte.Reignier</cp:lastModifiedBy>
  <dcterms:created xsi:type="dcterms:W3CDTF">2021-02-01T08:22:39Z</dcterms:created>
  <dcterms:modified xsi:type="dcterms:W3CDTF">2023-12-14T14:48:33Z</dcterms:modified>
</cp:coreProperties>
</file>