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2-NOTIFIE/304-B-OLIVIERI-NOR(76)-QUATRE RIVIERES-DeLaVeine-RouvrayCatillon-Phase 1-12ha/"/>
    </mc:Choice>
  </mc:AlternateContent>
  <xr:revisionPtr revIDLastSave="0" documentId="13_ncr:1_{35862EE4-E8B4-3C4E-8020-0E2FE1525FDE}" xr6:coauthVersionLast="47" xr6:coauthVersionMax="47" xr10:uidLastSave="{00000000-0000-0000-0000-000000000000}"/>
  <bookViews>
    <workbookView xWindow="-440" yWindow="-20460" windowWidth="30240" windowHeight="1888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3" i="6" l="1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3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71" i="6"/>
  <c r="C287" i="6"/>
  <c r="C288" i="6"/>
  <c r="C289" i="6"/>
  <c r="C290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A7" i="2"/>
  <c r="HI7" i="2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A10" i="2"/>
  <c r="HG10" i="2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V18" i="2"/>
  <c r="HG18" i="2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EV20" i="2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W22" i="2"/>
  <c r="EA22" i="2"/>
  <c r="HG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A33" i="2"/>
  <c r="EB33" i="2"/>
  <c r="EV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EW38" i="2"/>
  <c r="EA38" i="2"/>
  <c r="HG38" i="2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G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X45" i="2"/>
  <c r="EB45" i="2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H57" i="2"/>
  <c r="HI57" i="2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I60" i="2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B78" i="2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C85" i="2"/>
  <c r="HG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C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X87" i="2"/>
  <c r="EA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A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FS113" i="2"/>
  <c r="EW113" i="2"/>
  <c r="EC113" i="2"/>
  <c r="HI113" i="2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H120" i="2"/>
  <c r="FR120" i="2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HI121" i="2"/>
  <c r="FR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FS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EB130" i="2"/>
  <c r="HH130" i="2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I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C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EA146" i="2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FS150" i="2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B154" i="2"/>
  <c r="HH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G155" i="2" l="1"/>
  <c r="HJ154" i="2"/>
  <c r="DI154" i="2"/>
  <c r="ED154" i="2"/>
  <c r="EX155" i="2"/>
  <c r="EY154" i="2"/>
  <c r="AC154" i="2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HI156" i="2"/>
  <c r="EY155" i="2"/>
  <c r="DH156" i="2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HG157" i="2"/>
  <c r="EB157" i="2"/>
  <c r="CN156" i="2"/>
  <c r="EA157" i="2"/>
  <c r="EX157" i="2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ED157" i="2"/>
  <c r="EC158" i="2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HI159" i="2"/>
  <c r="EC159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I160" i="2" l="1"/>
  <c r="HH160" i="2"/>
  <c r="EY159" i="2"/>
  <c r="ED159" i="2"/>
  <c r="HG160" i="2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HG161" i="2"/>
  <c r="ED160" i="2"/>
  <c r="EB161" i="2"/>
  <c r="EA161" i="2"/>
  <c r="AB161" i="2"/>
  <c r="HH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H162" i="2" l="1"/>
  <c r="HG162" i="2"/>
  <c r="DI161" i="2"/>
  <c r="EB162" i="2"/>
  <c r="ED161" i="2"/>
  <c r="EY161" i="2"/>
  <c r="EC162" i="2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HG163" i="2"/>
  <c r="EY162" i="2"/>
  <c r="ED162" i="2"/>
  <c r="HI163" i="2"/>
  <c r="EB163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HH164" i="2" l="1"/>
  <c r="DI163" i="2"/>
  <c r="HG164" i="2"/>
  <c r="FS164" i="2"/>
  <c r="EY163" i="2"/>
  <c r="EA164" i="2"/>
  <c r="ED163" i="2"/>
  <c r="EV164" i="2"/>
  <c r="DH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X165" i="2"/>
  <c r="EA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ED165" i="2"/>
  <c r="EC166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Y166" i="2"/>
  <c r="HI167" i="2"/>
  <c r="EX167" i="2"/>
  <c r="DG167" i="2"/>
  <c r="EA167" i="2"/>
  <c r="EB167" i="2"/>
  <c r="FR167" i="2"/>
  <c r="EC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EC168" i="2"/>
  <c r="HH168" i="2"/>
  <c r="EV168" i="2"/>
  <c r="EB168" i="2"/>
  <c r="EW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EA169" i="2"/>
  <c r="EB169" i="2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ED171" i="2"/>
  <c r="EB172" i="2"/>
  <c r="HI172" i="2"/>
  <c r="EA172" i="2"/>
  <c r="EW172" i="2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D172" i="2"/>
  <c r="HJ172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G174" i="2" l="1"/>
  <c r="EC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FS175" i="2"/>
  <c r="EB175" i="2"/>
  <c r="ED174" i="2"/>
  <c r="EW175" i="2"/>
  <c r="HI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Y175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S177" i="2"/>
  <c r="EW177" i="2"/>
  <c r="EC177" i="2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FS178" i="2"/>
  <c r="EA178" i="2"/>
  <c r="HG178" i="2"/>
  <c r="ED177" i="2"/>
  <c r="EB178" i="2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HG179" i="2"/>
  <c r="HI179" i="2"/>
  <c r="EV179" i="2"/>
  <c r="EA179" i="2"/>
  <c r="ED178" i="2"/>
  <c r="DF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G180" i="2" l="1"/>
  <c r="EY179" i="2"/>
  <c r="EX180" i="2"/>
  <c r="ED179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FS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A183" i="2" l="1"/>
  <c r="ED182" i="2"/>
  <c r="FS183" i="2"/>
  <c r="EY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HH185" i="2"/>
  <c r="ED184" i="2"/>
  <c r="EA185" i="2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R186" i="2"/>
  <c r="EA186" i="2"/>
  <c r="EW186" i="2"/>
  <c r="HH186" i="2"/>
  <c r="HG186" i="2"/>
  <c r="ED185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EB187" i="2"/>
  <c r="HH187" i="2"/>
  <c r="EY186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H188" i="2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AA189" i="2"/>
  <c r="HH189" i="2"/>
  <c r="EB189" i="2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HH190" i="2"/>
  <c r="ED189" i="2"/>
  <c r="HG190" i="2"/>
  <c r="EY189" i="2"/>
  <c r="EV190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EW191" i="2"/>
  <c r="ED190" i="2"/>
  <c r="HI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V192" i="2"/>
  <c r="HH192" i="2"/>
  <c r="EW192" i="2"/>
  <c r="HG192" i="2"/>
  <c r="HI192" i="2"/>
  <c r="EC192" i="2"/>
  <c r="EB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HI193" i="2" l="1"/>
  <c r="EY192" i="2"/>
  <c r="FQ193" i="2"/>
  <c r="ED192" i="2"/>
  <c r="EX193" i="2"/>
  <c r="DI192" i="2"/>
  <c r="EB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CN193" i="2"/>
  <c r="EB194" i="2"/>
  <c r="ED193" i="2"/>
  <c r="EA194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FQ195" i="2"/>
  <c r="EA195" i="2"/>
  <c r="ED194" i="2"/>
  <c r="EB195" i="2"/>
  <c r="DH195" i="2"/>
  <c r="EY194" i="2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W196" i="2"/>
  <c r="EY195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EC197" i="2"/>
  <c r="EW197" i="2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FS199" i="2" l="1"/>
  <c r="EV199" i="2"/>
  <c r="EY198" i="2"/>
  <c r="EW199" i="2"/>
  <c r="HG199" i="2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HJ199" i="2" l="1"/>
  <c r="EW200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HJ200" i="2" l="1"/>
  <c r="HH201" i="2"/>
  <c r="ED200" i="2"/>
  <c r="FS201" i="2"/>
  <c r="EB201" i="2"/>
  <c r="DI200" i="2"/>
  <c r="HG201" i="2"/>
  <c r="EA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H202" i="2" l="1"/>
  <c r="FS202" i="2"/>
  <c r="HG202" i="2"/>
  <c r="EW202" i="2"/>
  <c r="ED201" i="2"/>
  <c r="EY201" i="2"/>
  <c r="HI202" i="2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GT115" i="2" a="1"/>
  <c r="GT115" i="2" s="1"/>
  <c r="GT68" i="2" a="1"/>
  <c r="GT68" i="2" s="1"/>
  <c r="GT51" i="2" a="1"/>
  <c r="GT51" i="2" s="1"/>
  <c r="GT133" i="2" a="1"/>
  <c r="GT133" i="2" s="1"/>
  <c r="GT33" i="2" a="1"/>
  <c r="GT33" i="2" s="1"/>
  <c r="GT102" i="2" a="1"/>
  <c r="GT102" i="2" s="1"/>
  <c r="GT11" i="2" a="1"/>
  <c r="GT11" i="2" s="1"/>
  <c r="GT21" i="2" a="1"/>
  <c r="GT21" i="2" s="1"/>
  <c r="GT126" i="2" a="1"/>
  <c r="GT126" i="2" s="1"/>
  <c r="GT190" i="2" a="1"/>
  <c r="GT190" i="2" s="1"/>
  <c r="GT174" i="2" a="1"/>
  <c r="GT174" i="2" s="1"/>
  <c r="GT15" i="2" a="1"/>
  <c r="GT15" i="2" s="1"/>
  <c r="DN6" i="2" a="1"/>
  <c r="DN6" i="2" s="1"/>
  <c r="DO6" i="2" s="1"/>
  <c r="AX200" i="2"/>
  <c r="GT74" i="2" l="1" a="1"/>
  <c r="GT74" i="2" s="1"/>
  <c r="GT198" i="2" a="1"/>
  <c r="GT198" i="2" s="1"/>
  <c r="HJ202" i="2"/>
  <c r="FY116" i="2" a="1"/>
  <c r="FY116" i="2" s="1"/>
  <c r="GT138" i="2" a="1"/>
  <c r="GT138" i="2" s="1"/>
  <c r="GT191" i="2" a="1"/>
  <c r="GT191" i="2" s="1"/>
  <c r="GT178" i="2" a="1"/>
  <c r="GT178" i="2" s="1"/>
  <c r="GT12" i="2" a="1"/>
  <c r="GT12" i="2" s="1"/>
  <c r="GT147" i="2" a="1"/>
  <c r="GT147" i="2" s="1"/>
  <c r="GT121" i="2" a="1"/>
  <c r="GT121" i="2" s="1"/>
  <c r="GT181" i="2" a="1"/>
  <c r="GT181" i="2" s="1"/>
  <c r="FY92" i="2" a="1"/>
  <c r="FY92" i="2" s="1"/>
  <c r="GT107" i="2" a="1"/>
  <c r="GT107" i="2" s="1"/>
  <c r="GT38" i="2" a="1"/>
  <c r="GT38" i="2" s="1"/>
  <c r="GT189" i="2" a="1"/>
  <c r="GT189" i="2" s="1"/>
  <c r="CS161" i="2" a="1"/>
  <c r="CS161" i="2" s="1"/>
  <c r="GT152" i="2" a="1"/>
  <c r="GT152" i="2" s="1"/>
  <c r="GT122" i="2" a="1"/>
  <c r="GT122" i="2" s="1"/>
  <c r="GT184" i="2" a="1"/>
  <c r="GT184" i="2" s="1"/>
  <c r="FY47" i="2" a="1"/>
  <c r="FY47" i="2" s="1"/>
  <c r="BP203" i="2"/>
  <c r="DN16" i="2" a="1"/>
  <c r="DN16" i="2" s="1"/>
  <c r="AH163" i="2" a="1"/>
  <c r="AH163" i="2" s="1"/>
  <c r="BC185" i="2" a="1"/>
  <c r="BC185" i="2" s="1"/>
  <c r="BC117" i="2" a="1"/>
  <c r="BC117" i="2" s="1"/>
  <c r="CS129" i="2" a="1"/>
  <c r="CS129" i="2" s="1"/>
  <c r="DN132" i="2" a="1"/>
  <c r="DN132" i="2" s="1"/>
  <c r="DN177" i="2" a="1"/>
  <c r="DN177" i="2" s="1"/>
  <c r="FD189" i="2" a="1"/>
  <c r="FD189" i="2" s="1"/>
  <c r="FY196" i="2" a="1"/>
  <c r="FY196" i="2" s="1"/>
  <c r="FY164" i="2" a="1"/>
  <c r="FY164" i="2" s="1"/>
  <c r="FY71" i="2" a="1"/>
  <c r="FY71" i="2" s="1"/>
  <c r="FY82" i="2" a="1"/>
  <c r="FY82" i="2" s="1"/>
  <c r="FY149" i="2" a="1"/>
  <c r="FY149" i="2" s="1"/>
  <c r="FY18" i="2" a="1"/>
  <c r="FY18" i="2" s="1"/>
  <c r="FY178" i="2" a="1"/>
  <c r="FY178" i="2" s="1"/>
  <c r="FY143" i="2" a="1"/>
  <c r="FY143" i="2" s="1"/>
  <c r="FY32" i="2" a="1"/>
  <c r="FY32" i="2" s="1"/>
  <c r="FY55" i="2" a="1"/>
  <c r="FY55" i="2" s="1"/>
  <c r="FY191" i="2" a="1"/>
  <c r="FY191" i="2" s="1"/>
  <c r="FY22" i="2" a="1"/>
  <c r="FY22" i="2" s="1"/>
  <c r="FD60" i="2" a="1"/>
  <c r="FD60" i="2" s="1"/>
  <c r="BC32" i="2" a="1"/>
  <c r="BC32" i="2" s="1"/>
  <c r="BC126" i="2" a="1"/>
  <c r="BC126" i="2" s="1"/>
  <c r="DN176" i="2" a="1"/>
  <c r="DN176" i="2" s="1"/>
  <c r="DN80" i="2" a="1"/>
  <c r="DN80" i="2" s="1"/>
  <c r="CS120" i="2" a="1"/>
  <c r="CS120" i="2" s="1"/>
  <c r="BC130" i="2" a="1"/>
  <c r="BC130" i="2" s="1"/>
  <c r="FY142" i="2" a="1"/>
  <c r="FY142" i="2" s="1"/>
  <c r="FY86" i="2" a="1"/>
  <c r="FY86" i="2" s="1"/>
  <c r="CS77" i="2" a="1"/>
  <c r="CS77" i="2" s="1"/>
  <c r="CS52" i="2" a="1"/>
  <c r="CS52" i="2" s="1"/>
  <c r="BC58" i="2" a="1"/>
  <c r="BC58" i="2" s="1"/>
  <c r="FY169" i="2" a="1"/>
  <c r="FY169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DN135" i="2" a="1"/>
  <c r="DN135" i="2" s="1"/>
  <c r="CS72" i="2" a="1"/>
  <c r="CS72" i="2" s="1"/>
  <c r="DN70" i="2" a="1"/>
  <c r="DN70" i="2" s="1"/>
  <c r="CS185" i="2" a="1"/>
  <c r="CS185" i="2" s="1"/>
  <c r="BC38" i="2" a="1"/>
  <c r="BC38" i="2" s="1"/>
  <c r="FD187" i="2" a="1"/>
  <c r="FD187" i="2" s="1"/>
  <c r="FY80" i="2" a="1"/>
  <c r="FY80" i="2" s="1"/>
  <c r="FY58" i="2" a="1"/>
  <c r="FY58" i="2" s="1"/>
  <c r="AH151" i="2" a="1"/>
  <c r="AH151" i="2" s="1"/>
  <c r="FY172" i="2" a="1"/>
  <c r="FY172" i="2" s="1"/>
  <c r="FY62" i="2" a="1"/>
  <c r="FY62" i="2" s="1"/>
  <c r="FY78" i="2" a="1"/>
  <c r="FY78" i="2" s="1"/>
  <c r="FY186" i="2" a="1"/>
  <c r="FY186" i="2" s="1"/>
  <c r="FY69" i="2" a="1"/>
  <c r="FY69" i="2" s="1"/>
  <c r="FY35" i="2" a="1"/>
  <c r="FY35" i="2" s="1"/>
  <c r="FY50" i="2" a="1"/>
  <c r="FY50" i="2" s="1"/>
  <c r="FD160" i="2" a="1"/>
  <c r="FD160" i="2" s="1"/>
  <c r="FD131" i="2" a="1"/>
  <c r="FD131" i="2" s="1"/>
  <c r="FD14" i="2" a="1"/>
  <c r="FD14" i="2" s="1"/>
  <c r="FD21" i="2" a="1"/>
  <c r="FD21" i="2" s="1"/>
  <c r="FD137" i="2" a="1"/>
  <c r="FD137" i="2" s="1"/>
  <c r="FD167" i="2" a="1"/>
  <c r="FD167" i="2" s="1"/>
  <c r="FD188" i="2" a="1"/>
  <c r="FD188" i="2" s="1"/>
  <c r="DN30" i="2" a="1"/>
  <c r="DN30" i="2" s="1"/>
  <c r="DN55" i="2" a="1"/>
  <c r="DN55" i="2" s="1"/>
  <c r="DN38" i="2" a="1"/>
  <c r="DN38" i="2" s="1"/>
  <c r="BC83" i="2" a="1"/>
  <c r="BC83" i="2" s="1"/>
  <c r="BC164" i="2" a="1"/>
  <c r="BC164" i="2" s="1"/>
  <c r="BC181" i="2" a="1"/>
  <c r="BC181" i="2" s="1"/>
  <c r="BC34" i="2" a="1"/>
  <c r="BC34" i="2" s="1"/>
  <c r="DN187" i="2" a="1"/>
  <c r="DN187" i="2" s="1"/>
  <c r="CS134" i="2" a="1"/>
  <c r="CS134" i="2" s="1"/>
  <c r="DN46" i="2" a="1"/>
  <c r="DN46" i="2" s="1"/>
  <c r="DN133" i="2" a="1"/>
  <c r="DN133" i="2" s="1"/>
  <c r="DN31" i="2" a="1"/>
  <c r="DN31" i="2" s="1"/>
  <c r="DN49" i="2" a="1"/>
  <c r="DN49" i="2" s="1"/>
  <c r="CS114" i="2" a="1"/>
  <c r="CS114" i="2" s="1"/>
  <c r="DN168" i="2" a="1"/>
  <c r="DN168" i="2" s="1"/>
  <c r="DN63" i="2" a="1"/>
  <c r="DN63" i="2" s="1"/>
  <c r="BC151" i="2" a="1"/>
  <c r="BC151" i="2" s="1"/>
  <c r="BC31" i="2" a="1"/>
  <c r="BC31" i="2" s="1"/>
  <c r="BC192" i="2" a="1"/>
  <c r="BC192" i="2" s="1"/>
  <c r="FD194" i="2" a="1"/>
  <c r="FD194" i="2" s="1"/>
  <c r="FD159" i="2" a="1"/>
  <c r="FD159" i="2" s="1"/>
  <c r="FD43" i="2" a="1"/>
  <c r="FD43" i="2" s="1"/>
  <c r="FD48" i="2" a="1"/>
  <c r="FD48" i="2" s="1"/>
  <c r="FY121" i="2" a="1"/>
  <c r="FY121" i="2" s="1"/>
  <c r="FY30" i="2" a="1"/>
  <c r="FY30" i="2" s="1"/>
  <c r="FY182" i="2" a="1"/>
  <c r="FY182" i="2" s="1"/>
  <c r="CS38" i="2" a="1"/>
  <c r="CS38" i="2" s="1"/>
  <c r="AH62" i="2" a="1"/>
  <c r="AH62" i="2" s="1"/>
  <c r="CS137" i="2" a="1"/>
  <c r="CS137" i="2" s="1"/>
  <c r="DN29" i="2" a="1"/>
  <c r="DN29" i="2" s="1"/>
  <c r="CS66" i="2" a="1"/>
  <c r="CS66" i="2" s="1"/>
  <c r="BC65" i="2" a="1"/>
  <c r="BC65" i="2" s="1"/>
  <c r="BC47" i="2" a="1"/>
  <c r="BC47" i="2" s="1"/>
  <c r="FD59" i="2" a="1"/>
  <c r="FD59" i="2" s="1"/>
  <c r="FY104" i="2" a="1"/>
  <c r="FY104" i="2" s="1"/>
  <c r="FY24" i="2" a="1"/>
  <c r="FY24" i="2" s="1"/>
  <c r="FY190" i="2" a="1"/>
  <c r="FY190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DN45" i="2" a="1"/>
  <c r="DN45" i="2" s="1"/>
  <c r="DN190" i="2" a="1"/>
  <c r="DN190" i="2" s="1"/>
  <c r="DN162" i="2" a="1"/>
  <c r="DN162" i="2" s="1"/>
  <c r="BC143" i="2" a="1"/>
  <c r="BC143" i="2" s="1"/>
  <c r="DN115" i="2" a="1"/>
  <c r="DN115" i="2" s="1"/>
  <c r="BC82" i="2" a="1"/>
  <c r="BC82" i="2" s="1"/>
  <c r="FD82" i="2" a="1"/>
  <c r="FD82" i="2" s="1"/>
  <c r="CS24" i="2" a="1"/>
  <c r="CS24" i="2" s="1"/>
  <c r="DN65" i="2" a="1"/>
  <c r="DN65" i="2" s="1"/>
  <c r="DN167" i="2" a="1"/>
  <c r="DN167" i="2" s="1"/>
  <c r="DN164" i="2" a="1"/>
  <c r="DN164" i="2" s="1"/>
  <c r="CS56" i="2" a="1"/>
  <c r="CS56" i="2" s="1"/>
  <c r="BC18" i="2" a="1"/>
  <c r="BC18" i="2" s="1"/>
  <c r="BC7" i="2" a="1"/>
  <c r="BC7" i="2" s="1"/>
  <c r="BD7" i="2" s="1"/>
  <c r="BC84" i="2" a="1"/>
  <c r="BC84" i="2" s="1"/>
  <c r="BC55" i="2" a="1"/>
  <c r="BC55" i="2" s="1"/>
  <c r="FD19" i="2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66" i="2" a="1"/>
  <c r="AH166" i="2" s="1"/>
  <c r="CS116" i="2" a="1"/>
  <c r="CS116" i="2" s="1"/>
  <c r="DN41" i="2" a="1"/>
  <c r="DN41" i="2" s="1"/>
  <c r="BC114" i="2" a="1"/>
  <c r="BC114" i="2" s="1"/>
  <c r="BC68" i="2" a="1"/>
  <c r="BC68" i="2" s="1"/>
  <c r="FD144" i="2" a="1"/>
  <c r="FD144" i="2" s="1"/>
  <c r="FY34" i="2" a="1"/>
  <c r="FY34" i="2" s="1"/>
  <c r="FY124" i="2" a="1"/>
  <c r="FY124" i="2" s="1"/>
  <c r="FY72" i="2" a="1"/>
  <c r="FY7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EI57" i="2" a="1"/>
  <c r="EI57" i="2" s="1"/>
  <c r="EI37" i="2" a="1"/>
  <c r="EI37" i="2" s="1"/>
  <c r="EI170" i="2" a="1"/>
  <c r="EI170" i="2" s="1"/>
  <c r="EI145" i="2" a="1"/>
  <c r="EI145" i="2" s="1"/>
  <c r="EI38" i="2" a="1"/>
  <c r="EI38" i="2" s="1"/>
  <c r="EI20" i="2" a="1"/>
  <c r="EI20" i="2" s="1"/>
  <c r="EI106" i="2" a="1"/>
  <c r="EI106" i="2" s="1"/>
  <c r="EI16" i="2" a="1"/>
  <c r="EI16" i="2" s="1"/>
  <c r="EI36" i="2" a="1"/>
  <c r="EI36" i="2" s="1"/>
  <c r="EI162" i="2" a="1"/>
  <c r="EI162" i="2" s="1"/>
  <c r="EI139" i="2" a="1"/>
  <c r="EI139" i="2" s="1"/>
  <c r="EI113" i="2" a="1"/>
  <c r="EI113" i="2" s="1"/>
  <c r="EI165" i="2" a="1"/>
  <c r="EI165" i="2" s="1"/>
  <c r="EI87" i="2" a="1"/>
  <c r="EI87" i="2" s="1"/>
  <c r="EI142" i="2" a="1"/>
  <c r="EI142" i="2" s="1"/>
  <c r="EI150" i="2" a="1"/>
  <c r="EI150" i="2" s="1"/>
  <c r="EI166" i="2" a="1"/>
  <c r="EI166" i="2" s="1"/>
  <c r="EI35" i="2" a="1"/>
  <c r="EI35" i="2" s="1"/>
  <c r="EI34" i="2" a="1"/>
  <c r="EI34" i="2" s="1"/>
  <c r="EI195" i="2" a="1"/>
  <c r="EI195" i="2" s="1"/>
  <c r="EI153" i="2" a="1"/>
  <c r="EI153" i="2" s="1"/>
  <c r="EI67" i="2" a="1"/>
  <c r="EI67" i="2" s="1"/>
  <c r="EI128" i="2" a="1"/>
  <c r="EI128" i="2" s="1"/>
  <c r="EI71" i="2" a="1"/>
  <c r="EI71" i="2" s="1"/>
  <c r="EI109" i="2" a="1"/>
  <c r="EI109" i="2" s="1"/>
  <c r="EI178" i="2" a="1"/>
  <c r="EI178" i="2" s="1"/>
  <c r="EI29" i="2" a="1"/>
  <c r="EI29" i="2" s="1"/>
  <c r="EI198" i="2" a="1"/>
  <c r="EI198" i="2" s="1"/>
  <c r="EY202" i="2"/>
  <c r="BX107" i="2" a="1"/>
  <c r="BX107" i="2" s="1"/>
  <c r="DN103" i="2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T203" i="2"/>
  <c r="CN203" i="2"/>
  <c r="EY203" i="2"/>
  <c r="ED203" i="2"/>
  <c r="DI203" i="2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GZ108" i="2" l="1"/>
  <c r="GZ52" i="2"/>
  <c r="GZ136" i="2"/>
  <c r="GZ37" i="2"/>
  <c r="GZ197" i="2"/>
  <c r="GZ167" i="2"/>
  <c r="GZ123" i="2"/>
  <c r="GZ84" i="2"/>
  <c r="GZ25" i="2"/>
  <c r="GZ200" i="2"/>
  <c r="GZ196" i="2"/>
  <c r="GZ31" i="2"/>
  <c r="GZ35" i="2"/>
  <c r="GZ44" i="2"/>
  <c r="GZ183" i="2"/>
  <c r="GZ150" i="2"/>
  <c r="GZ19" i="2"/>
  <c r="GZ41" i="2"/>
  <c r="GZ117" i="2"/>
  <c r="GZ184" i="2"/>
  <c r="GZ4" i="2"/>
  <c r="GZ149" i="2"/>
  <c r="GZ157" i="2"/>
  <c r="GZ71" i="2"/>
  <c r="GZ59" i="2"/>
  <c r="GZ121" i="2"/>
  <c r="GZ156" i="2"/>
  <c r="GZ104" i="2"/>
  <c r="GZ70" i="2"/>
  <c r="GZ169" i="2"/>
  <c r="GZ194" i="2"/>
  <c r="GZ50" i="2"/>
  <c r="GZ182" i="2"/>
  <c r="GZ33" i="2"/>
  <c r="GZ29" i="2"/>
  <c r="GZ118" i="2"/>
  <c r="GZ92" i="2"/>
  <c r="GZ133" i="2"/>
  <c r="GZ17" i="2"/>
  <c r="GZ72" i="2"/>
  <c r="GZ5" i="2"/>
  <c r="GZ166" i="2"/>
  <c r="GZ120" i="2"/>
  <c r="GZ168" i="2"/>
  <c r="GZ85" i="2"/>
  <c r="GZ34" i="2"/>
  <c r="GZ54" i="2"/>
  <c r="GZ78" i="2"/>
  <c r="GZ191" i="2"/>
  <c r="GZ81" i="2"/>
  <c r="GZ142" i="2"/>
  <c r="GZ187" i="2"/>
  <c r="GZ130" i="2"/>
  <c r="GZ48" i="2"/>
  <c r="GZ161" i="2"/>
  <c r="GZ11" i="2"/>
  <c r="GZ24" i="2"/>
  <c r="GZ129" i="2"/>
  <c r="GZ97" i="2"/>
  <c r="GZ13" i="2"/>
  <c r="GZ147" i="2"/>
  <c r="GZ160" i="2"/>
  <c r="GZ164" i="2"/>
  <c r="GZ82" i="2"/>
  <c r="GZ96" i="2"/>
  <c r="GZ193" i="2"/>
  <c r="GZ155" i="2"/>
  <c r="GZ203" i="2"/>
  <c r="GZ64" i="2"/>
  <c r="GZ153" i="2"/>
  <c r="GZ12" i="2"/>
  <c r="GZ116" i="2"/>
  <c r="GZ47" i="2"/>
  <c r="GZ107" i="2"/>
  <c r="GZ128" i="2"/>
  <c r="GZ93" i="2"/>
  <c r="GZ113" i="2"/>
  <c r="GZ131" i="2"/>
  <c r="GZ74" i="2"/>
  <c r="GZ6" i="2"/>
  <c r="GZ127" i="2"/>
  <c r="GZ146" i="2"/>
  <c r="GZ186" i="2"/>
  <c r="GZ199" i="2"/>
  <c r="GZ189" i="2"/>
  <c r="GZ158" i="2"/>
  <c r="GZ171" i="2"/>
  <c r="GZ134" i="2"/>
  <c r="GZ10" i="2"/>
  <c r="GZ79" i="2"/>
  <c r="GZ190" i="2"/>
  <c r="GZ141" i="2"/>
  <c r="GZ55" i="2"/>
  <c r="GZ88" i="2"/>
  <c r="GZ95" i="2"/>
  <c r="GZ195" i="2"/>
  <c r="GZ181" i="2"/>
  <c r="GZ30" i="2"/>
  <c r="GZ172" i="2"/>
  <c r="GZ66" i="2"/>
  <c r="GZ99" i="2"/>
  <c r="GZ109" i="2"/>
  <c r="GZ143" i="2"/>
  <c r="GZ124" i="2"/>
  <c r="GZ178" i="2"/>
  <c r="GZ102" i="2"/>
  <c r="GZ62" i="2"/>
  <c r="GZ165" i="2"/>
  <c r="GZ175" i="2"/>
  <c r="GZ154" i="2"/>
  <c r="GZ75" i="2"/>
  <c r="GZ176" i="2"/>
  <c r="GZ91" i="2"/>
  <c r="GZ63" i="2"/>
  <c r="GZ60" i="2"/>
  <c r="GZ56" i="2"/>
  <c r="GZ87" i="2"/>
  <c r="GZ106" i="2"/>
  <c r="GZ145" i="2"/>
  <c r="GZ188" i="2"/>
  <c r="GZ132" i="2"/>
  <c r="GZ9" i="2"/>
  <c r="GZ38" i="2"/>
  <c r="GZ122" i="2"/>
  <c r="GZ170" i="2"/>
  <c r="GZ174" i="2"/>
  <c r="GZ151" i="2"/>
  <c r="GZ110" i="2"/>
  <c r="GZ23" i="2"/>
  <c r="GZ100" i="2"/>
  <c r="GZ15" i="2"/>
  <c r="GZ144" i="2"/>
  <c r="GZ135" i="2"/>
  <c r="GZ45" i="2"/>
  <c r="GZ8" i="2"/>
  <c r="GZ16" i="2"/>
  <c r="GZ27" i="2"/>
  <c r="GZ125" i="2"/>
  <c r="GZ83" i="2"/>
  <c r="GZ103" i="2"/>
  <c r="GZ42" i="2"/>
  <c r="GZ137" i="2"/>
  <c r="GZ163" i="2"/>
  <c r="GZ57" i="2"/>
  <c r="GZ89" i="2"/>
  <c r="GZ58" i="2"/>
  <c r="GZ21" i="2"/>
  <c r="GZ69" i="2"/>
  <c r="GZ49" i="2"/>
  <c r="GZ162" i="2"/>
  <c r="GZ86" i="2"/>
  <c r="GZ198" i="2"/>
  <c r="GZ76" i="2"/>
  <c r="GZ115" i="2"/>
  <c r="GZ126" i="2"/>
  <c r="GZ43" i="2"/>
  <c r="GZ201" i="2"/>
  <c r="GZ39" i="2"/>
  <c r="GZ53" i="2"/>
  <c r="GZ152" i="2"/>
  <c r="GZ65" i="2"/>
  <c r="GZ18" i="2"/>
  <c r="GZ101" i="2"/>
  <c r="GZ51" i="2"/>
  <c r="GZ140" i="2"/>
  <c r="GZ105" i="2"/>
  <c r="GZ139" i="2"/>
  <c r="GZ32" i="2"/>
  <c r="GZ185" i="2"/>
  <c r="GZ36" i="2"/>
  <c r="GZ119" i="2"/>
  <c r="GZ80" i="2"/>
  <c r="GZ67" i="2"/>
  <c r="GZ26" i="2"/>
  <c r="GZ94" i="2"/>
  <c r="GZ28" i="2"/>
  <c r="GZ179" i="2"/>
  <c r="GZ202" i="2"/>
  <c r="GZ46" i="2"/>
  <c r="GZ180" i="2"/>
  <c r="GZ111" i="2"/>
  <c r="GZ20" i="2"/>
  <c r="GZ77" i="2"/>
  <c r="GZ7" i="2"/>
  <c r="GZ192" i="2"/>
  <c r="GZ138" i="2"/>
  <c r="GZ22" i="2"/>
  <c r="GZ159" i="2"/>
  <c r="GZ112" i="2"/>
  <c r="GZ177" i="2"/>
  <c r="GZ14" i="2"/>
  <c r="GZ68" i="2"/>
  <c r="GZ98" i="2"/>
  <c r="GZ148" i="2"/>
  <c r="GZ61" i="2"/>
  <c r="GZ114" i="2"/>
  <c r="GZ173" i="2"/>
  <c r="GZ90" i="2"/>
  <c r="GZ40" i="2"/>
  <c r="GZ73" i="2"/>
  <c r="GZ3" i="2"/>
  <c r="C15" i="4" s="1"/>
  <c r="E15" i="4" s="1"/>
  <c r="F15" i="4" s="1"/>
  <c r="G15" i="4" s="1"/>
  <c r="L15" i="4" s="1"/>
  <c r="GE188" i="2"/>
  <c r="GE24" i="2"/>
  <c r="GE129" i="2"/>
  <c r="GE78" i="2"/>
  <c r="GE35" i="2"/>
  <c r="GE186" i="2"/>
  <c r="GE66" i="2"/>
  <c r="GE14" i="2"/>
  <c r="GE72" i="2"/>
  <c r="GE137" i="2"/>
  <c r="GE56" i="2"/>
  <c r="GE12" i="2"/>
  <c r="GE77" i="2"/>
  <c r="GE85" i="2"/>
  <c r="GE51" i="2"/>
  <c r="GE70" i="2"/>
  <c r="GE40" i="2"/>
  <c r="GE16" i="2"/>
  <c r="GE144" i="2"/>
  <c r="GE75" i="2"/>
  <c r="GE165" i="2"/>
  <c r="GE141" i="2"/>
  <c r="GE28" i="2"/>
  <c r="GE121" i="2"/>
  <c r="GE42" i="2"/>
  <c r="GE178" i="2"/>
  <c r="GE9" i="2"/>
  <c r="GE64" i="2"/>
  <c r="GE29" i="2"/>
  <c r="GE46" i="2"/>
  <c r="GE11" i="2"/>
  <c r="GE39" i="2"/>
  <c r="GE143" i="2"/>
  <c r="GE6" i="2"/>
  <c r="GE60" i="2"/>
  <c r="GE138" i="2"/>
  <c r="GE179" i="2"/>
  <c r="GE20" i="2"/>
  <c r="GE114" i="2"/>
  <c r="GE38" i="2"/>
  <c r="GE196" i="2"/>
  <c r="GE154" i="2"/>
  <c r="GE45" i="2"/>
  <c r="GE59" i="2"/>
  <c r="GE68" i="2"/>
  <c r="GE195" i="2"/>
  <c r="GE182" i="2"/>
  <c r="GE146" i="2"/>
  <c r="GE33" i="2"/>
  <c r="GE194" i="2"/>
  <c r="GE169" i="2"/>
  <c r="GE190" i="2"/>
  <c r="GE82" i="2"/>
  <c r="GE126" i="2"/>
  <c r="GE115" i="2"/>
  <c r="GE105" i="2"/>
  <c r="GE55" i="2"/>
  <c r="GE109" i="2"/>
  <c r="GE49" i="2"/>
  <c r="GE57" i="2"/>
  <c r="GE125" i="2"/>
  <c r="GE99" i="2"/>
  <c r="GE104" i="2"/>
  <c r="GE202" i="2"/>
  <c r="GE74" i="2"/>
  <c r="GE87" i="2"/>
  <c r="GE116" i="2"/>
  <c r="GE148" i="2"/>
  <c r="GE156" i="2"/>
  <c r="GE113" i="2"/>
  <c r="GE181" i="2"/>
  <c r="GE93" i="2"/>
  <c r="GE76" i="2"/>
  <c r="GE88" i="2"/>
  <c r="GE62" i="2"/>
  <c r="GE139" i="2"/>
  <c r="GE151" i="2"/>
  <c r="GE26" i="2"/>
  <c r="GE131" i="2"/>
  <c r="GE31" i="2"/>
  <c r="GE98" i="2"/>
  <c r="GE71" i="2"/>
  <c r="GE183" i="2"/>
  <c r="GE73" i="2"/>
  <c r="GE79" i="2"/>
  <c r="GE119" i="2"/>
  <c r="GE44" i="2"/>
  <c r="GE153" i="2"/>
  <c r="GE123" i="2"/>
  <c r="GE192" i="2"/>
  <c r="GE149" i="2"/>
  <c r="GE48" i="2"/>
  <c r="GE91" i="2"/>
  <c r="GE120" i="2"/>
  <c r="GE36" i="2"/>
  <c r="GE171" i="2"/>
  <c r="GE47" i="2"/>
  <c r="GE10" i="2"/>
  <c r="GE43" i="2"/>
  <c r="GE84" i="2"/>
  <c r="GE184" i="2"/>
  <c r="GE18" i="2"/>
  <c r="GE191" i="2"/>
  <c r="GE158" i="2"/>
  <c r="GE92" i="2"/>
  <c r="GE58" i="2"/>
  <c r="GE80" i="2"/>
  <c r="GE7" i="2"/>
  <c r="GE124" i="2"/>
  <c r="GE54" i="2"/>
  <c r="GE155" i="2"/>
  <c r="GE193" i="2"/>
  <c r="GE19" i="2"/>
  <c r="GE112" i="2"/>
  <c r="GE108" i="2"/>
  <c r="GE177" i="2"/>
  <c r="GE81" i="2"/>
  <c r="GE118" i="2"/>
  <c r="GE4" i="2"/>
  <c r="GE100" i="2"/>
  <c r="GE162" i="2"/>
  <c r="GE110" i="2"/>
  <c r="GE83" i="2"/>
  <c r="GE67" i="2"/>
  <c r="GE101" i="2"/>
  <c r="GE142" i="2"/>
  <c r="GE65" i="2"/>
  <c r="GE89" i="2"/>
  <c r="GE130" i="2"/>
  <c r="GE17" i="2"/>
  <c r="GE94" i="2"/>
  <c r="GE61" i="2"/>
  <c r="GE136" i="2"/>
  <c r="GE122" i="2"/>
  <c r="GE5" i="2"/>
  <c r="GE172" i="2"/>
  <c r="GE3" i="2"/>
  <c r="C14" i="4" s="1"/>
  <c r="E14" i="4" s="1"/>
  <c r="F14" i="4" s="1"/>
  <c r="G14" i="4" s="1"/>
  <c r="L14" i="4" s="1"/>
  <c r="GE50" i="2"/>
  <c r="GE187" i="2"/>
  <c r="GE145" i="2"/>
  <c r="GE32" i="2"/>
  <c r="GE189" i="2"/>
  <c r="GE163" i="2"/>
  <c r="GE166" i="2"/>
  <c r="GE161" i="2"/>
  <c r="GE180" i="2"/>
  <c r="GE41" i="2"/>
  <c r="GE167" i="2"/>
  <c r="GE37" i="2"/>
  <c r="GE185" i="2"/>
  <c r="GE97" i="2"/>
  <c r="GE90" i="2"/>
  <c r="GE203" i="2"/>
  <c r="GE53" i="2"/>
  <c r="GE52" i="2"/>
  <c r="GE102" i="2"/>
  <c r="GE111" i="2"/>
  <c r="GE63" i="2"/>
  <c r="GE140" i="2"/>
  <c r="GE173" i="2"/>
  <c r="GE96" i="2"/>
  <c r="GE176" i="2"/>
  <c r="GE127" i="2"/>
  <c r="GE132" i="2"/>
  <c r="GE152" i="2"/>
  <c r="GE22" i="2"/>
  <c r="GE175" i="2"/>
  <c r="GE168" i="2"/>
  <c r="GE25" i="2"/>
  <c r="GE128" i="2"/>
  <c r="GE157" i="2"/>
  <c r="GE199" i="2"/>
  <c r="GE135" i="2"/>
  <c r="GE117" i="2"/>
  <c r="GE13" i="2"/>
  <c r="GE107" i="2"/>
  <c r="GE174" i="2"/>
  <c r="GE30" i="2"/>
  <c r="GE150" i="2"/>
  <c r="GE198" i="2"/>
  <c r="GE170" i="2"/>
  <c r="GE133" i="2"/>
  <c r="GE103" i="2"/>
  <c r="GE23" i="2"/>
  <c r="GE106" i="2"/>
  <c r="GE34" i="2"/>
  <c r="GE197" i="2"/>
  <c r="GE200" i="2"/>
  <c r="GE15" i="2"/>
  <c r="GE21" i="2"/>
  <c r="GE134" i="2"/>
  <c r="GE27" i="2"/>
  <c r="GE201" i="2"/>
  <c r="GE86" i="2"/>
  <c r="GE69" i="2"/>
  <c r="GE160" i="2"/>
  <c r="GE164" i="2"/>
  <c r="GE147" i="2"/>
  <c r="GE95" i="2"/>
  <c r="GE159" i="2"/>
  <c r="GE8" i="2"/>
  <c r="FJ156" i="2"/>
  <c r="FJ56" i="2"/>
  <c r="FJ196" i="2"/>
  <c r="FJ65" i="2"/>
  <c r="FJ127" i="2"/>
  <c r="FJ167" i="2"/>
  <c r="FJ128" i="2"/>
  <c r="FJ68" i="2"/>
  <c r="FJ42" i="2"/>
  <c r="FJ53" i="2"/>
  <c r="FJ164" i="2"/>
  <c r="FJ182" i="2"/>
  <c r="FJ142" i="2"/>
  <c r="FJ21" i="2"/>
  <c r="FJ129" i="2"/>
  <c r="FJ124" i="2"/>
  <c r="FJ158" i="2"/>
  <c r="FJ170" i="2"/>
  <c r="FJ109" i="2"/>
  <c r="FJ197" i="2"/>
  <c r="FJ37" i="2"/>
  <c r="FJ133" i="2"/>
  <c r="FJ27" i="2"/>
  <c r="FJ46" i="2"/>
  <c r="FJ23" i="2"/>
  <c r="FJ57" i="2"/>
  <c r="FJ67" i="2"/>
  <c r="FJ169" i="2"/>
  <c r="FJ102" i="2"/>
  <c r="FJ30" i="2"/>
  <c r="FJ179" i="2"/>
  <c r="FJ14" i="2"/>
  <c r="FJ49" i="2"/>
  <c r="FJ175" i="2"/>
  <c r="FJ103" i="2"/>
  <c r="FJ93" i="2"/>
  <c r="FJ174" i="2"/>
  <c r="FJ115" i="2"/>
  <c r="FJ193" i="2"/>
  <c r="FJ125" i="2"/>
  <c r="FJ171" i="2"/>
  <c r="FJ51" i="2"/>
  <c r="FJ29" i="2"/>
  <c r="FJ137" i="2"/>
  <c r="FJ96" i="2"/>
  <c r="FJ177" i="2"/>
  <c r="FJ5" i="2"/>
  <c r="FJ157" i="2"/>
  <c r="FJ45" i="2"/>
  <c r="FJ16" i="2"/>
  <c r="FJ75" i="2"/>
  <c r="FJ48" i="2"/>
  <c r="FJ185" i="2"/>
  <c r="FJ181" i="2"/>
  <c r="FJ20" i="2"/>
  <c r="FJ105" i="2"/>
  <c r="FJ92" i="2"/>
  <c r="FJ199" i="2"/>
  <c r="FJ94" i="2"/>
  <c r="FJ13" i="2"/>
  <c r="FJ40" i="2"/>
  <c r="FJ202" i="2"/>
  <c r="FJ70" i="2"/>
  <c r="FJ148" i="2"/>
  <c r="FJ112" i="2"/>
  <c r="FJ77" i="2"/>
  <c r="FJ108" i="2"/>
  <c r="FJ145" i="2"/>
  <c r="FJ155" i="2"/>
  <c r="FJ43" i="2"/>
  <c r="FJ116" i="2"/>
  <c r="FJ163" i="2"/>
  <c r="FJ144" i="2"/>
  <c r="FJ166" i="2"/>
  <c r="FJ55" i="2"/>
  <c r="FJ131" i="2"/>
  <c r="FJ176" i="2"/>
  <c r="FJ136" i="2"/>
  <c r="FJ180" i="2"/>
  <c r="FJ160" i="2"/>
  <c r="FJ86" i="2"/>
  <c r="FJ15" i="2"/>
  <c r="FJ97" i="2"/>
  <c r="FJ154" i="2"/>
  <c r="FJ141" i="2"/>
  <c r="FJ190" i="2"/>
  <c r="FJ110" i="2"/>
  <c r="FJ165" i="2"/>
  <c r="FJ66" i="2"/>
  <c r="FJ87" i="2"/>
  <c r="FJ41" i="2"/>
  <c r="FJ200" i="2"/>
  <c r="FJ81" i="2"/>
  <c r="FJ63" i="2"/>
  <c r="FJ17" i="2"/>
  <c r="FJ143" i="2"/>
  <c r="FJ151" i="2"/>
  <c r="FJ203" i="2"/>
  <c r="FJ104" i="2"/>
  <c r="FJ83" i="2"/>
  <c r="FJ117" i="2"/>
  <c r="FJ69" i="2"/>
  <c r="FJ150" i="2"/>
  <c r="FJ24" i="2"/>
  <c r="FJ44" i="2"/>
  <c r="FJ11" i="2"/>
  <c r="FJ31" i="2"/>
  <c r="FJ82" i="2"/>
  <c r="FJ126" i="2"/>
  <c r="FJ106" i="2"/>
  <c r="FJ61" i="2"/>
  <c r="FJ62" i="2"/>
  <c r="FJ36" i="2"/>
  <c r="FJ130" i="2"/>
  <c r="FJ172" i="2"/>
  <c r="FJ161" i="2"/>
  <c r="FJ178" i="2"/>
  <c r="FJ71" i="2"/>
  <c r="FJ186" i="2"/>
  <c r="FJ79" i="2"/>
  <c r="FJ113" i="2"/>
  <c r="FJ89" i="2"/>
  <c r="FJ98" i="2"/>
  <c r="FJ189" i="2"/>
  <c r="FJ10" i="2"/>
  <c r="FJ188" i="2"/>
  <c r="FJ50" i="2"/>
  <c r="FJ80" i="2"/>
  <c r="FJ35" i="2"/>
  <c r="FJ8" i="2"/>
  <c r="FJ107" i="2"/>
  <c r="FJ147" i="2"/>
  <c r="FJ159" i="2"/>
  <c r="FJ33" i="2"/>
  <c r="FJ90" i="2"/>
  <c r="FJ99" i="2"/>
  <c r="FJ6" i="2"/>
  <c r="FJ78" i="2"/>
  <c r="FJ101" i="2"/>
  <c r="FJ140" i="2"/>
  <c r="FJ9" i="2"/>
  <c r="FJ60" i="2"/>
  <c r="FJ135" i="2"/>
  <c r="FJ138" i="2"/>
  <c r="FJ3" i="2"/>
  <c r="C13" i="4" s="1"/>
  <c r="E13" i="4" s="1"/>
  <c r="F13" i="4" s="1"/>
  <c r="G13" i="4" s="1"/>
  <c r="L13" i="4" s="1"/>
  <c r="FJ19" i="2"/>
  <c r="FJ153" i="2"/>
  <c r="FJ195" i="2"/>
  <c r="FJ119" i="2"/>
  <c r="FJ121" i="2"/>
  <c r="FJ38" i="2"/>
  <c r="FJ120" i="2"/>
  <c r="FJ18" i="2"/>
  <c r="FJ54" i="2"/>
  <c r="FJ58" i="2"/>
  <c r="FJ72" i="2"/>
  <c r="FJ184" i="2"/>
  <c r="FJ162" i="2"/>
  <c r="FJ76" i="2"/>
  <c r="FJ149" i="2"/>
  <c r="FJ7" i="2"/>
  <c r="FJ198" i="2"/>
  <c r="FJ191" i="2"/>
  <c r="FJ168" i="2"/>
  <c r="FJ146" i="2"/>
  <c r="FJ139" i="2"/>
  <c r="FJ22" i="2"/>
  <c r="FJ134" i="2"/>
  <c r="FJ73" i="2"/>
  <c r="FJ64" i="2"/>
  <c r="FJ201" i="2"/>
  <c r="FJ34" i="2"/>
  <c r="FJ123" i="2"/>
  <c r="FJ52" i="2"/>
  <c r="FJ91" i="2"/>
  <c r="FJ111" i="2"/>
  <c r="FJ85" i="2"/>
  <c r="FJ26" i="2"/>
  <c r="FJ114" i="2"/>
  <c r="FJ25" i="2"/>
  <c r="FJ28" i="2"/>
  <c r="FJ152" i="2"/>
  <c r="FJ32" i="2"/>
  <c r="FJ84" i="2"/>
  <c r="FJ59" i="2"/>
  <c r="FJ194" i="2"/>
  <c r="FJ4" i="2"/>
  <c r="FJ95" i="2"/>
  <c r="FJ192" i="2"/>
  <c r="FJ88" i="2"/>
  <c r="FJ100" i="2"/>
  <c r="FJ132" i="2"/>
  <c r="FJ47" i="2"/>
  <c r="FJ118" i="2"/>
  <c r="FJ183" i="2"/>
  <c r="FJ12" i="2"/>
  <c r="FJ39" i="2"/>
  <c r="FJ173" i="2"/>
  <c r="FJ74" i="2"/>
  <c r="FJ187" i="2"/>
  <c r="FJ122" i="2"/>
  <c r="CY24" i="2"/>
  <c r="CY137" i="2"/>
  <c r="CY14" i="2"/>
  <c r="CY96" i="2"/>
  <c r="CY170" i="2"/>
  <c r="CY58" i="2"/>
  <c r="CY167" i="2"/>
  <c r="CY113" i="2"/>
  <c r="CY107" i="2"/>
  <c r="CY17" i="2"/>
  <c r="CY8" i="2"/>
  <c r="CY35" i="2"/>
  <c r="CY104" i="2"/>
  <c r="CY127" i="2"/>
  <c r="CY158" i="2"/>
  <c r="CY57" i="2"/>
  <c r="CY45" i="2"/>
  <c r="CY69" i="2"/>
  <c r="CY194" i="2"/>
  <c r="CY121" i="2"/>
  <c r="CY117" i="2"/>
  <c r="CY30" i="2"/>
  <c r="CY54" i="2"/>
  <c r="CY152" i="2"/>
  <c r="CY81" i="2"/>
  <c r="CY195" i="2"/>
  <c r="CY172" i="2"/>
  <c r="CY150" i="2"/>
  <c r="CY6" i="2"/>
  <c r="CY64" i="2"/>
  <c r="CY118" i="2"/>
  <c r="CY44" i="2"/>
  <c r="CY151" i="2"/>
  <c r="CY68" i="2"/>
  <c r="CY56" i="2"/>
  <c r="CY124" i="2"/>
  <c r="CY12" i="2"/>
  <c r="CY28" i="2"/>
  <c r="CY21" i="2"/>
  <c r="CY84" i="2"/>
  <c r="CY183" i="2"/>
  <c r="CY185" i="2"/>
  <c r="CY49" i="2"/>
  <c r="CY25" i="2"/>
  <c r="CY144" i="2"/>
  <c r="CY80" i="2"/>
  <c r="CY47" i="2"/>
  <c r="CY171" i="2"/>
  <c r="CY37" i="2"/>
  <c r="CY156" i="2"/>
  <c r="CY155" i="2"/>
  <c r="CY179" i="2"/>
  <c r="CY83" i="2"/>
  <c r="CY18" i="2"/>
  <c r="CY33" i="2"/>
  <c r="CY169" i="2"/>
  <c r="CY157" i="2"/>
  <c r="CY53" i="2"/>
  <c r="CY32" i="2"/>
  <c r="CY100" i="2"/>
  <c r="CY148" i="2"/>
  <c r="CY74" i="2"/>
  <c r="CY62" i="2"/>
  <c r="CY175" i="2"/>
  <c r="CY192" i="2"/>
  <c r="CY9" i="2"/>
  <c r="CY180" i="2"/>
  <c r="CY136" i="2"/>
  <c r="CY161" i="2"/>
  <c r="CY90" i="2"/>
  <c r="CY91" i="2"/>
  <c r="CY132" i="2"/>
  <c r="CY174" i="2"/>
  <c r="CY166" i="2"/>
  <c r="CY26" i="2"/>
  <c r="CY146" i="2"/>
  <c r="CY48" i="2"/>
  <c r="CY126" i="2"/>
  <c r="CY66" i="2"/>
  <c r="CY198" i="2"/>
  <c r="CY38" i="2"/>
  <c r="CY52" i="2"/>
  <c r="CY79" i="2"/>
  <c r="CY51" i="2"/>
  <c r="CY106" i="2"/>
  <c r="CY133" i="2"/>
  <c r="CY149" i="2"/>
  <c r="CY43" i="2"/>
  <c r="CY31" i="2"/>
  <c r="CY59" i="2"/>
  <c r="CY186" i="2"/>
  <c r="CY162" i="2"/>
  <c r="CY50" i="2"/>
  <c r="CY55" i="2"/>
  <c r="CY29" i="2"/>
  <c r="CY173" i="2"/>
  <c r="CY184" i="2"/>
  <c r="CY187" i="2"/>
  <c r="CY60" i="2"/>
  <c r="CY85" i="2"/>
  <c r="CY202" i="2"/>
  <c r="CY125" i="2"/>
  <c r="CY181" i="2"/>
  <c r="CY16" i="2"/>
  <c r="CY97" i="2"/>
  <c r="CY94" i="2"/>
  <c r="CY76" i="2"/>
  <c r="CY160" i="2"/>
  <c r="CY86" i="2"/>
  <c r="CY119" i="2"/>
  <c r="CY131" i="2"/>
  <c r="CY159" i="2"/>
  <c r="CY98" i="2"/>
  <c r="CY19" i="2"/>
  <c r="CY63" i="2"/>
  <c r="CY40" i="2"/>
  <c r="CY93" i="2"/>
  <c r="CY201" i="2"/>
  <c r="CY164" i="2"/>
  <c r="CY168" i="2"/>
  <c r="CY199" i="2"/>
  <c r="CY154" i="2"/>
  <c r="CY139" i="2"/>
  <c r="CY165" i="2"/>
  <c r="CY112" i="2"/>
  <c r="CY103" i="2"/>
  <c r="CY67" i="2"/>
  <c r="CY77" i="2"/>
  <c r="CY78" i="2"/>
  <c r="CY182" i="2"/>
  <c r="CY130" i="2"/>
  <c r="CY88" i="2"/>
  <c r="CY177" i="2"/>
  <c r="CY193" i="2"/>
  <c r="CY115" i="2"/>
  <c r="CY138" i="2"/>
  <c r="CY34" i="2"/>
  <c r="CY87" i="2"/>
  <c r="CY65" i="2"/>
  <c r="CY140" i="2"/>
  <c r="CY129" i="2"/>
  <c r="CY141" i="2"/>
  <c r="CY10" i="2"/>
  <c r="CY95" i="2"/>
  <c r="CY72" i="2"/>
  <c r="CY176" i="2"/>
  <c r="CY188" i="2"/>
  <c r="CY4" i="2"/>
  <c r="CY200" i="2"/>
  <c r="CY114" i="2"/>
  <c r="CY191" i="2"/>
  <c r="CY39" i="2"/>
  <c r="CY110" i="2"/>
  <c r="CY13" i="2"/>
  <c r="CY111" i="2"/>
  <c r="CY41" i="2"/>
  <c r="CY116" i="2"/>
  <c r="CY163" i="2"/>
  <c r="CY123" i="2"/>
  <c r="CY99" i="2"/>
  <c r="CY128" i="2"/>
  <c r="CY178" i="2"/>
  <c r="CY135" i="2"/>
  <c r="CY143" i="2"/>
  <c r="CY102" i="2"/>
  <c r="CY189" i="2"/>
  <c r="CY197" i="2"/>
  <c r="CY145" i="2"/>
  <c r="CY147" i="2"/>
  <c r="CY15" i="2"/>
  <c r="CY75" i="2"/>
  <c r="CY22" i="2"/>
  <c r="CY101" i="2"/>
  <c r="CY61" i="2"/>
  <c r="CY23" i="2"/>
  <c r="CY73" i="2"/>
  <c r="CY82" i="2"/>
  <c r="CY20" i="2"/>
  <c r="CY203" i="2"/>
  <c r="CY7" i="2"/>
  <c r="CY71" i="2"/>
  <c r="CY27" i="2"/>
  <c r="CY89" i="2"/>
  <c r="CY108" i="2"/>
  <c r="CY36" i="2"/>
  <c r="CY134" i="2"/>
  <c r="CY153" i="2"/>
  <c r="CY42" i="2"/>
  <c r="CY105" i="2"/>
  <c r="CY70" i="2"/>
  <c r="CY11" i="2"/>
  <c r="CY190" i="2"/>
  <c r="CY5" i="2"/>
  <c r="CY120" i="2"/>
  <c r="CY3" i="2"/>
  <c r="C10" i="4" s="1"/>
  <c r="E10" i="4" s="1"/>
  <c r="F10" i="4" s="1"/>
  <c r="G10" i="4" s="1"/>
  <c r="L10" i="4" s="1"/>
  <c r="CY46" i="2"/>
  <c r="CY142" i="2"/>
  <c r="CY109" i="2"/>
  <c r="CY122" i="2"/>
  <c r="CY196" i="2"/>
  <c r="CY92" i="2"/>
  <c r="CD193" i="2"/>
  <c r="CD119" i="2"/>
  <c r="CD113" i="2"/>
  <c r="CD61" i="2"/>
  <c r="CD100" i="2"/>
  <c r="CD59" i="2"/>
  <c r="CD18" i="2"/>
  <c r="CD65" i="2"/>
  <c r="CD23" i="2"/>
  <c r="CD142" i="2"/>
  <c r="CD169" i="2"/>
  <c r="CD33" i="2"/>
  <c r="CD5" i="2"/>
  <c r="CD77" i="2"/>
  <c r="CD141" i="2"/>
  <c r="CD73" i="2"/>
  <c r="CD134" i="2"/>
  <c r="CD54" i="2"/>
  <c r="CD179" i="2"/>
  <c r="CD99" i="2"/>
  <c r="CD121" i="2"/>
  <c r="CD56" i="2"/>
  <c r="CD143" i="2"/>
  <c r="CD96" i="2"/>
  <c r="CD127" i="2"/>
  <c r="CD62" i="2"/>
  <c r="CD184" i="2"/>
  <c r="CD36" i="2"/>
  <c r="CD129" i="2"/>
  <c r="CD25" i="2"/>
  <c r="CD123" i="2"/>
  <c r="CD32" i="2"/>
  <c r="CD125" i="2"/>
  <c r="CD107" i="2"/>
  <c r="CD187" i="2"/>
  <c r="CD94" i="2"/>
  <c r="CD153" i="2"/>
  <c r="CD128" i="2"/>
  <c r="CD70" i="2"/>
  <c r="CD63" i="2"/>
  <c r="CD163" i="2"/>
  <c r="CD158" i="2"/>
  <c r="CD101" i="2"/>
  <c r="CD39" i="2"/>
  <c r="CD79" i="2"/>
  <c r="CD170" i="2"/>
  <c r="CD47" i="2"/>
  <c r="CD197" i="2"/>
  <c r="CD95" i="2"/>
  <c r="CD75" i="2"/>
  <c r="CD83" i="2"/>
  <c r="CD111" i="2"/>
  <c r="CD97" i="2"/>
  <c r="CD133" i="2"/>
  <c r="CD86" i="2"/>
  <c r="CD88" i="2"/>
  <c r="CD28" i="2"/>
  <c r="CD174" i="2"/>
  <c r="CD29" i="2"/>
  <c r="CD194" i="2"/>
  <c r="CD24" i="2"/>
  <c r="CD11" i="2"/>
  <c r="CD71" i="2"/>
  <c r="CD148" i="2"/>
  <c r="CD74" i="2"/>
  <c r="CD50" i="2"/>
  <c r="CD87" i="2"/>
  <c r="CD118" i="2"/>
  <c r="CD31" i="2"/>
  <c r="CD43" i="2"/>
  <c r="CD162" i="2"/>
  <c r="CD154" i="2"/>
  <c r="CD140" i="2"/>
  <c r="CD53" i="2"/>
  <c r="CD144" i="2"/>
  <c r="CD120" i="2"/>
  <c r="CD159" i="2"/>
  <c r="CD114" i="2"/>
  <c r="CD84" i="2"/>
  <c r="CD13" i="2"/>
  <c r="CD35" i="2"/>
  <c r="CD58" i="2"/>
  <c r="CD17" i="2"/>
  <c r="CD166" i="2"/>
  <c r="CD167" i="2"/>
  <c r="CD20" i="2"/>
  <c r="CD155" i="2"/>
  <c r="CD40" i="2"/>
  <c r="CD37" i="2"/>
  <c r="CD103" i="2"/>
  <c r="CD16" i="2"/>
  <c r="CD164" i="2"/>
  <c r="CD98" i="2"/>
  <c r="CD78" i="2"/>
  <c r="CD112" i="2"/>
  <c r="CD48" i="2"/>
  <c r="CD117" i="2"/>
  <c r="CD122" i="2"/>
  <c r="CD69" i="2"/>
  <c r="CD26" i="2"/>
  <c r="CD106" i="2"/>
  <c r="CD42" i="2"/>
  <c r="CD19" i="2"/>
  <c r="CD198" i="2"/>
  <c r="CD15" i="2"/>
  <c r="CD161" i="2"/>
  <c r="CD51" i="2"/>
  <c r="CD173" i="2"/>
  <c r="CD6" i="2"/>
  <c r="CD108" i="2"/>
  <c r="CD126" i="2"/>
  <c r="CD160" i="2"/>
  <c r="CD8" i="2"/>
  <c r="CD90" i="2"/>
  <c r="CD182" i="2"/>
  <c r="CD22" i="2"/>
  <c r="CD201" i="2"/>
  <c r="CD57" i="2"/>
  <c r="CD130" i="2"/>
  <c r="CD9" i="2"/>
  <c r="CD156" i="2"/>
  <c r="CD93" i="2"/>
  <c r="CD115" i="2"/>
  <c r="CD104" i="2"/>
  <c r="CD105" i="2"/>
  <c r="CD102" i="2"/>
  <c r="CD185" i="2"/>
  <c r="CD45" i="2"/>
  <c r="CD3" i="2"/>
  <c r="C9" i="4" s="1"/>
  <c r="E9" i="4" s="1"/>
  <c r="F9" i="4" s="1"/>
  <c r="G9" i="4" s="1"/>
  <c r="L9" i="4" s="1"/>
  <c r="CD181" i="2"/>
  <c r="CD135" i="2"/>
  <c r="CD12" i="2"/>
  <c r="CD60" i="2"/>
  <c r="CD137" i="2"/>
  <c r="CD152" i="2"/>
  <c r="CD68" i="2"/>
  <c r="CD124" i="2"/>
  <c r="CD66" i="2"/>
  <c r="CD14" i="2"/>
  <c r="CD91" i="2"/>
  <c r="CD195" i="2"/>
  <c r="CD76" i="2"/>
  <c r="CD171" i="2"/>
  <c r="CD165" i="2"/>
  <c r="CD21" i="2"/>
  <c r="CD180" i="2"/>
  <c r="CD64" i="2"/>
  <c r="CD41" i="2"/>
  <c r="CD189" i="2"/>
  <c r="CD7" i="2"/>
  <c r="CD177" i="2"/>
  <c r="CD186" i="2"/>
  <c r="CD183" i="2"/>
  <c r="CD188" i="2"/>
  <c r="CD82" i="2"/>
  <c r="CD168" i="2"/>
  <c r="CD190" i="2"/>
  <c r="CD176" i="2"/>
  <c r="CD178" i="2"/>
  <c r="CD38" i="2"/>
  <c r="CD146" i="2"/>
  <c r="CD149" i="2"/>
  <c r="CD202" i="2"/>
  <c r="CD192" i="2"/>
  <c r="CD34" i="2"/>
  <c r="CD27" i="2"/>
  <c r="CD67" i="2"/>
  <c r="CD132" i="2"/>
  <c r="CD191" i="2"/>
  <c r="CD109" i="2"/>
  <c r="CD172" i="2"/>
  <c r="CD199" i="2"/>
  <c r="CD110" i="2"/>
  <c r="CD4" i="2"/>
  <c r="CD138" i="2"/>
  <c r="CD10" i="2"/>
  <c r="CD145" i="2"/>
  <c r="CD151" i="2"/>
  <c r="CD139" i="2"/>
  <c r="CD46" i="2"/>
  <c r="CD116" i="2"/>
  <c r="CD89" i="2"/>
  <c r="CD81" i="2"/>
  <c r="CD131" i="2"/>
  <c r="CD200" i="2"/>
  <c r="CD55" i="2"/>
  <c r="CD196" i="2"/>
  <c r="CD52" i="2"/>
  <c r="CD44" i="2"/>
  <c r="CD150" i="2"/>
  <c r="CD30" i="2"/>
  <c r="CD72" i="2"/>
  <c r="CD175" i="2"/>
  <c r="CD80" i="2"/>
  <c r="CD136" i="2"/>
  <c r="CD49" i="2"/>
  <c r="CD85" i="2"/>
  <c r="CD92" i="2"/>
  <c r="CD203" i="2"/>
  <c r="CD147" i="2"/>
  <c r="CD157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47" i="2" l="1"/>
  <c r="BI105" i="2"/>
  <c r="BI109" i="2"/>
  <c r="BI184" i="2"/>
  <c r="BI193" i="2"/>
  <c r="BI135" i="2"/>
  <c r="BI103" i="2"/>
  <c r="BI188" i="2"/>
  <c r="BI38" i="2"/>
  <c r="BI170" i="2"/>
  <c r="BI26" i="2"/>
  <c r="BI163" i="2"/>
  <c r="BI33" i="2"/>
  <c r="BI12" i="2"/>
  <c r="BI174" i="2"/>
  <c r="BI4" i="2"/>
  <c r="BI195" i="2"/>
  <c r="BI111" i="2"/>
  <c r="BI36" i="2"/>
  <c r="BI44" i="2"/>
  <c r="BI83" i="2"/>
  <c r="BI45" i="2"/>
  <c r="BI143" i="2"/>
  <c r="BI56" i="2"/>
  <c r="BI20" i="2"/>
  <c r="BI189" i="2"/>
  <c r="BI67" i="2"/>
  <c r="BI72" i="2"/>
  <c r="BI194" i="2"/>
  <c r="BI122" i="2"/>
  <c r="BI120" i="2"/>
  <c r="BI25" i="2"/>
  <c r="BI21" i="2"/>
  <c r="BI104" i="2"/>
  <c r="BI22" i="2"/>
  <c r="BI94" i="2"/>
  <c r="BI164" i="2"/>
  <c r="BI131" i="2"/>
  <c r="BI124" i="2"/>
  <c r="BI69" i="2"/>
  <c r="BI166" i="2"/>
  <c r="BI87" i="2"/>
  <c r="BI58" i="2"/>
  <c r="BI79" i="2"/>
  <c r="BI128" i="2"/>
  <c r="BI8" i="2"/>
  <c r="BI134" i="2"/>
  <c r="BI48" i="2"/>
  <c r="BI73" i="2"/>
  <c r="BI178" i="2"/>
  <c r="BI6" i="2"/>
  <c r="BI158" i="2"/>
  <c r="BI165" i="2"/>
  <c r="BI173" i="2"/>
  <c r="BI63" i="2"/>
  <c r="BI100" i="2"/>
  <c r="BI172" i="2"/>
  <c r="BI125" i="2"/>
  <c r="BI201" i="2"/>
  <c r="BI119" i="2"/>
  <c r="BI153" i="2"/>
  <c r="BI40" i="2"/>
  <c r="BI160" i="2"/>
  <c r="BI39" i="2"/>
  <c r="BI116" i="2"/>
  <c r="BI64" i="2"/>
  <c r="BI187" i="2"/>
  <c r="BI5" i="2"/>
  <c r="BI75" i="2"/>
  <c r="BI82" i="2"/>
  <c r="BI23" i="2"/>
  <c r="BI62" i="2"/>
  <c r="BI54" i="2"/>
  <c r="BI80" i="2"/>
  <c r="BI107" i="2"/>
  <c r="BI154" i="2"/>
  <c r="BI77" i="2"/>
  <c r="BI97" i="2"/>
  <c r="BI171" i="2"/>
  <c r="BI185" i="2"/>
  <c r="BI55" i="2"/>
  <c r="BI71" i="2"/>
  <c r="BI13" i="2"/>
  <c r="BI43" i="2"/>
  <c r="BI74" i="2"/>
  <c r="BI96" i="2"/>
  <c r="BI203" i="2"/>
  <c r="BI118" i="2"/>
  <c r="BI123" i="2"/>
  <c r="BI95" i="2"/>
  <c r="BI108" i="2"/>
  <c r="BI57" i="2"/>
  <c r="BI130" i="2"/>
  <c r="BI181" i="2"/>
  <c r="BI149" i="2"/>
  <c r="BI110" i="2"/>
  <c r="BI66" i="2"/>
  <c r="BI9" i="2"/>
  <c r="BI91" i="2"/>
  <c r="BI41" i="2"/>
  <c r="BI65" i="2"/>
  <c r="BI150" i="2"/>
  <c r="BI17" i="2"/>
  <c r="BI61" i="2"/>
  <c r="BI15" i="2"/>
  <c r="BI11" i="2"/>
  <c r="BI133" i="2"/>
  <c r="BI102" i="2"/>
  <c r="BI175" i="2"/>
  <c r="BI28" i="2"/>
  <c r="BI89" i="2"/>
  <c r="BI157" i="2"/>
  <c r="BI186" i="2"/>
  <c r="BI199" i="2"/>
  <c r="BI162" i="2"/>
  <c r="BI99" i="2"/>
  <c r="BI90" i="2"/>
  <c r="BI182" i="2"/>
  <c r="BI42" i="2"/>
  <c r="BI200" i="2"/>
  <c r="BI27" i="2"/>
  <c r="BI86" i="2"/>
  <c r="BI152" i="2"/>
  <c r="BI132" i="2"/>
  <c r="BI59" i="2"/>
  <c r="BI84" i="2"/>
  <c r="BI142" i="2"/>
  <c r="BI16" i="2"/>
  <c r="BI78" i="2"/>
  <c r="BI167" i="2"/>
  <c r="BI53" i="2"/>
  <c r="BI129" i="2"/>
  <c r="BI50" i="2"/>
  <c r="BI46" i="2"/>
  <c r="BI70" i="2"/>
  <c r="BI140" i="2"/>
  <c r="BI92" i="2"/>
  <c r="BI114" i="2"/>
  <c r="BI60" i="2"/>
  <c r="BI176" i="2"/>
  <c r="BI183" i="2"/>
  <c r="BI139" i="2"/>
  <c r="BI159" i="2"/>
  <c r="BI198" i="2"/>
  <c r="BI35" i="2"/>
  <c r="BI14" i="2"/>
  <c r="BI49" i="2"/>
  <c r="BI112" i="2"/>
  <c r="BI196" i="2"/>
  <c r="BI101" i="2"/>
  <c r="BI127" i="2"/>
  <c r="BI24" i="2"/>
  <c r="BI192" i="2"/>
  <c r="BI106" i="2"/>
  <c r="BI141" i="2"/>
  <c r="BI121" i="2"/>
  <c r="BI147" i="2"/>
  <c r="BI30" i="2"/>
  <c r="BI113" i="2"/>
  <c r="BI126" i="2"/>
  <c r="BI179" i="2"/>
  <c r="BI190" i="2"/>
  <c r="BI76" i="2"/>
  <c r="BI32" i="2"/>
  <c r="BI85" i="2"/>
  <c r="BI3" i="2"/>
  <c r="C8" i="4" s="1"/>
  <c r="E8" i="4" s="1"/>
  <c r="F8" i="4" s="1"/>
  <c r="G8" i="4" s="1"/>
  <c r="L8" i="4" s="1"/>
  <c r="BI151" i="2"/>
  <c r="BI155" i="2"/>
  <c r="BI52" i="2"/>
  <c r="BI144" i="2"/>
  <c r="BI197" i="2"/>
  <c r="BI148" i="2"/>
  <c r="BI169" i="2"/>
  <c r="BI98" i="2"/>
  <c r="BI137" i="2"/>
  <c r="BI145" i="2"/>
  <c r="BI117" i="2"/>
  <c r="BI136" i="2"/>
  <c r="BI168" i="2"/>
  <c r="BI10" i="2"/>
  <c r="BI180" i="2"/>
  <c r="BI202" i="2"/>
  <c r="BI31" i="2"/>
  <c r="BI93" i="2"/>
  <c r="BI18" i="2"/>
  <c r="BI29" i="2"/>
  <c r="BI156" i="2"/>
  <c r="BI146" i="2"/>
  <c r="BI37" i="2"/>
  <c r="BI7" i="2"/>
  <c r="BI191" i="2"/>
  <c r="BI81" i="2"/>
  <c r="BI19" i="2"/>
  <c r="BI68" i="2"/>
  <c r="BI51" i="2"/>
  <c r="BI177" i="2"/>
  <c r="BI138" i="2"/>
  <c r="BI88" i="2"/>
  <c r="BI115" i="2"/>
  <c r="BI34" i="2"/>
  <c r="BI161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<sst xmlns="http://schemas.openxmlformats.org/spreadsheetml/2006/main" count="1179" uniqueCount="324">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</sst>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159.39654402501074</c:v>
                </c:pt>
                <c:pt idx="22">
                  <c:v>171.18397278750874</c:v>
                </c:pt>
                <c:pt idx="23">
                  <c:v>182.95230030612535</c:v>
                </c:pt>
                <c:pt idx="24">
                  <c:v>194.7029293179402</c:v>
                </c:pt>
                <c:pt idx="25">
                  <c:v>206.43707921846078</c:v>
                </c:pt>
                <c:pt idx="26">
                  <c:v>213.47010944722004</c:v>
                </c:pt>
                <c:pt idx="27">
                  <c:v>220.49780325501729</c:v>
                </c:pt>
                <c:pt idx="28">
                  <c:v>227.5203549639734</c:v>
                </c:pt>
                <c:pt idx="29">
                  <c:v>234.5379459034672</c:v>
                </c:pt>
                <c:pt idx="30">
                  <c:v>241.55074565033257</c:v>
                </c:pt>
                <c:pt idx="31">
                  <c:v>208.00044644770722</c:v>
                </c:pt>
                <c:pt idx="32">
                  <c:v>229.08024217931521</c:v>
                </c:pt>
                <c:pt idx="33">
                  <c:v>250.11566977871595</c:v>
                </c:pt>
                <c:pt idx="34">
                  <c:v>271.11098488765975</c:v>
                </c:pt>
                <c:pt idx="35">
                  <c:v>292.06972985560304</c:v>
                </c:pt>
                <c:pt idx="36">
                  <c:v>259.45164815796983</c:v>
                </c:pt>
                <c:pt idx="37">
                  <c:v>281.2066016742919</c:v>
                </c:pt>
                <c:pt idx="38">
                  <c:v>302.92383728372153</c:v>
                </c:pt>
                <c:pt idx="39">
                  <c:v>324.60643807826494</c:v>
                </c:pt>
                <c:pt idx="40">
                  <c:v>346.2570416653702</c:v>
                </c:pt>
                <c:pt idx="41">
                  <c:v>314.15647495690456</c:v>
                </c:pt>
                <c:pt idx="42">
                  <c:v>336.20880231759605</c:v>
                </c:pt>
                <c:pt idx="43">
                  <c:v>358.22928558083078</c:v>
                </c:pt>
                <c:pt idx="44">
                  <c:v>380.22015624917958</c:v>
                </c:pt>
                <c:pt idx="45">
                  <c:v>402.18336673633206</c:v>
                </c:pt>
                <c:pt idx="46">
                  <c:v>369.42119511414552</c:v>
                </c:pt>
                <c:pt idx="47">
                  <c:v>390.62711987431993</c:v>
                </c:pt>
                <c:pt idx="48">
                  <c:v>411.80807637868747</c:v>
                </c:pt>
                <c:pt idx="49">
                  <c:v>432.96552861089225</c:v>
                </c:pt>
                <c:pt idx="50">
                  <c:v>454.10078588624361</c:v>
                </c:pt>
                <c:pt idx="51">
                  <c:v>419.88907590240768</c:v>
                </c:pt>
                <c:pt idx="52">
                  <c:v>439.50055712660463</c:v>
                </c:pt>
                <c:pt idx="53">
                  <c:v>459.0932798580705</c:v>
                </c:pt>
                <c:pt idx="54">
                  <c:v>478.66815678776123</c:v>
                </c:pt>
                <c:pt idx="55">
                  <c:v>498.22601991660628</c:v>
                </c:pt>
                <c:pt idx="56">
                  <c:v>462.5489419632766</c:v>
                </c:pt>
                <c:pt idx="57">
                  <c:v>480.58633375842027</c:v>
                </c:pt>
                <c:pt idx="58">
                  <c:v>498.60934258764996</c:v>
                </c:pt>
                <c:pt idx="59">
                  <c:v>516.61856122298445</c:v>
                </c:pt>
                <c:pt idx="60">
                  <c:v>534.61453776319524</c:v>
                </c:pt>
                <c:pt idx="61">
                  <c:v>497.84269099902525</c:v>
                </c:pt>
                <c:pt idx="62">
                  <c:v>514.70332559574479</c:v>
                </c:pt>
                <c:pt idx="63">
                  <c:v>531.55230561741553</c:v>
                </c:pt>
                <c:pt idx="64">
                  <c:v>548.39005229891859</c:v>
                </c:pt>
                <c:pt idx="65">
                  <c:v>565.21695891368074</c:v>
                </c:pt>
                <c:pt idx="66">
                  <c:v>527.34112969241005</c:v>
                </c:pt>
                <c:pt idx="67">
                  <c:v>543.03378149300647</c:v>
                </c:pt>
                <c:pt idx="68">
                  <c:v>558.71691511038478</c:v>
                </c:pt>
                <c:pt idx="69">
                  <c:v>574.39083521123325</c:v>
                </c:pt>
                <c:pt idx="70">
                  <c:v>590.05582848802044</c:v>
                </c:pt>
                <c:pt idx="71">
                  <c:v>551.06777546888088</c:v>
                </c:pt>
                <c:pt idx="72">
                  <c:v>565.59926555628579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609.14778887966042</c:v>
                </c:pt>
                <c:pt idx="76">
                  <c:v>569.42203544921153</c:v>
                </c:pt>
                <c:pt idx="77">
                  <c:v>583.17959594683191</c:v>
                </c:pt>
                <c:pt idx="78">
                  <c:v>596.93039273337797</c:v>
                </c:pt>
                <c:pt idx="79">
                  <c:v>610.67460350167141</c:v>
                </c:pt>
                <c:pt idx="80">
                  <c:v>624.41239729750214</c:v>
                </c:pt>
                <c:pt idx="81">
                  <c:v>583.56165301259614</c:v>
                </c:pt>
                <c:pt idx="82">
                  <c:v>596.16663396016577</c:v>
                </c:pt>
                <c:pt idx="83">
                  <c:v>608.76607282046439</c:v>
                </c:pt>
                <c:pt idx="84">
                  <c:v>621.36010041874772</c:v>
                </c:pt>
                <c:pt idx="85">
                  <c:v>633.94884184664033</c:v>
                </c:pt>
                <c:pt idx="86">
                  <c:v>646.53241682467024</c:v>
                </c:pt>
                <c:pt idx="87">
                  <c:v>659.11094003512619</c:v>
                </c:pt>
                <c:pt idx="88">
                  <c:v>671.68452142819672</c:v>
                </c:pt>
                <c:pt idx="89">
                  <c:v>684.25326650400723</c:v>
                </c:pt>
                <c:pt idx="90">
                  <c:v>696.8172765728691</c:v>
                </c:pt>
                <c:pt idx="91">
                  <c:v>601.51251958281762</c:v>
                </c:pt>
                <c:pt idx="92">
                  <c:v>612.96467697950231</c:v>
                </c:pt>
                <c:pt idx="93">
                  <c:v>624.41239729750248</c:v>
                </c:pt>
                <c:pt idx="94">
                  <c:v>635.85577332565367</c:v>
                </c:pt>
                <c:pt idx="95">
                  <c:v>647.29489424172516</c:v>
                </c:pt>
                <c:pt idx="96">
                  <c:v>658.72984581562707</c:v>
                </c:pt>
                <c:pt idx="97">
                  <c:v>670.1607105977813</c:v>
                </c:pt>
                <c:pt idx="98">
                  <c:v>681.58756809397642</c:v>
                </c:pt>
                <c:pt idx="99">
                  <c:v>693.01049492789434</c:v>
                </c:pt>
                <c:pt idx="100">
                  <c:v>704.42956499236789</c:v>
                </c:pt>
                <c:pt idx="101">
                  <c:v>607.62089481714213</c:v>
                </c:pt>
                <c:pt idx="102">
                  <c:v>617.54429227660466</c:v>
                </c:pt>
                <c:pt idx="103">
                  <c:v>627.46438526884424</c:v>
                </c:pt>
                <c:pt idx="104">
                  <c:v>637.38123339273886</c:v>
                </c:pt>
                <c:pt idx="105">
                  <c:v>647.29489424172505</c:v>
                </c:pt>
                <c:pt idx="106">
                  <c:v>657.20542350161418</c:v>
                </c:pt>
                <c:pt idx="107">
                  <c:v>667.11287504220093</c:v>
                </c:pt>
                <c:pt idx="108">
                  <c:v>677.01730100315046</c:v>
                </c:pt>
                <c:pt idx="109">
                  <c:v>686.91875187459902</c:v>
                </c:pt>
                <c:pt idx="110">
                  <c:v>696.81727657286876</c:v>
                </c:pt>
                <c:pt idx="111">
                  <c:v>608.19348941446788</c:v>
                </c:pt>
                <c:pt idx="112">
                  <c:v>616.78107210210919</c:v>
                </c:pt>
                <c:pt idx="113">
                  <c:v>625.36617664098867</c:v>
                </c:pt>
                <c:pt idx="114">
                  <c:v>633.94884184664033</c:v>
                </c:pt>
                <c:pt idx="115">
                  <c:v>642.52910539795516</c:v>
                </c:pt>
                <c:pt idx="116">
                  <c:v>651.10700388552539</c:v>
                </c:pt>
                <c:pt idx="117">
                  <c:v>659.68257285730954</c:v>
                </c:pt>
                <c:pt idx="118">
                  <c:v>668.25584686180002</c:v>
                </c:pt>
                <c:pt idx="119">
                  <c:v>676.82685948885785</c:v>
                </c:pt>
                <c:pt idx="120">
                  <c:v>685.39564340837842</c:v>
                </c:pt>
                <c:pt idx="121">
                  <c:v>1.5435705246133045E-12</c:v>
                </c:pt>
                <c:pt idx="122">
                  <c:v>1.5435705246133045E-12</c:v>
                </c:pt>
                <c:pt idx="123">
                  <c:v>1.5435705246133045E-12</c:v>
                </c:pt>
                <c:pt idx="124">
                  <c:v>1.5435705246133045E-12</c:v>
                </c:pt>
                <c:pt idx="125">
                  <c:v>1.5435705246133045E-12</c:v>
                </c:pt>
                <c:pt idx="126">
                  <c:v>1.5435705246133045E-12</c:v>
                </c:pt>
                <c:pt idx="127">
                  <c:v>1.5435705246133045E-12</c:v>
                </c:pt>
                <c:pt idx="128">
                  <c:v>1.5435705246133045E-12</c:v>
                </c:pt>
                <c:pt idx="129">
                  <c:v>1.5435705246133045E-12</c:v>
                </c:pt>
                <c:pt idx="130">
                  <c:v>1.5435705246133045E-12</c:v>
                </c:pt>
                <c:pt idx="131">
                  <c:v>1.5435705246133045E-12</c:v>
                </c:pt>
                <c:pt idx="132">
                  <c:v>1.5435705246133045E-12</c:v>
                </c:pt>
                <c:pt idx="133">
                  <c:v>1.5435705246133045E-12</c:v>
                </c:pt>
                <c:pt idx="134">
                  <c:v>1.5435705246133045E-12</c:v>
                </c:pt>
                <c:pt idx="135">
                  <c:v>1.5435705246133045E-12</c:v>
                </c:pt>
                <c:pt idx="136">
                  <c:v>1.5435705246133045E-12</c:v>
                </c:pt>
                <c:pt idx="137">
                  <c:v>1.5435705246133045E-12</c:v>
                </c:pt>
                <c:pt idx="138">
                  <c:v>1.5435705246133045E-12</c:v>
                </c:pt>
                <c:pt idx="139">
                  <c:v>1.5435705246133045E-12</c:v>
                </c:pt>
                <c:pt idx="140">
                  <c:v>1.5435705246133045E-12</c:v>
                </c:pt>
                <c:pt idx="141">
                  <c:v>1.5435705246133045E-12</c:v>
                </c:pt>
                <c:pt idx="142">
                  <c:v>1.5435705246133045E-12</c:v>
                </c:pt>
                <c:pt idx="143">
                  <c:v>1.5435705246133045E-12</c:v>
                </c:pt>
                <c:pt idx="144">
                  <c:v>1.5435705246133045E-12</c:v>
                </c:pt>
                <c:pt idx="145">
                  <c:v>1.5435705246133045E-12</c:v>
                </c:pt>
                <c:pt idx="146">
                  <c:v>1.5435705246133045E-12</c:v>
                </c:pt>
                <c:pt idx="147">
                  <c:v>1.5435705246133045E-12</c:v>
                </c:pt>
                <c:pt idx="148">
                  <c:v>1.5435705246133045E-12</c:v>
                </c:pt>
                <c:pt idx="149">
                  <c:v>1.5435705246133045E-12</c:v>
                </c:pt>
                <c:pt idx="150">
                  <c:v>1.5435705246133045E-12</c:v>
                </c:pt>
                <c:pt idx="151">
                  <c:v>1.5435705246133045E-12</c:v>
                </c:pt>
                <c:pt idx="152">
                  <c:v>1.5435705246133045E-12</c:v>
                </c:pt>
                <c:pt idx="153">
                  <c:v>1.5435705246133045E-12</c:v>
                </c:pt>
                <c:pt idx="154">
                  <c:v>1.5435705246133045E-12</c:v>
                </c:pt>
                <c:pt idx="155">
                  <c:v>1.5435705246133045E-12</c:v>
                </c:pt>
                <c:pt idx="156">
                  <c:v>1.5435705246133045E-12</c:v>
                </c:pt>
                <c:pt idx="157">
                  <c:v>1.5435705246133045E-12</c:v>
                </c:pt>
                <c:pt idx="158">
                  <c:v>1.5435705246133045E-12</c:v>
                </c:pt>
                <c:pt idx="159">
                  <c:v>1.5435705246133045E-12</c:v>
                </c:pt>
                <c:pt idx="160">
                  <c:v>1.5435705246133045E-12</c:v>
                </c:pt>
                <c:pt idx="161">
                  <c:v>1.5435705246133045E-12</c:v>
                </c:pt>
                <c:pt idx="162">
                  <c:v>1.5435705246133045E-12</c:v>
                </c:pt>
                <c:pt idx="163">
                  <c:v>1.5435705246133045E-12</c:v>
                </c:pt>
                <c:pt idx="164">
                  <c:v>1.5435705246133045E-12</c:v>
                </c:pt>
                <c:pt idx="165">
                  <c:v>1.5435705246133045E-12</c:v>
                </c:pt>
                <c:pt idx="166">
                  <c:v>1.5435705246133045E-12</c:v>
                </c:pt>
                <c:pt idx="167">
                  <c:v>1.5435705246133045E-12</c:v>
                </c:pt>
                <c:pt idx="168">
                  <c:v>1.5435705246133045E-12</c:v>
                </c:pt>
                <c:pt idx="169">
                  <c:v>1.5435705246133045E-12</c:v>
                </c:pt>
                <c:pt idx="170">
                  <c:v>1.5435705246133045E-12</c:v>
                </c:pt>
                <c:pt idx="171">
                  <c:v>1.5435705246133045E-12</c:v>
                </c:pt>
                <c:pt idx="172">
                  <c:v>1.5435705246133045E-12</c:v>
                </c:pt>
                <c:pt idx="173">
                  <c:v>1.5435705246133045E-12</c:v>
                </c:pt>
                <c:pt idx="174">
                  <c:v>1.5435705246133045E-12</c:v>
                </c:pt>
                <c:pt idx="175">
                  <c:v>1.5435705246133045E-12</c:v>
                </c:pt>
                <c:pt idx="176">
                  <c:v>1.5435705246133045E-12</c:v>
                </c:pt>
                <c:pt idx="177">
                  <c:v>1.5435705246133045E-12</c:v>
                </c:pt>
                <c:pt idx="178">
                  <c:v>1.5435705246133045E-12</c:v>
                </c:pt>
                <c:pt idx="179">
                  <c:v>1.5435705246133045E-12</c:v>
                </c:pt>
                <c:pt idx="180">
                  <c:v>1.5435705246133045E-12</c:v>
                </c:pt>
                <c:pt idx="181">
                  <c:v>1.5435705246133045E-12</c:v>
                </c:pt>
                <c:pt idx="182">
                  <c:v>1.5435705246133045E-12</c:v>
                </c:pt>
                <c:pt idx="183">
                  <c:v>1.5435705246133045E-12</c:v>
                </c:pt>
                <c:pt idx="184">
                  <c:v>1.5435705246133045E-12</c:v>
                </c:pt>
                <c:pt idx="185">
                  <c:v>1.5435705246133045E-12</c:v>
                </c:pt>
                <c:pt idx="186">
                  <c:v>1.5435705246133045E-12</c:v>
                </c:pt>
                <c:pt idx="187">
                  <c:v>1.5435705246133045E-12</c:v>
                </c:pt>
                <c:pt idx="188">
                  <c:v>1.5435705246133045E-12</c:v>
                </c:pt>
                <c:pt idx="189">
                  <c:v>1.5435705246133045E-12</c:v>
                </c:pt>
                <c:pt idx="190">
                  <c:v>1.5435705246133045E-12</c:v>
                </c:pt>
                <c:pt idx="191">
                  <c:v>1.5435705246133045E-12</c:v>
                </c:pt>
                <c:pt idx="192">
                  <c:v>1.5435705246133045E-12</c:v>
                </c:pt>
                <c:pt idx="193">
                  <c:v>1.5435705246133045E-12</c:v>
                </c:pt>
                <c:pt idx="194">
                  <c:v>1.5435705246133045E-12</c:v>
                </c:pt>
                <c:pt idx="195">
                  <c:v>1.5435705246133045E-12</c:v>
                </c:pt>
                <c:pt idx="196">
                  <c:v>1.5435705246133045E-12</c:v>
                </c:pt>
                <c:pt idx="197">
                  <c:v>1.5435705246133045E-12</c:v>
                </c:pt>
                <c:pt idx="198">
                  <c:v>1.5435705246133045E-12</c:v>
                </c:pt>
                <c:pt idx="199">
                  <c:v>1.5435705246133045E-12</c:v>
                </c:pt>
                <c:pt idx="200">
                  <c:v>1.5435705246133045E-12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2.0418711509797265</c:v>
                </c:pt>
                <c:pt idx="2">
                  <c:v>2.7113002644801649</c:v>
                </c:pt>
                <c:pt idx="3">
                  <c:v>3.6011129853282444</c:v>
                </c:pt>
                <c:pt idx="4">
                  <c:v>4.7841446976970312</c:v>
                </c:pt>
                <c:pt idx="5">
                  <c:v>6.3573897575042828</c:v>
                </c:pt>
                <c:pt idx="6">
                  <c:v>8.4500417355254296</c:v>
                </c:pt>
                <c:pt idx="7">
                  <c:v>11.234217745850602</c:v>
                </c:pt>
                <c:pt idx="8">
                  <c:v>14.939265412588243</c:v>
                </c:pt>
                <c:pt idx="9">
                  <c:v>19.870852605134449</c:v>
                </c:pt>
                <c:pt idx="10">
                  <c:v>26.436443100358655</c:v>
                </c:pt>
                <c:pt idx="11">
                  <c:v>36.644313658049519</c:v>
                </c:pt>
                <c:pt idx="12">
                  <c:v>56.051291368632491</c:v>
                </c:pt>
                <c:pt idx="13">
                  <c:v>75.279161153107964</c:v>
                </c:pt>
                <c:pt idx="14">
                  <c:v>94.380900018971474</c:v>
                </c:pt>
                <c:pt idx="15">
                  <c:v>113.38583917704973</c:v>
                </c:pt>
                <c:pt idx="16">
                  <c:v>79.475381528819966</c:v>
                </c:pt>
                <c:pt idx="17">
                  <c:v>100.378171626629</c:v>
                </c:pt>
                <c:pt idx="18">
                  <c:v>121.17258390131538</c:v>
                </c:pt>
                <c:pt idx="19">
                  <c:v>141.87991897696028</c:v>
                </c:pt>
                <c:pt idx="20">
                  <c:v>162.51470535048455</c:v>
                </c:pt>
                <c:pt idx="21">
                  <c:v>129.98288265040921</c:v>
                </c:pt>
                <c:pt idx="22">
                  <c:v>151.68977058532363</c:v>
                </c:pt>
                <c:pt idx="23">
                  <c:v>173.32258497105386</c:v>
                </c:pt>
                <c:pt idx="24">
                  <c:v>194.89188212434871</c:v>
                </c:pt>
                <c:pt idx="25">
                  <c:v>216.40568417713141</c:v>
                </c:pt>
                <c:pt idx="26">
                  <c:v>183.6010602429368</c:v>
                </c:pt>
                <c:pt idx="27">
                  <c:v>204.63077957800382</c:v>
                </c:pt>
                <c:pt idx="28">
                  <c:v>225.61050422909818</c:v>
                </c:pt>
                <c:pt idx="29">
                  <c:v>246.54553730127722</c:v>
                </c:pt>
                <c:pt idx="30">
                  <c:v>267.44020689106793</c:v>
                </c:pt>
                <c:pt idx="31">
                  <c:v>233.27460027305116</c:v>
                </c:pt>
                <c:pt idx="32">
                  <c:v>252.66505574477944</c:v>
                </c:pt>
                <c:pt idx="33">
                  <c:v>272.02180702454558</c:v>
                </c:pt>
                <c:pt idx="34">
                  <c:v>291.3475893186914</c:v>
                </c:pt>
                <c:pt idx="35">
                  <c:v>310.64474526789974</c:v>
                </c:pt>
                <c:pt idx="36">
                  <c:v>274.05751470861242</c:v>
                </c:pt>
                <c:pt idx="37">
                  <c:v>290.83939237889814</c:v>
                </c:pt>
                <c:pt idx="38">
                  <c:v>307.59964297500903</c:v>
                </c:pt>
                <c:pt idx="39">
                  <c:v>324.33961059353572</c:v>
                </c:pt>
                <c:pt idx="40">
                  <c:v>341.06048925792737</c:v>
                </c:pt>
                <c:pt idx="41">
                  <c:v>304.807710716077</c:v>
                </c:pt>
                <c:pt idx="42">
                  <c:v>319.26896106842855</c:v>
                </c:pt>
                <c:pt idx="43">
                  <c:v>333.71571650710337</c:v>
                </c:pt>
                <c:pt idx="44">
                  <c:v>348.1486929117587</c:v>
                </c:pt>
                <c:pt idx="45">
                  <c:v>362.56854195764782</c:v>
                </c:pt>
                <c:pt idx="46">
                  <c:v>342.07328648891354</c:v>
                </c:pt>
                <c:pt idx="47">
                  <c:v>354.47476790661489</c:v>
                </c:pt>
                <c:pt idx="48">
                  <c:v>366.86674693163218</c:v>
                </c:pt>
                <c:pt idx="49">
                  <c:v>379.24958981699575</c:v>
                </c:pt>
                <c:pt idx="50">
                  <c:v>391.62363694299091</c:v>
                </c:pt>
                <c:pt idx="51">
                  <c:v>375.71254666178925</c:v>
                </c:pt>
                <c:pt idx="52">
                  <c:v>386.32153007637999</c:v>
                </c:pt>
                <c:pt idx="53">
                  <c:v>396.92418676900962</c:v>
                </c:pt>
                <c:pt idx="54">
                  <c:v>407.52070961440199</c:v>
                </c:pt>
                <c:pt idx="55">
                  <c:v>418.111280635583</c:v>
                </c:pt>
                <c:pt idx="56">
                  <c:v>404.74601231464317</c:v>
                </c:pt>
                <c:pt idx="57">
                  <c:v>414.07746803367291</c:v>
                </c:pt>
                <c:pt idx="58">
                  <c:v>423.40438834448827</c:v>
                </c:pt>
                <c:pt idx="59">
                  <c:v>432.72688728097887</c:v>
                </c:pt>
                <c:pt idx="60">
                  <c:v>442.04507356097184</c:v>
                </c:pt>
                <c:pt idx="61">
                  <c:v>428.19216282497587</c:v>
                </c:pt>
                <c:pt idx="62">
                  <c:v>435.74946916782193</c:v>
                </c:pt>
                <c:pt idx="63">
                  <c:v>443.30396286956835</c:v>
                </c:pt>
                <c:pt idx="64">
                  <c:v>450.85569864825857</c:v>
                </c:pt>
                <c:pt idx="65">
                  <c:v>458.40472923839161</c:v>
                </c:pt>
                <c:pt idx="66">
                  <c:v>444.81452894376554</c:v>
                </c:pt>
                <c:pt idx="67">
                  <c:v>451.35905094331764</c:v>
                </c:pt>
                <c:pt idx="68">
                  <c:v>457.90154366445501</c:v>
                </c:pt>
                <c:pt idx="69">
                  <c:v>464.44204020997222</c:v>
                </c:pt>
                <c:pt idx="70">
                  <c:v>470.98057267368944</c:v>
                </c:pt>
                <c:pt idx="71">
                  <c:v>458.15313792689608</c:v>
                </c:pt>
                <c:pt idx="72">
                  <c:v>464.19051917095288</c:v>
                </c:pt>
                <c:pt idx="73">
                  <c:v>470.22622585165124</c:v>
                </c:pt>
                <c:pt idx="74">
                  <c:v>476.26028250970813</c:v>
                </c:pt>
                <c:pt idx="75">
                  <c:v>482.29271301286627</c:v>
                </c:pt>
                <c:pt idx="76">
                  <c:v>469.72331365057727</c:v>
                </c:pt>
                <c:pt idx="77">
                  <c:v>474.75192171830537</c:v>
                </c:pt>
                <c:pt idx="78">
                  <c:v>479.77939642240989</c:v>
                </c:pt>
                <c:pt idx="79">
                  <c:v>484.80575132371041</c:v>
                </c:pt>
                <c:pt idx="80">
                  <c:v>489.8309996786877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2.6519655211592874</c:v>
                </c:pt>
                <c:pt idx="2">
                  <c:v>3.2610223314459752</c:v>
                </c:pt>
                <c:pt idx="3">
                  <c:v>4.0104905158163051</c:v>
                </c:pt>
                <c:pt idx="4">
                  <c:v>4.9328564726428068</c:v>
                </c:pt>
                <c:pt idx="5">
                  <c:v>6.068147991440398</c:v>
                </c:pt>
                <c:pt idx="6">
                  <c:v>7.4656903389318279</c:v>
                </c:pt>
                <c:pt idx="7">
                  <c:v>9.1862724344194735</c:v>
                </c:pt>
                <c:pt idx="8">
                  <c:v>11.304819130811806</c:v>
                </c:pt>
                <c:pt idx="9">
                  <c:v>13.913688152008866</c:v>
                </c:pt>
                <c:pt idx="10">
                  <c:v>17.126738071781514</c:v>
                </c:pt>
                <c:pt idx="11">
                  <c:v>21.084348102790369</c:v>
                </c:pt>
                <c:pt idx="12">
                  <c:v>25.959612940843225</c:v>
                </c:pt>
                <c:pt idx="13">
                  <c:v>31.965988387315338</c:v>
                </c:pt>
                <c:pt idx="14">
                  <c:v>39.366728311080898</c:v>
                </c:pt>
                <c:pt idx="15">
                  <c:v>48.486533626988098</c:v>
                </c:pt>
                <c:pt idx="16">
                  <c:v>59.725932966858835</c:v>
                </c:pt>
                <c:pt idx="17">
                  <c:v>73.579037059713301</c:v>
                </c:pt>
                <c:pt idx="18">
                  <c:v>90.655460033245092</c:v>
                </c:pt>
                <c:pt idx="19">
                  <c:v>111.70738771533587</c:v>
                </c:pt>
                <c:pt idx="20">
                  <c:v>137.66300398229683</c:v>
                </c:pt>
                <c:pt idx="21">
                  <c:v>148.67510600285965</c:v>
                </c:pt>
                <c:pt idx="22">
                  <c:v>159.66774547880379</c:v>
                </c:pt>
                <c:pt idx="23">
                  <c:v>170.6424524976421</c:v>
                </c:pt>
                <c:pt idx="24">
                  <c:v>181.60054396431892</c:v>
                </c:pt>
                <c:pt idx="25">
                  <c:v>192.54316466070134</c:v>
                </c:pt>
                <c:pt idx="26">
                  <c:v>199.10173381956614</c:v>
                </c:pt>
                <c:pt idx="27">
                  <c:v>205.6552930879445</c:v>
                </c:pt>
                <c:pt idx="28">
                  <c:v>212.20402489757342</c:v>
                </c:pt>
                <c:pt idx="29">
                  <c:v>218.7480994824609</c:v>
                </c:pt>
                <c:pt idx="30">
                  <c:v>225.28767604319728</c:v>
                </c:pt>
                <c:pt idx="31">
                  <c:v>194.00106723848819</c:v>
                </c:pt>
                <c:pt idx="32">
                  <c:v>213.65866040016547</c:v>
                </c:pt>
                <c:pt idx="33">
                  <c:v>233.27460027305105</c:v>
                </c:pt>
                <c:pt idx="34">
                  <c:v>252.85288210026212</c:v>
                </c:pt>
                <c:pt idx="35">
                  <c:v>272.39683147829231</c:v>
                </c:pt>
                <c:pt idx="36">
                  <c:v>241.98049682860923</c:v>
                </c:pt>
                <c:pt idx="37">
                  <c:v>262.26703366253622</c:v>
                </c:pt>
                <c:pt idx="38">
                  <c:v>282.51816051208351</c:v>
                </c:pt>
                <c:pt idx="39">
                  <c:v>302.73677181781727</c:v>
                </c:pt>
                <c:pt idx="40">
                  <c:v>322.9253437945182</c:v>
                </c:pt>
                <c:pt idx="41">
                  <c:v>292.99240696074884</c:v>
                </c:pt>
                <c:pt idx="42">
                  <c:v>313.55567069110157</c:v>
                </c:pt>
                <c:pt idx="43">
                  <c:v>334.08903883374995</c:v>
                </c:pt>
                <c:pt idx="44">
                  <c:v>354.59460634776497</c:v>
                </c:pt>
                <c:pt idx="45">
                  <c:v>375.07420618051674</c:v>
                </c:pt>
                <c:pt idx="46">
                  <c:v>344.52504925832585</c:v>
                </c:pt>
                <c:pt idx="47">
                  <c:v>364.29860280650678</c:v>
                </c:pt>
                <c:pt idx="48">
                  <c:v>384.04871588248358</c:v>
                </c:pt>
                <c:pt idx="49">
                  <c:v>403.7767628901467</c:v>
                </c:pt>
                <c:pt idx="50">
                  <c:v>423.48397302905886</c:v>
                </c:pt>
                <c:pt idx="51">
                  <c:v>391.58377731754786</c:v>
                </c:pt>
                <c:pt idx="52">
                  <c:v>409.87025351058583</c:v>
                </c:pt>
                <c:pt idx="53">
                  <c:v>428.13911902505453</c:v>
                </c:pt>
                <c:pt idx="54">
                  <c:v>446.39123070522629</c:v>
                </c:pt>
                <c:pt idx="55">
                  <c:v>464.62736964269271</c:v>
                </c:pt>
                <c:pt idx="56">
                  <c:v>431.36127413252478</c:v>
                </c:pt>
                <c:pt idx="57">
                  <c:v>448.17978162908184</c:v>
                </c:pt>
                <c:pt idx="58">
                  <c:v>464.98478623960119</c:v>
                </c:pt>
                <c:pt idx="59">
                  <c:v>481.77684446495124</c:v>
                </c:pt>
                <c:pt idx="60">
                  <c:v>498.55647086626522</c:v>
                </c:pt>
                <c:pt idx="61">
                  <c:v>464.26994718146653</c:v>
                </c:pt>
                <c:pt idx="62">
                  <c:v>479.991054906535</c:v>
                </c:pt>
                <c:pt idx="63">
                  <c:v>495.70122118881301</c:v>
                </c:pt>
                <c:pt idx="64">
                  <c:v>511.40084148822433</c:v>
                </c:pt>
                <c:pt idx="65">
                  <c:v>527.09028501417185</c:v>
                </c:pt>
                <c:pt idx="66">
                  <c:v>491.77468328265195</c:v>
                </c:pt>
                <c:pt idx="67">
                  <c:v>506.40662874127946</c:v>
                </c:pt>
                <c:pt idx="68">
                  <c:v>521.02963842518261</c:v>
                </c:pt>
                <c:pt idx="69">
                  <c:v>535.64399835878714</c:v>
                </c:pt>
                <c:pt idx="70">
                  <c:v>550.24997769212462</c:v>
                </c:pt>
                <c:pt idx="71">
                  <c:v>513.89756085284444</c:v>
                </c:pt>
                <c:pt idx="72">
                  <c:v>527.44674775244664</c:v>
                </c:pt>
                <c:pt idx="73">
                  <c:v>540.9886077852442</c:v>
                </c:pt>
                <c:pt idx="74">
                  <c:v>554.52335013925483</c:v>
                </c:pt>
                <c:pt idx="75">
                  <c:v>568.05117296149115</c:v>
                </c:pt>
                <c:pt idx="76">
                  <c:v>531.01109674664531</c:v>
                </c:pt>
                <c:pt idx="77">
                  <c:v>543.83861192085692</c:v>
                </c:pt>
                <c:pt idx="78">
                  <c:v>556.65977724898164</c:v>
                </c:pt>
                <c:pt idx="79">
                  <c:v>569.47475955098787</c:v>
                </c:pt>
                <c:pt idx="80">
                  <c:v>582.2837175289161</c:v>
                </c:pt>
                <c:pt idx="81">
                  <c:v>544.19484035365804</c:v>
                </c:pt>
                <c:pt idx="82">
                  <c:v>555.94765399766152</c:v>
                </c:pt>
                <c:pt idx="83">
                  <c:v>567.69526466939362</c:v>
                </c:pt>
                <c:pt idx="84">
                  <c:v>579.43779518903841</c:v>
                </c:pt>
                <c:pt idx="85">
                  <c:v>591.17536299398319</c:v>
                </c:pt>
                <c:pt idx="86">
                  <c:v>602.90808047917335</c:v>
                </c:pt>
                <c:pt idx="87">
                  <c:v>614.63605530959728</c:v>
                </c:pt>
                <c:pt idx="88">
                  <c:v>626.35939070769734</c:v>
                </c:pt>
                <c:pt idx="89">
                  <c:v>638.07818571814732</c:v>
                </c:pt>
                <c:pt idx="90">
                  <c:v>649.7925354521783</c:v>
                </c:pt>
                <c:pt idx="91">
                  <c:v>560.93211702073984</c:v>
                </c:pt>
                <c:pt idx="92">
                  <c:v>571.61000006387792</c:v>
                </c:pt>
                <c:pt idx="93">
                  <c:v>582.28371752891633</c:v>
                </c:pt>
                <c:pt idx="94">
                  <c:v>592.95335652703091</c:v>
                </c:pt>
                <c:pt idx="95">
                  <c:v>603.61900077928919</c:v>
                </c:pt>
                <c:pt idx="96">
                  <c:v>614.2807308074224</c:v>
                </c:pt>
                <c:pt idx="97">
                  <c:v>624.93862411067175</c:v>
                </c:pt>
                <c:pt idx="98">
                  <c:v>635.59275532994286</c:v>
                </c:pt>
                <c:pt idx="99">
                  <c:v>646.24319640038755</c:v>
                </c:pt>
                <c:pt idx="100">
                  <c:v>656.89001669340792</c:v>
                </c:pt>
                <c:pt idx="101">
                  <c:v>566.62751179237523</c:v>
                </c:pt>
                <c:pt idx="102">
                  <c:v>575.87998196277533</c:v>
                </c:pt>
                <c:pt idx="103">
                  <c:v>585.12934986312951</c:v>
                </c:pt>
                <c:pt idx="104">
                  <c:v>594.37567144551747</c:v>
                </c:pt>
                <c:pt idx="105">
                  <c:v>603.61900077928908</c:v>
                </c:pt>
                <c:pt idx="106">
                  <c:v>612.85939014289386</c:v>
                </c:pt>
                <c:pt idx="107">
                  <c:v>622.09689010988598</c:v>
                </c:pt>
                <c:pt idx="108">
                  <c:v>631.33154962955416</c:v>
                </c:pt>
                <c:pt idx="109">
                  <c:v>640.56341610259176</c:v>
                </c:pt>
                <c:pt idx="110">
                  <c:v>649.79253545217807</c:v>
                </c:pt>
                <c:pt idx="111">
                  <c:v>567.16139348415561</c:v>
                </c:pt>
                <c:pt idx="112">
                  <c:v>575.16836435383357</c:v>
                </c:pt>
                <c:pt idx="113">
                  <c:v>583.17300871029317</c:v>
                </c:pt>
                <c:pt idx="114">
                  <c:v>591.17536299398319</c:v>
                </c:pt>
                <c:pt idx="115">
                  <c:v>599.17546257825995</c:v>
                </c:pt>
                <c:pt idx="116">
                  <c:v>607.17334181477224</c:v>
                </c:pt>
                <c:pt idx="117">
                  <c:v>615.16903407633311</c:v>
                </c:pt>
                <c:pt idx="118">
                  <c:v>623.16257179744514</c:v>
                </c:pt>
                <c:pt idx="119">
                  <c:v>631.15398651263911</c:v>
                </c:pt>
                <c:pt idx="120">
                  <c:v>639.14330889277028</c:v>
                </c:pt>
                <c:pt idx="121">
                  <c:v>1.4484243304663672E-12</c:v>
                </c:pt>
                <c:pt idx="122">
                  <c:v>1.4484243304663672E-12</c:v>
                </c:pt>
                <c:pt idx="123">
                  <c:v>1.4484243304663672E-12</c:v>
                </c:pt>
                <c:pt idx="124">
                  <c:v>1.4484243304663672E-12</c:v>
                </c:pt>
                <c:pt idx="125">
                  <c:v>1.4484243304663672E-12</c:v>
                </c:pt>
                <c:pt idx="126">
                  <c:v>1.4484243304663672E-12</c:v>
                </c:pt>
                <c:pt idx="127">
                  <c:v>1.4484243304663672E-12</c:v>
                </c:pt>
                <c:pt idx="128">
                  <c:v>1.4484243304663672E-12</c:v>
                </c:pt>
                <c:pt idx="129">
                  <c:v>1.4484243304663672E-12</c:v>
                </c:pt>
                <c:pt idx="130">
                  <c:v>1.4484243304663672E-12</c:v>
                </c:pt>
                <c:pt idx="131">
                  <c:v>1.4484243304663672E-12</c:v>
                </c:pt>
                <c:pt idx="132">
                  <c:v>1.4484243304663672E-12</c:v>
                </c:pt>
                <c:pt idx="133">
                  <c:v>1.4484243304663672E-12</c:v>
                </c:pt>
                <c:pt idx="134">
                  <c:v>1.4484243304663672E-12</c:v>
                </c:pt>
                <c:pt idx="135">
                  <c:v>1.4484243304663672E-12</c:v>
                </c:pt>
                <c:pt idx="136">
                  <c:v>1.4484243304663672E-12</c:v>
                </c:pt>
                <c:pt idx="137">
                  <c:v>1.4484243304663672E-12</c:v>
                </c:pt>
                <c:pt idx="138">
                  <c:v>1.4484243304663672E-12</c:v>
                </c:pt>
                <c:pt idx="139">
                  <c:v>1.4484243304663672E-12</c:v>
                </c:pt>
                <c:pt idx="140">
                  <c:v>1.4484243304663672E-12</c:v>
                </c:pt>
                <c:pt idx="141">
                  <c:v>1.4484243304663672E-12</c:v>
                </c:pt>
                <c:pt idx="142">
                  <c:v>1.4484243304663672E-12</c:v>
                </c:pt>
                <c:pt idx="143">
                  <c:v>1.4484243304663672E-12</c:v>
                </c:pt>
                <c:pt idx="144">
                  <c:v>1.4484243304663672E-12</c:v>
                </c:pt>
                <c:pt idx="145">
                  <c:v>1.4484243304663672E-12</c:v>
                </c:pt>
                <c:pt idx="146">
                  <c:v>1.4484243304663672E-12</c:v>
                </c:pt>
                <c:pt idx="147">
                  <c:v>1.4484243304663672E-12</c:v>
                </c:pt>
                <c:pt idx="148">
                  <c:v>1.4484243304663672E-12</c:v>
                </c:pt>
                <c:pt idx="149">
                  <c:v>1.4484243304663672E-12</c:v>
                </c:pt>
                <c:pt idx="150">
                  <c:v>1.4484243304663672E-12</c:v>
                </c:pt>
                <c:pt idx="151">
                  <c:v>1.4484243304663672E-12</c:v>
                </c:pt>
                <c:pt idx="152">
                  <c:v>1.4484243304663672E-12</c:v>
                </c:pt>
                <c:pt idx="153">
                  <c:v>1.4484243304663672E-12</c:v>
                </c:pt>
                <c:pt idx="154">
                  <c:v>1.4484243304663672E-12</c:v>
                </c:pt>
                <c:pt idx="155">
                  <c:v>1.4484243304663672E-12</c:v>
                </c:pt>
                <c:pt idx="156">
                  <c:v>1.4484243304663672E-12</c:v>
                </c:pt>
                <c:pt idx="157">
                  <c:v>1.4484243304663672E-12</c:v>
                </c:pt>
                <c:pt idx="158">
                  <c:v>1.4484243304663672E-12</c:v>
                </c:pt>
                <c:pt idx="159">
                  <c:v>1.4484243304663672E-12</c:v>
                </c:pt>
                <c:pt idx="160">
                  <c:v>1.4484243304663672E-12</c:v>
                </c:pt>
                <c:pt idx="161">
                  <c:v>1.4484243304663672E-12</c:v>
                </c:pt>
                <c:pt idx="162">
                  <c:v>1.4484243304663672E-12</c:v>
                </c:pt>
                <c:pt idx="163">
                  <c:v>1.4484243304663672E-12</c:v>
                </c:pt>
                <c:pt idx="164">
                  <c:v>1.4484243304663672E-12</c:v>
                </c:pt>
                <c:pt idx="165">
                  <c:v>1.4484243304663672E-12</c:v>
                </c:pt>
                <c:pt idx="166">
                  <c:v>1.4484243304663672E-12</c:v>
                </c:pt>
                <c:pt idx="167">
                  <c:v>1.4484243304663672E-12</c:v>
                </c:pt>
                <c:pt idx="168">
                  <c:v>1.4484243304663672E-12</c:v>
                </c:pt>
                <c:pt idx="169">
                  <c:v>1.4484243304663672E-12</c:v>
                </c:pt>
                <c:pt idx="170">
                  <c:v>1.4484243304663672E-12</c:v>
                </c:pt>
                <c:pt idx="171">
                  <c:v>1.4484243304663672E-12</c:v>
                </c:pt>
                <c:pt idx="172">
                  <c:v>1.4484243304663672E-12</c:v>
                </c:pt>
                <c:pt idx="173">
                  <c:v>1.4484243304663672E-12</c:v>
                </c:pt>
                <c:pt idx="174">
                  <c:v>1.4484243304663672E-12</c:v>
                </c:pt>
                <c:pt idx="175">
                  <c:v>1.4484243304663672E-12</c:v>
                </c:pt>
                <c:pt idx="176">
                  <c:v>1.4484243304663672E-12</c:v>
                </c:pt>
                <c:pt idx="177">
                  <c:v>1.4484243304663672E-12</c:v>
                </c:pt>
                <c:pt idx="178">
                  <c:v>1.4484243304663672E-12</c:v>
                </c:pt>
                <c:pt idx="179">
                  <c:v>1.4484243304663672E-12</c:v>
                </c:pt>
                <c:pt idx="180">
                  <c:v>1.4484243304663672E-12</c:v>
                </c:pt>
                <c:pt idx="181">
                  <c:v>1.4484243304663672E-12</c:v>
                </c:pt>
                <c:pt idx="182">
                  <c:v>1.4484243304663672E-12</c:v>
                </c:pt>
                <c:pt idx="183">
                  <c:v>1.4484243304663672E-12</c:v>
                </c:pt>
                <c:pt idx="184">
                  <c:v>1.4484243304663672E-12</c:v>
                </c:pt>
                <c:pt idx="185">
                  <c:v>1.4484243304663672E-12</c:v>
                </c:pt>
                <c:pt idx="186">
                  <c:v>1.4484243304663672E-12</c:v>
                </c:pt>
                <c:pt idx="187">
                  <c:v>1.4484243304663672E-12</c:v>
                </c:pt>
                <c:pt idx="188">
                  <c:v>1.4484243304663672E-12</c:v>
                </c:pt>
                <c:pt idx="189">
                  <c:v>1.4484243304663672E-12</c:v>
                </c:pt>
                <c:pt idx="190">
                  <c:v>1.4484243304663672E-12</c:v>
                </c:pt>
                <c:pt idx="191">
                  <c:v>1.4484243304663672E-12</c:v>
                </c:pt>
                <c:pt idx="192">
                  <c:v>1.4484243304663672E-12</c:v>
                </c:pt>
                <c:pt idx="193">
                  <c:v>1.4484243304663672E-12</c:v>
                </c:pt>
                <c:pt idx="194">
                  <c:v>1.4484243304663672E-12</c:v>
                </c:pt>
                <c:pt idx="195">
                  <c:v>1.4484243304663672E-12</c:v>
                </c:pt>
                <c:pt idx="196">
                  <c:v>1.4484243304663672E-12</c:v>
                </c:pt>
                <c:pt idx="197">
                  <c:v>1.4484243304663672E-12</c:v>
                </c:pt>
                <c:pt idx="198">
                  <c:v>1.4484243304663672E-12</c:v>
                </c:pt>
                <c:pt idx="199">
                  <c:v>1.4484243304663672E-12</c:v>
                </c:pt>
                <c:pt idx="200">
                  <c:v>1.4484243304663672E-12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178.11868194628323</c:v>
                </c:pt>
                <c:pt idx="22">
                  <c:v>191.29429384952866</c:v>
                </c:pt>
                <c:pt idx="23">
                  <c:v>204.4487812295192</c:v>
                </c:pt>
                <c:pt idx="24">
                  <c:v>217.58369540679928</c:v>
                </c:pt>
                <c:pt idx="25">
                  <c:v>230.70038494007625</c:v>
                </c:pt>
                <c:pt idx="26">
                  <c:v>238.56214878630877</c:v>
                </c:pt>
                <c:pt idx="27">
                  <c:v>246.4180109567441</c:v>
                </c:pt>
                <c:pt idx="28">
                  <c:v>254.26818635687155</c:v>
                </c:pt>
                <c:pt idx="29">
                  <c:v>262.11287552319567</c:v>
                </c:pt>
                <c:pt idx="30">
                  <c:v>269.95226599479992</c:v>
                </c:pt>
                <c:pt idx="31">
                  <c:v>232.44796515158791</c:v>
                </c:pt>
                <c:pt idx="32">
                  <c:v>256.01191793762843</c:v>
                </c:pt>
                <c:pt idx="33">
                  <c:v>279.52680294324551</c:v>
                </c:pt>
                <c:pt idx="34">
                  <c:v>302.9973265846117</c:v>
                </c:pt>
                <c:pt idx="35">
                  <c:v>326.42740643086165</c:v>
                </c:pt>
                <c:pt idx="36">
                  <c:v>289.96337472940411</c:v>
                </c:pt>
                <c:pt idx="37">
                  <c:v>314.28330815365291</c:v>
                </c:pt>
                <c:pt idx="38">
                  <c:v>338.56152844098648</c:v>
                </c:pt>
                <c:pt idx="39">
                  <c:v>362.80144525672222</c:v>
                </c:pt>
                <c:pt idx="40">
                  <c:v>387.00597559413154</c:v>
                </c:pt>
                <c:pt idx="41">
                  <c:v>351.11892985232754</c:v>
                </c:pt>
                <c:pt idx="42">
                  <c:v>375.77238986983872</c:v>
                </c:pt>
                <c:pt idx="43">
                  <c:v>400.39063273702004</c:v>
                </c:pt>
                <c:pt idx="44">
                  <c:v>424.97612632602932</c:v>
                </c:pt>
                <c:pt idx="45">
                  <c:v>449.53102985794368</c:v>
                </c:pt>
                <c:pt idx="46">
                  <c:v>412.90299192267588</c:v>
                </c:pt>
                <c:pt idx="47">
                  <c:v>436.61108755732994</c:v>
                </c:pt>
                <c:pt idx="48">
                  <c:v>460.29157019967289</c:v>
                </c:pt>
                <c:pt idx="49">
                  <c:v>483.94605890429244</c:v>
                </c:pt>
                <c:pt idx="50">
                  <c:v>507.5760016743593</c:v>
                </c:pt>
                <c:pt idx="51">
                  <c:v>469.32626959947999</c:v>
                </c:pt>
                <c:pt idx="52">
                  <c:v>491.25241699045142</c:v>
                </c:pt>
                <c:pt idx="53">
                  <c:v>513.15781891487734</c:v>
                </c:pt>
                <c:pt idx="54">
                  <c:v>535.04348473955281</c:v>
                </c:pt>
                <c:pt idx="55">
                  <c:v>556.91033459423932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577.47446592353504</c:v>
                </c:pt>
                <c:pt idx="60">
                  <c:v>597.59537304263756</c:v>
                </c:pt>
                <c:pt idx="61">
                  <c:v>556.48174822611566</c:v>
                </c:pt>
                <c:pt idx="62">
                  <c:v>575.333092286274</c:v>
                </c:pt>
                <c:pt idx="63">
                  <c:v>594.17154727265404</c:v>
                </c:pt>
                <c:pt idx="64">
                  <c:v>612.99757903900309</c:v>
                </c:pt>
                <c:pt idx="65">
                  <c:v>631.81162251582634</c:v>
                </c:pt>
                <c:pt idx="66">
                  <c:v>589.46311584770126</c:v>
                </c:pt>
                <c:pt idx="67">
                  <c:v>607.00879854794744</c:v>
                </c:pt>
                <c:pt idx="68">
                  <c:v>624.54395486132705</c:v>
                </c:pt>
                <c:pt idx="69">
                  <c:v>642.06892172602966</c:v>
                </c:pt>
                <c:pt idx="70">
                  <c:v>659.58401620212533</c:v>
                </c:pt>
                <c:pt idx="71">
                  <c:v>615.99151338618651</c:v>
                </c:pt>
                <c:pt idx="72">
                  <c:v>632.23907832556165</c:v>
                </c:pt>
                <c:pt idx="73">
                  <c:v>648.47801217956487</c:v>
                </c:pt>
                <c:pt idx="74">
                  <c:v>664.70856137271744</c:v>
                </c:pt>
                <c:pt idx="75">
                  <c:v>680.93095932318113</c:v>
                </c:pt>
                <c:pt idx="76">
                  <c:v>636.51330847982445</c:v>
                </c:pt>
                <c:pt idx="77">
                  <c:v>651.89565867529109</c:v>
                </c:pt>
                <c:pt idx="78">
                  <c:v>667.27052872062904</c:v>
                </c:pt>
                <c:pt idx="79">
                  <c:v>682.63811513058749</c:v>
                </c:pt>
                <c:pt idx="80">
                  <c:v>697.99860485695478</c:v>
                </c:pt>
                <c:pt idx="81">
                  <c:v>652.32283847201813</c:v>
                </c:pt>
                <c:pt idx="82">
                  <c:v>666.41656212645091</c:v>
                </c:pt>
                <c:pt idx="83">
                  <c:v>680.50415665378762</c:v>
                </c:pt>
                <c:pt idx="84">
                  <c:v>694.58576673681353</c:v>
                </c:pt>
                <c:pt idx="85">
                  <c:v>708.661530717353</c:v>
                </c:pt>
                <c:pt idx="86">
                  <c:v>722.73158099720615</c:v>
                </c:pt>
                <c:pt idx="87">
                  <c:v>736.79604440626429</c:v>
                </c:pt>
                <c:pt idx="88">
                  <c:v>750.85504254107491</c:v>
                </c:pt>
                <c:pt idx="89">
                  <c:v>764.90869207675416</c:v>
                </c:pt>
                <c:pt idx="90">
                  <c:v>778.95710505480326</c:v>
                </c:pt>
                <c:pt idx="91">
                  <c:v>672.39385739452064</c:v>
                </c:pt>
                <c:pt idx="92">
                  <c:v>685.19868466155049</c:v>
                </c:pt>
                <c:pt idx="93">
                  <c:v>697.99860485695535</c:v>
                </c:pt>
                <c:pt idx="94">
                  <c:v>710.79372059813147</c:v>
                </c:pt>
                <c:pt idx="95">
                  <c:v>723.58413050891011</c:v>
                </c:pt>
                <c:pt idx="96">
                  <c:v>736.36992944429039</c:v>
                </c:pt>
                <c:pt idx="97">
                  <c:v>749.15120869876171</c:v>
                </c:pt>
                <c:pt idx="98">
                  <c:v>761.92805619968021</c:v>
                </c:pt>
                <c:pt idx="99">
                  <c:v>774.70055668701161</c:v>
                </c:pt>
                <c:pt idx="100">
                  <c:v>787.4687918806103</c:v>
                </c:pt>
                <c:pt idx="101">
                  <c:v>679.22371566061418</c:v>
                </c:pt>
                <c:pt idx="102">
                  <c:v>690.31923574953782</c:v>
                </c:pt>
                <c:pt idx="103">
                  <c:v>701.41110134898815</c:v>
                </c:pt>
                <c:pt idx="104">
                  <c:v>712.49937837079142</c:v>
                </c:pt>
                <c:pt idx="105">
                  <c:v>723.58413050891011</c:v>
                </c:pt>
                <c:pt idx="106">
                  <c:v>734.66541934761642</c:v>
                </c:pt>
                <c:pt idx="107">
                  <c:v>745.74330446280726</c:v>
                </c:pt>
                <c:pt idx="108">
                  <c:v>756.81784351698741</c:v>
                </c:pt>
                <c:pt idx="109">
                  <c:v>767.88909234840855</c:v>
                </c:pt>
                <c:pt idx="110">
                  <c:v>778.95710505480292</c:v>
                </c:pt>
                <c:pt idx="111">
                  <c:v>679.86394234558054</c:v>
                </c:pt>
                <c:pt idx="112">
                  <c:v>689.46586480458461</c:v>
                </c:pt>
                <c:pt idx="113">
                  <c:v>699.06504661949918</c:v>
                </c:pt>
                <c:pt idx="114">
                  <c:v>708.661530717353</c:v>
                </c:pt>
                <c:pt idx="115">
                  <c:v>718.25535876813422</c:v>
                </c:pt>
                <c:pt idx="116">
                  <c:v>727.84657123825627</c:v>
                </c:pt>
                <c:pt idx="117">
                  <c:v>737.43520744105774</c:v>
                </c:pt>
                <c:pt idx="118">
                  <c:v>747.02130558454337</c:v>
                </c:pt>
                <c:pt idx="119">
                  <c:v>756.60490281654677</c:v>
                </c:pt>
                <c:pt idx="120">
                  <c:v>766.18603526748632</c:v>
                </c:pt>
                <c:pt idx="121">
                  <c:v>1.708394296311803E-12</c:v>
                </c:pt>
                <c:pt idx="122">
                  <c:v>1.708394296311803E-12</c:v>
                </c:pt>
                <c:pt idx="123">
                  <c:v>1.708394296311803E-12</c:v>
                </c:pt>
                <c:pt idx="124">
                  <c:v>1.708394296311803E-12</c:v>
                </c:pt>
                <c:pt idx="125">
                  <c:v>1.708394296311803E-12</c:v>
                </c:pt>
                <c:pt idx="126">
                  <c:v>1.708394296311803E-12</c:v>
                </c:pt>
                <c:pt idx="127">
                  <c:v>1.708394296311803E-12</c:v>
                </c:pt>
                <c:pt idx="128">
                  <c:v>1.708394296311803E-12</c:v>
                </c:pt>
                <c:pt idx="129">
                  <c:v>1.708394296311803E-12</c:v>
                </c:pt>
                <c:pt idx="130">
                  <c:v>1.708394296311803E-12</c:v>
                </c:pt>
                <c:pt idx="131">
                  <c:v>1.708394296311803E-12</c:v>
                </c:pt>
                <c:pt idx="132">
                  <c:v>1.708394296311803E-12</c:v>
                </c:pt>
                <c:pt idx="133">
                  <c:v>1.708394296311803E-12</c:v>
                </c:pt>
                <c:pt idx="134">
                  <c:v>1.708394296311803E-12</c:v>
                </c:pt>
                <c:pt idx="135">
                  <c:v>1.708394296311803E-12</c:v>
                </c:pt>
                <c:pt idx="136">
                  <c:v>1.708394296311803E-12</c:v>
                </c:pt>
                <c:pt idx="137">
                  <c:v>1.708394296311803E-12</c:v>
                </c:pt>
                <c:pt idx="138">
                  <c:v>1.708394296311803E-12</c:v>
                </c:pt>
                <c:pt idx="139">
                  <c:v>1.708394296311803E-12</c:v>
                </c:pt>
                <c:pt idx="140">
                  <c:v>1.708394296311803E-12</c:v>
                </c:pt>
                <c:pt idx="141">
                  <c:v>1.708394296311803E-12</c:v>
                </c:pt>
                <c:pt idx="142">
                  <c:v>1.708394296311803E-12</c:v>
                </c:pt>
                <c:pt idx="143">
                  <c:v>1.708394296311803E-12</c:v>
                </c:pt>
                <c:pt idx="144">
                  <c:v>1.708394296311803E-12</c:v>
                </c:pt>
                <c:pt idx="145">
                  <c:v>1.708394296311803E-12</c:v>
                </c:pt>
                <c:pt idx="146">
                  <c:v>1.708394296311803E-12</c:v>
                </c:pt>
                <c:pt idx="147">
                  <c:v>1.708394296311803E-12</c:v>
                </c:pt>
                <c:pt idx="148">
                  <c:v>1.708394296311803E-12</c:v>
                </c:pt>
                <c:pt idx="149">
                  <c:v>1.708394296311803E-12</c:v>
                </c:pt>
                <c:pt idx="150">
                  <c:v>1.708394296311803E-12</c:v>
                </c:pt>
                <c:pt idx="151">
                  <c:v>1.708394296311803E-12</c:v>
                </c:pt>
                <c:pt idx="152">
                  <c:v>1.708394296311803E-12</c:v>
                </c:pt>
                <c:pt idx="153">
                  <c:v>1.708394296311803E-12</c:v>
                </c:pt>
                <c:pt idx="154">
                  <c:v>1.708394296311803E-12</c:v>
                </c:pt>
                <c:pt idx="155">
                  <c:v>1.708394296311803E-12</c:v>
                </c:pt>
                <c:pt idx="156">
                  <c:v>1.708394296311803E-12</c:v>
                </c:pt>
                <c:pt idx="157">
                  <c:v>1.708394296311803E-12</c:v>
                </c:pt>
                <c:pt idx="158">
                  <c:v>1.708394296311803E-12</c:v>
                </c:pt>
                <c:pt idx="159">
                  <c:v>1.708394296311803E-12</c:v>
                </c:pt>
                <c:pt idx="160">
                  <c:v>1.708394296311803E-12</c:v>
                </c:pt>
                <c:pt idx="161">
                  <c:v>1.708394296311803E-12</c:v>
                </c:pt>
                <c:pt idx="162">
                  <c:v>1.708394296311803E-12</c:v>
                </c:pt>
                <c:pt idx="163">
                  <c:v>1.708394296311803E-12</c:v>
                </c:pt>
                <c:pt idx="164">
                  <c:v>1.708394296311803E-12</c:v>
                </c:pt>
                <c:pt idx="165">
                  <c:v>1.708394296311803E-12</c:v>
                </c:pt>
                <c:pt idx="166">
                  <c:v>1.708394296311803E-12</c:v>
                </c:pt>
                <c:pt idx="167">
                  <c:v>1.708394296311803E-12</c:v>
                </c:pt>
                <c:pt idx="168">
                  <c:v>1.708394296311803E-12</c:v>
                </c:pt>
                <c:pt idx="169">
                  <c:v>1.708394296311803E-12</c:v>
                </c:pt>
                <c:pt idx="170">
                  <c:v>1.708394296311803E-12</c:v>
                </c:pt>
                <c:pt idx="171">
                  <c:v>1.708394296311803E-12</c:v>
                </c:pt>
                <c:pt idx="172">
                  <c:v>1.708394296311803E-12</c:v>
                </c:pt>
                <c:pt idx="173">
                  <c:v>1.708394296311803E-12</c:v>
                </c:pt>
                <c:pt idx="174">
                  <c:v>1.708394296311803E-12</c:v>
                </c:pt>
                <c:pt idx="175">
                  <c:v>1.708394296311803E-12</c:v>
                </c:pt>
                <c:pt idx="176">
                  <c:v>1.708394296311803E-12</c:v>
                </c:pt>
                <c:pt idx="177">
                  <c:v>1.708394296311803E-12</c:v>
                </c:pt>
                <c:pt idx="178">
                  <c:v>1.708394296311803E-12</c:v>
                </c:pt>
                <c:pt idx="179">
                  <c:v>1.708394296311803E-12</c:v>
                </c:pt>
                <c:pt idx="180">
                  <c:v>1.708394296311803E-12</c:v>
                </c:pt>
                <c:pt idx="181">
                  <c:v>1.708394296311803E-12</c:v>
                </c:pt>
                <c:pt idx="182">
                  <c:v>1.708394296311803E-12</c:v>
                </c:pt>
                <c:pt idx="183">
                  <c:v>1.708394296311803E-12</c:v>
                </c:pt>
                <c:pt idx="184">
                  <c:v>1.708394296311803E-12</c:v>
                </c:pt>
                <c:pt idx="185">
                  <c:v>1.708394296311803E-12</c:v>
                </c:pt>
                <c:pt idx="186">
                  <c:v>1.708394296311803E-12</c:v>
                </c:pt>
                <c:pt idx="187">
                  <c:v>1.708394296311803E-12</c:v>
                </c:pt>
                <c:pt idx="188">
                  <c:v>1.708394296311803E-12</c:v>
                </c:pt>
                <c:pt idx="189">
                  <c:v>1.708394296311803E-12</c:v>
                </c:pt>
                <c:pt idx="190">
                  <c:v>1.708394296311803E-12</c:v>
                </c:pt>
                <c:pt idx="191">
                  <c:v>1.708394296311803E-12</c:v>
                </c:pt>
                <c:pt idx="192">
                  <c:v>1.708394296311803E-12</c:v>
                </c:pt>
                <c:pt idx="193">
                  <c:v>1.708394296311803E-12</c:v>
                </c:pt>
                <c:pt idx="194">
                  <c:v>1.708394296311803E-12</c:v>
                </c:pt>
                <c:pt idx="195">
                  <c:v>1.708394296311803E-12</c:v>
                </c:pt>
                <c:pt idx="196">
                  <c:v>1.708394296311803E-12</c:v>
                </c:pt>
                <c:pt idx="197">
                  <c:v>1.708394296311803E-12</c:v>
                </c:pt>
                <c:pt idx="198">
                  <c:v>1.708394296311803E-12</c:v>
                </c:pt>
                <c:pt idx="199">
                  <c:v>1.708394296311803E-12</c:v>
                </c:pt>
                <c:pt idx="200">
                  <c:v>1.708394296311803E-12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2.2999352776840598</c:v>
                </c:pt>
                <c:pt idx="2">
                  <c:v>3.0542964343687884</c:v>
                </c:pt>
                <c:pt idx="3">
                  <c:v>4.0571027961893833</c:v>
                </c:pt>
                <c:pt idx="4">
                  <c:v>5.3904951439042428</c:v>
                </c:pt>
                <c:pt idx="5">
                  <c:v>7.1638693726092955</c:v>
                </c:pt>
                <c:pt idx="6">
                  <c:v>9.5229500962251041</c:v>
                </c:pt>
                <c:pt idx="7">
                  <c:v>12.661894206823819</c:v>
                </c:pt>
                <c:pt idx="8">
                  <c:v>16.839439003248639</c:v>
                </c:pt>
                <c:pt idx="9">
                  <c:v>22.400450117584857</c:v>
                </c:pt>
                <c:pt idx="10">
                  <c:v>29.804679689998366</c:v>
                </c:pt>
                <c:pt idx="11">
                  <c:v>41.317521939592524</c:v>
                </c:pt>
                <c:pt idx="12">
                  <c:v>63.20800396722894</c:v>
                </c:pt>
                <c:pt idx="13">
                  <c:v>84.898706575488632</c:v>
                </c:pt>
                <c:pt idx="14">
                  <c:v>106.44872103982642</c:v>
                </c:pt>
                <c:pt idx="15">
                  <c:v>127.89076379214985</c:v>
                </c:pt>
                <c:pt idx="16">
                  <c:v>89.632636103290352</c:v>
                </c:pt>
                <c:pt idx="17">
                  <c:v>113.21493371581612</c:v>
                </c:pt>
                <c:pt idx="18">
                  <c:v>136.67634522884143</c:v>
                </c:pt>
                <c:pt idx="19">
                  <c:v>160.04062964847932</c:v>
                </c:pt>
                <c:pt idx="20">
                  <c:v>183.32399225800427</c:v>
                </c:pt>
                <c:pt idx="21">
                  <c:v>146.61696480780643</c:v>
                </c:pt>
                <c:pt idx="22">
                  <c:v>171.10951614287214</c:v>
                </c:pt>
                <c:pt idx="23">
                  <c:v>195.5194448326491</c:v>
                </c:pt>
                <c:pt idx="24">
                  <c:v>219.85852553656548</c:v>
                </c:pt>
                <c:pt idx="25">
                  <c:v>244.13570624979198</c:v>
                </c:pt>
                <c:pt idx="26">
                  <c:v>207.11771656527881</c:v>
                </c:pt>
                <c:pt idx="27">
                  <c:v>230.84826880073933</c:v>
                </c:pt>
                <c:pt idx="28">
                  <c:v>254.52305628500753</c:v>
                </c:pt>
                <c:pt idx="29">
                  <c:v>278.1479941736672</c:v>
                </c:pt>
                <c:pt idx="30">
                  <c:v>301.72791008451264</c:v>
                </c:pt>
                <c:pt idx="31">
                  <c:v>263.17183371378781</c:v>
                </c:pt>
                <c:pt idx="32">
                  <c:v>285.05390064654028</c:v>
                </c:pt>
                <c:pt idx="33">
                  <c:v>306.89837346468795</c:v>
                </c:pt>
                <c:pt idx="34">
                  <c:v>328.70830305462459</c:v>
                </c:pt>
                <c:pt idx="35">
                  <c:v>350.48630242966351</c:v>
                </c:pt>
                <c:pt idx="36">
                  <c:v>309.19573362623765</c:v>
                </c:pt>
                <c:pt idx="37">
                  <c:v>328.13477724523256</c:v>
                </c:pt>
                <c:pt idx="38">
                  <c:v>347.04969773123526</c:v>
                </c:pt>
                <c:pt idx="39">
                  <c:v>365.94199430788308</c:v>
                </c:pt>
                <c:pt idx="40">
                  <c:v>384.81299880518822</c:v>
                </c:pt>
                <c:pt idx="41">
                  <c:v>343.89882034741709</c:v>
                </c:pt>
                <c:pt idx="42">
                  <c:v>360.21936255423617</c:v>
                </c:pt>
                <c:pt idx="43">
                  <c:v>376.52373693698843</c:v>
                </c:pt>
                <c:pt idx="44">
                  <c:v>392.81274199759076</c:v>
                </c:pt>
                <c:pt idx="45">
                  <c:v>409.08710462349296</c:v>
                </c:pt>
                <c:pt idx="46">
                  <c:v>385.95603867315384</c:v>
                </c:pt>
                <c:pt idx="47">
                  <c:v>399.95238247192304</c:v>
                </c:pt>
                <c:pt idx="48">
                  <c:v>413.93812717251495</c:v>
                </c:pt>
                <c:pt idx="49">
                  <c:v>427.91368129854658</c:v>
                </c:pt>
                <c:pt idx="50">
                  <c:v>441.87942451482218</c:v>
                </c:pt>
                <c:pt idx="51">
                  <c:v>423.92168304087505</c:v>
                </c:pt>
                <c:pt idx="52">
                  <c:v>435.89528407935273</c:v>
                </c:pt>
                <c:pt idx="53">
                  <c:v>447.86182820601556</c:v>
                </c:pt>
                <c:pt idx="54">
                  <c:v>459.82153055595586</c:v>
                </c:pt>
                <c:pt idx="55">
                  <c:v>471.77459416013545</c:v>
                </c:pt>
                <c:pt idx="56">
                  <c:v>456.68987728025746</c:v>
                </c:pt>
                <c:pt idx="57">
                  <c:v>467.22181647445228</c:v>
                </c:pt>
                <c:pt idx="58">
                  <c:v>477.74869681257422</c:v>
                </c:pt>
                <c:pt idx="59">
                  <c:v>488.27064548957588</c:v>
                </c:pt>
                <c:pt idx="60">
                  <c:v>498.78778377080289</c:v>
                </c:pt>
                <c:pt idx="61">
                  <c:v>483.15246787827937</c:v>
                </c:pt>
                <c:pt idx="62">
                  <c:v>491.68213062047835</c:v>
                </c:pt>
                <c:pt idx="63">
                  <c:v>500.2086561044996</c:v>
                </c:pt>
                <c:pt idx="64">
                  <c:v>508.73210536359443</c:v>
                </c:pt>
                <c:pt idx="65">
                  <c:v>517.25253721854074</c:v>
                </c:pt>
                <c:pt idx="66">
                  <c:v>501.91359014094843</c:v>
                </c:pt>
                <c:pt idx="67">
                  <c:v>509.30022739028874</c:v>
                </c:pt>
                <c:pt idx="68">
                  <c:v>516.68460115485652</c:v>
                </c:pt>
                <c:pt idx="69">
                  <c:v>524.06674835795855</c:v>
                </c:pt>
                <c:pt idx="70">
                  <c:v>531.44670479747958</c:v>
                </c:pt>
                <c:pt idx="71">
                  <c:v>516.96857083246095</c:v>
                </c:pt>
                <c:pt idx="72">
                  <c:v>523.78286035475526</c:v>
                </c:pt>
                <c:pt idx="73">
                  <c:v>530.5952820462802</c:v>
                </c:pt>
                <c:pt idx="74">
                  <c:v>537.40586328008555</c:v>
                </c:pt>
                <c:pt idx="75">
                  <c:v>544.21463067857633</c:v>
                </c:pt>
                <c:pt idx="76">
                  <c:v>530.02765090640889</c:v>
                </c:pt>
                <c:pt idx="77">
                  <c:v>535.70338904609127</c:v>
                </c:pt>
                <c:pt idx="78">
                  <c:v>541.37786301655638</c:v>
                </c:pt>
                <c:pt idx="79">
                  <c:v>547.05108794372779</c:v>
                </c:pt>
                <c:pt idx="80">
                  <c:v>552.72307861406443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2.2484083617422774</c:v>
                </c:pt>
                <c:pt idx="2">
                  <c:v>2.9858086378882205</c:v>
                </c:pt>
                <c:pt idx="3">
                  <c:v>3.966049385322425</c:v>
                </c:pt>
                <c:pt idx="4">
                  <c:v>5.2694125595905703</c:v>
                </c:pt>
                <c:pt idx="5">
                  <c:v>7.0028166718675555</c:v>
                </c:pt>
                <c:pt idx="6">
                  <c:v>9.308683920204837</c:v>
                </c:pt>
                <c:pt idx="7">
                  <c:v>12.376768160861985</c:v>
                </c:pt>
                <c:pt idx="8">
                  <c:v>16.45993513943974</c:v>
                </c:pt>
                <c:pt idx="9">
                  <c:v>21.895219213522427</c:v>
                </c:pt>
                <c:pt idx="10">
                  <c:v>29.131925588483782</c:v>
                </c:pt>
                <c:pt idx="11">
                  <c:v>40.38408275654303</c:v>
                </c:pt>
                <c:pt idx="12">
                  <c:v>61.778431447211325</c:v>
                </c:pt>
                <c:pt idx="13">
                  <c:v>82.977111558343836</c:v>
                </c:pt>
                <c:pt idx="14">
                  <c:v>104.03799845051206</c:v>
                </c:pt>
                <c:pt idx="15">
                  <c:v>124.99313535308771</c:v>
                </c:pt>
                <c:pt idx="16">
                  <c:v>87.603616131814988</c:v>
                </c:pt>
                <c:pt idx="17">
                  <c:v>110.65058636488233</c:v>
                </c:pt>
                <c:pt idx="18">
                  <c:v>133.57915795884722</c:v>
                </c:pt>
                <c:pt idx="19">
                  <c:v>156.41260103328369</c:v>
                </c:pt>
                <c:pt idx="20">
                  <c:v>179.16678741707778</c:v>
                </c:pt>
                <c:pt idx="21">
                  <c:v>143.2939477623888</c:v>
                </c:pt>
                <c:pt idx="22">
                  <c:v>167.22993767644604</c:v>
                </c:pt>
                <c:pt idx="23">
                  <c:v>191.08500506258926</c:v>
                </c:pt>
                <c:pt idx="24">
                  <c:v>214.87068229433348</c:v>
                </c:pt>
                <c:pt idx="25">
                  <c:v>238.59573324490532</c:v>
                </c:pt>
                <c:pt idx="26">
                  <c:v>202.41958191649721</c:v>
                </c:pt>
                <c:pt idx="27">
                  <c:v>225.61050422909818</c:v>
                </c:pt>
                <c:pt idx="28">
                  <c:v>248.7468092558544</c:v>
                </c:pt>
                <c:pt idx="29">
                  <c:v>271.83429043682327</c:v>
                </c:pt>
                <c:pt idx="30">
                  <c:v>294.87767605242163</c:v>
                </c:pt>
                <c:pt idx="31">
                  <c:v>257.19884285520715</c:v>
                </c:pt>
                <c:pt idx="32">
                  <c:v>278.58307172178723</c:v>
                </c:pt>
                <c:pt idx="33">
                  <c:v>299.93048004385565</c:v>
                </c:pt>
                <c:pt idx="34">
                  <c:v>321.24405593004218</c:v>
                </c:pt>
                <c:pt idx="35">
                  <c:v>342.52635862596304</c:v>
                </c:pt>
                <c:pt idx="36">
                  <c:v>302.17555997473158</c:v>
                </c:pt>
                <c:pt idx="37">
                  <c:v>320.6835834239742</c:v>
                </c:pt>
                <c:pt idx="38">
                  <c:v>339.16798011936345</c:v>
                </c:pt>
                <c:pt idx="39">
                  <c:v>357.63021843517191</c:v>
                </c:pt>
                <c:pt idx="40">
                  <c:v>376.07160279648701</c:v>
                </c:pt>
                <c:pt idx="41">
                  <c:v>336.08882358493884</c:v>
                </c:pt>
                <c:pt idx="42">
                  <c:v>352.0378599039052</c:v>
                </c:pt>
                <c:pt idx="43">
                  <c:v>367.97106108239922</c:v>
                </c:pt>
                <c:pt idx="44">
                  <c:v>383.88920919164838</c:v>
                </c:pt>
                <c:pt idx="45">
                  <c:v>399.79301616201747</c:v>
                </c:pt>
                <c:pt idx="46">
                  <c:v>377.18861860717419</c:v>
                </c:pt>
                <c:pt idx="47">
                  <c:v>390.86628899650509</c:v>
                </c:pt>
                <c:pt idx="48">
                  <c:v>404.5335783841735</c:v>
                </c:pt>
                <c:pt idx="49">
                  <c:v>418.19088688764913</c:v>
                </c:pt>
                <c:pt idx="50">
                  <c:v>431.83858635941419</c:v>
                </c:pt>
                <c:pt idx="51">
                  <c:v>414.28979501974959</c:v>
                </c:pt>
                <c:pt idx="52">
                  <c:v>425.99072614453195</c:v>
                </c:pt>
                <c:pt idx="53">
                  <c:v>437.68474556682253</c:v>
                </c:pt>
                <c:pt idx="54">
                  <c:v>449.37206399490151</c:v>
                </c:pt>
                <c:pt idx="55">
                  <c:v>461.05288028198453</c:v>
                </c:pt>
                <c:pt idx="56">
                  <c:v>446.31173599617085</c:v>
                </c:pt>
                <c:pt idx="57">
                  <c:v>456.60380000846493</c:v>
                </c:pt>
                <c:pt idx="58">
                  <c:v>466.89090926022874</c:v>
                </c:pt>
                <c:pt idx="59">
                  <c:v>477.17318832913844</c:v>
                </c:pt>
                <c:pt idx="60">
                  <c:v>487.45075598527472</c:v>
                </c:pt>
                <c:pt idx="61">
                  <c:v>472.17159422788382</c:v>
                </c:pt>
                <c:pt idx="62">
                  <c:v>480.5069641508781</c:v>
                </c:pt>
                <c:pt idx="63">
                  <c:v>488.83926137072262</c:v>
                </c:pt>
                <c:pt idx="64">
                  <c:v>497.16854566479316</c:v>
                </c:pt>
                <c:pt idx="65">
                  <c:v>505.4948746435191</c:v>
                </c:pt>
                <c:pt idx="66">
                  <c:v>490.50535738960554</c:v>
                </c:pt>
                <c:pt idx="67">
                  <c:v>497.72372558122476</c:v>
                </c:pt>
                <c:pt idx="68">
                  <c:v>504.93987686355644</c:v>
                </c:pt>
                <c:pt idx="69">
                  <c:v>512.15384740014088</c:v>
                </c:pt>
                <c:pt idx="70">
                  <c:v>519.36567225225326</c:v>
                </c:pt>
                <c:pt idx="71">
                  <c:v>505.21737736543542</c:v>
                </c:pt>
                <c:pt idx="72">
                  <c:v>511.87642689205774</c:v>
                </c:pt>
                <c:pt idx="73">
                  <c:v>518.53364702206557</c:v>
                </c:pt>
                <c:pt idx="74">
                  <c:v>525.18906456525599</c:v>
                </c:pt>
                <c:pt idx="75">
                  <c:v>531.84270559622837</c:v>
                </c:pt>
                <c:pt idx="76">
                  <c:v>517.97894789153088</c:v>
                </c:pt>
                <c:pt idx="77">
                  <c:v>523.52537773373467</c:v>
                </c:pt>
                <c:pt idx="78">
                  <c:v>529.07056941939629</c:v>
                </c:pt>
                <c:pt idx="79">
                  <c:v>534.61453776319513</c:v>
                </c:pt>
                <c:pt idx="80">
                  <c:v>540.15729724733058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2.6650117287285462</c:v>
                </c:pt>
                <c:pt idx="2">
                  <c:v>3.2354654067477706</c:v>
                </c:pt>
                <c:pt idx="3">
                  <c:v>3.9284869234853752</c:v>
                </c:pt>
                <c:pt idx="4">
                  <c:v>4.770504601663986</c:v>
                </c:pt>
                <c:pt idx="5">
                  <c:v>5.7936641476729482</c:v>
                </c:pt>
                <c:pt idx="6">
                  <c:v>7.0370693192090075</c:v>
                </c:pt>
                <c:pt idx="7">
                  <c:v>8.5482925779705372</c:v>
                </c:pt>
                <c:pt idx="8">
                  <c:v>10.385214631800892</c:v>
                </c:pt>
                <c:pt idx="9">
                  <c:v>12.618264652585031</c:v>
                </c:pt>
                <c:pt idx="10">
                  <c:v>15.33314866131672</c:v>
                </c:pt>
                <c:pt idx="11">
                  <c:v>18.634172720004408</c:v>
                </c:pt>
                <c:pt idx="12">
                  <c:v>22.64829091777025</c:v>
                </c:pt>
                <c:pt idx="13">
                  <c:v>27.530036608323286</c:v>
                </c:pt>
                <c:pt idx="14">
                  <c:v>33.46753007373961</c:v>
                </c:pt>
                <c:pt idx="15">
                  <c:v>40.689798128782996</c:v>
                </c:pt>
                <c:pt idx="16">
                  <c:v>49.475692816958805</c:v>
                </c:pt>
                <c:pt idx="17">
                  <c:v>60.164759329410423</c:v>
                </c:pt>
                <c:pt idx="18">
                  <c:v>73.170480096564106</c:v>
                </c:pt>
                <c:pt idx="19">
                  <c:v>88.99641570607578</c:v>
                </c:pt>
                <c:pt idx="20">
                  <c:v>108.25587760652975</c:v>
                </c:pt>
                <c:pt idx="21">
                  <c:v>128.9130744021389</c:v>
                </c:pt>
                <c:pt idx="22">
                  <c:v>149.49002281670286</c:v>
                </c:pt>
                <c:pt idx="23">
                  <c:v>169.99934455849356</c:v>
                </c:pt>
                <c:pt idx="24">
                  <c:v>190.45035477579154</c:v>
                </c:pt>
                <c:pt idx="25">
                  <c:v>210.85019924163907</c:v>
                </c:pt>
                <c:pt idx="26">
                  <c:v>185.24975095506522</c:v>
                </c:pt>
                <c:pt idx="27">
                  <c:v>207.88589861014086</c:v>
                </c:pt>
                <c:pt idx="28">
                  <c:v>230.46511069348855</c:v>
                </c:pt>
                <c:pt idx="29">
                  <c:v>252.99374979192666</c:v>
                </c:pt>
                <c:pt idx="30">
                  <c:v>275.47695163372049</c:v>
                </c:pt>
                <c:pt idx="31">
                  <c:v>234.53122639168836</c:v>
                </c:pt>
                <c:pt idx="32">
                  <c:v>258.15768037977301</c:v>
                </c:pt>
                <c:pt idx="33">
                  <c:v>281.73525664729715</c:v>
                </c:pt>
                <c:pt idx="34">
                  <c:v>305.2686189668205</c:v>
                </c:pt>
                <c:pt idx="35">
                  <c:v>328.76165316889825</c:v>
                </c:pt>
                <c:pt idx="36">
                  <c:v>289.09398574595861</c:v>
                </c:pt>
                <c:pt idx="37">
                  <c:v>313.71588765662</c:v>
                </c:pt>
                <c:pt idx="38">
                  <c:v>338.294948711404</c:v>
                </c:pt>
                <c:pt idx="39">
                  <c:v>362.83471688970462</c:v>
                </c:pt>
                <c:pt idx="40">
                  <c:v>387.33822121677059</c:v>
                </c:pt>
                <c:pt idx="41">
                  <c:v>348.55496880472214</c:v>
                </c:pt>
                <c:pt idx="42">
                  <c:v>373.81075414168623</c:v>
                </c:pt>
                <c:pt idx="43">
                  <c:v>399.02936683024018</c:v>
                </c:pt>
                <c:pt idx="44">
                  <c:v>424.21348431024836</c:v>
                </c:pt>
                <c:pt idx="45">
                  <c:v>449.36544039116256</c:v>
                </c:pt>
                <c:pt idx="46">
                  <c:v>410.34809118885158</c:v>
                </c:pt>
                <c:pt idx="47">
                  <c:v>435.15294270927825</c:v>
                </c:pt>
                <c:pt idx="48">
                  <c:v>459.92745587773499</c:v>
                </c:pt>
                <c:pt idx="49">
                  <c:v>484.67349306043229</c:v>
                </c:pt>
                <c:pt idx="50">
                  <c:v>509.39271110335471</c:v>
                </c:pt>
                <c:pt idx="51">
                  <c:v>470.12035055146072</c:v>
                </c:pt>
                <c:pt idx="52">
                  <c:v>494.49160073335105</c:v>
                </c:pt>
                <c:pt idx="53">
                  <c:v>518.83740552632355</c:v>
                </c:pt>
                <c:pt idx="54">
                  <c:v>543.15912558232264</c:v>
                </c:pt>
                <c:pt idx="55">
                  <c:v>567.45798988344677</c:v>
                </c:pt>
                <c:pt idx="56">
                  <c:v>527.55236536708924</c:v>
                </c:pt>
                <c:pt idx="57">
                  <c:v>551.14032081646064</c:v>
                </c:pt>
                <c:pt idx="58">
                  <c:v>574.7071209020188</c:v>
                </c:pt>
                <c:pt idx="59">
                  <c:v>598.25375422735704</c:v>
                </c:pt>
                <c:pt idx="60">
                  <c:v>621.78112531404167</c:v>
                </c:pt>
                <c:pt idx="61">
                  <c:v>580.86738049325345</c:v>
                </c:pt>
                <c:pt idx="62">
                  <c:v>603.322786102946</c:v>
                </c:pt>
                <c:pt idx="63">
                  <c:v>625.76083514390393</c:v>
                </c:pt>
                <c:pt idx="64">
                  <c:v>648.18223687272553</c:v>
                </c:pt>
                <c:pt idx="65">
                  <c:v>670.5876475316818</c:v>
                </c:pt>
                <c:pt idx="66">
                  <c:v>628.65484029812285</c:v>
                </c:pt>
                <c:pt idx="67">
                  <c:v>649.98970921008811</c:v>
                </c:pt>
                <c:pt idx="68">
                  <c:v>671.31014346170321</c:v>
                </c:pt>
                <c:pt idx="69">
                  <c:v>692.61666551890175</c:v>
                </c:pt>
                <c:pt idx="70">
                  <c:v>713.90976311819679</c:v>
                </c:pt>
                <c:pt idx="71">
                  <c:v>670.58764753168191</c:v>
                </c:pt>
                <c:pt idx="72">
                  <c:v>690.45052166725247</c:v>
                </c:pt>
                <c:pt idx="73">
                  <c:v>710.30168839718874</c:v>
                </c:pt>
                <c:pt idx="74">
                  <c:v>730.14152063682013</c:v>
                </c:pt>
                <c:pt idx="75">
                  <c:v>749.97036940508917</c:v>
                </c:pt>
                <c:pt idx="76">
                  <c:v>705.61063085359956</c:v>
                </c:pt>
                <c:pt idx="77">
                  <c:v>724.37108110022939</c:v>
                </c:pt>
                <c:pt idx="78">
                  <c:v>743.12162419643846</c:v>
                </c:pt>
                <c:pt idx="79">
                  <c:v>761.86254506494254</c:v>
                </c:pt>
                <c:pt idx="80">
                  <c:v>780.59411348307538</c:v>
                </c:pt>
                <c:pt idx="81">
                  <c:v>736.63215463032964</c:v>
                </c:pt>
                <c:pt idx="82">
                  <c:v>753.93485060091371</c:v>
                </c:pt>
                <c:pt idx="83">
                  <c:v>771.22948202840087</c:v>
                </c:pt>
                <c:pt idx="84">
                  <c:v>788.5162550525506</c:v>
                </c:pt>
                <c:pt idx="85">
                  <c:v>805.79536604695193</c:v>
                </c:pt>
                <c:pt idx="86">
                  <c:v>762.94346417722682</c:v>
                </c:pt>
                <c:pt idx="87">
                  <c:v>779.51369572854594</c:v>
                </c:pt>
                <c:pt idx="88">
                  <c:v>796.07679765726914</c:v>
                </c:pt>
                <c:pt idx="89">
                  <c:v>812.63293905279113</c:v>
                </c:pt>
                <c:pt idx="90">
                  <c:v>829.18228155985787</c:v>
                </c:pt>
                <c:pt idx="91">
                  <c:v>788.87631401648343</c:v>
                </c:pt>
                <c:pt idx="92">
                  <c:v>804.35572815014075</c:v>
                </c:pt>
                <c:pt idx="93">
                  <c:v>819.82913151766786</c:v>
                </c:pt>
                <c:pt idx="94">
                  <c:v>835.29665344180091</c:v>
                </c:pt>
                <c:pt idx="95">
                  <c:v>850.75841807001689</c:v>
                </c:pt>
                <c:pt idx="96">
                  <c:v>811.55339965696703</c:v>
                </c:pt>
                <c:pt idx="97">
                  <c:v>826.30461657658464</c:v>
                </c:pt>
                <c:pt idx="98">
                  <c:v>841.0505342782709</c:v>
                </c:pt>
                <c:pt idx="99">
                  <c:v>855.79125867604671</c:v>
                </c:pt>
                <c:pt idx="100">
                  <c:v>870.52689174128693</c:v>
                </c:pt>
                <c:pt idx="101">
                  <c:v>827.02405170442125</c:v>
                </c:pt>
                <c:pt idx="102">
                  <c:v>835.65629428066677</c:v>
                </c:pt>
                <c:pt idx="103">
                  <c:v>844.28674431354591</c:v>
                </c:pt>
                <c:pt idx="104">
                  <c:v>852.91542270042476</c:v>
                </c:pt>
                <c:pt idx="105">
                  <c:v>861.54234988159533</c:v>
                </c:pt>
                <c:pt idx="106">
                  <c:v>870.1675458548458</c:v>
                </c:pt>
                <c:pt idx="107">
                  <c:v>878.7910301894234</c:v>
                </c:pt>
                <c:pt idx="108">
                  <c:v>887.41282203942194</c:v>
                </c:pt>
                <c:pt idx="109">
                  <c:v>896.03294015662232</c:v>
                </c:pt>
                <c:pt idx="110">
                  <c:v>904.65140290281317</c:v>
                </c:pt>
                <c:pt idx="111">
                  <c:v>868.73013257971604</c:v>
                </c:pt>
                <c:pt idx="112">
                  <c:v>881.30589346877969</c:v>
                </c:pt>
                <c:pt idx="113">
                  <c:v>893.87806652905965</c:v>
                </c:pt>
                <c:pt idx="114">
                  <c:v>906.44670928964013</c:v>
                </c:pt>
                <c:pt idx="115">
                  <c:v>919.01187755558794</c:v>
                </c:pt>
                <c:pt idx="116">
                  <c:v>884.17984723477548</c:v>
                </c:pt>
                <c:pt idx="117">
                  <c:v>896.03294015662232</c:v>
                </c:pt>
                <c:pt idx="118">
                  <c:v>907.88290333959537</c:v>
                </c:pt>
                <c:pt idx="119">
                  <c:v>919.72978335634741</c:v>
                </c:pt>
                <c:pt idx="120">
                  <c:v>931.57362548297112</c:v>
                </c:pt>
                <c:pt idx="121">
                  <c:v>5.0621685358189711E-12</c:v>
                </c:pt>
                <c:pt idx="122">
                  <c:v>5.0621685358189711E-12</c:v>
                </c:pt>
                <c:pt idx="123">
                  <c:v>5.0621685358189711E-12</c:v>
                </c:pt>
                <c:pt idx="124">
                  <c:v>5.0621685358189711E-12</c:v>
                </c:pt>
                <c:pt idx="125">
                  <c:v>5.0621685358189711E-12</c:v>
                </c:pt>
                <c:pt idx="126">
                  <c:v>5.0621685358189711E-12</c:v>
                </c:pt>
                <c:pt idx="127">
                  <c:v>5.0621685358189711E-12</c:v>
                </c:pt>
                <c:pt idx="128">
                  <c:v>5.0621685358189711E-12</c:v>
                </c:pt>
                <c:pt idx="129">
                  <c:v>5.0621685358189711E-12</c:v>
                </c:pt>
                <c:pt idx="130">
                  <c:v>5.0621685358189711E-12</c:v>
                </c:pt>
                <c:pt idx="131">
                  <c:v>5.0621685358189711E-12</c:v>
                </c:pt>
                <c:pt idx="132">
                  <c:v>5.0621685358189711E-12</c:v>
                </c:pt>
                <c:pt idx="133">
                  <c:v>5.0621685358189711E-12</c:v>
                </c:pt>
                <c:pt idx="134">
                  <c:v>5.0621685358189711E-12</c:v>
                </c:pt>
                <c:pt idx="135">
                  <c:v>5.0621685358189711E-12</c:v>
                </c:pt>
                <c:pt idx="136">
                  <c:v>5.0621685358189711E-12</c:v>
                </c:pt>
                <c:pt idx="137">
                  <c:v>5.0621685358189711E-12</c:v>
                </c:pt>
                <c:pt idx="138">
                  <c:v>5.0621685358189711E-12</c:v>
                </c:pt>
                <c:pt idx="139">
                  <c:v>5.0621685358189711E-12</c:v>
                </c:pt>
                <c:pt idx="140">
                  <c:v>5.0621685358189711E-12</c:v>
                </c:pt>
                <c:pt idx="141">
                  <c:v>5.0621685358189711E-12</c:v>
                </c:pt>
                <c:pt idx="142">
                  <c:v>5.0621685358189711E-12</c:v>
                </c:pt>
                <c:pt idx="143">
                  <c:v>5.0621685358189711E-12</c:v>
                </c:pt>
                <c:pt idx="144">
                  <c:v>5.0621685358189711E-12</c:v>
                </c:pt>
                <c:pt idx="145">
                  <c:v>5.0621685358189711E-12</c:v>
                </c:pt>
                <c:pt idx="146">
                  <c:v>5.0621685358189711E-12</c:v>
                </c:pt>
                <c:pt idx="147">
                  <c:v>5.0621685358189711E-12</c:v>
                </c:pt>
                <c:pt idx="148">
                  <c:v>5.0621685358189711E-12</c:v>
                </c:pt>
                <c:pt idx="149">
                  <c:v>5.0621685358189711E-12</c:v>
                </c:pt>
                <c:pt idx="150">
                  <c:v>5.0621685358189711E-12</c:v>
                </c:pt>
                <c:pt idx="151">
                  <c:v>5.0621685358189711E-12</c:v>
                </c:pt>
                <c:pt idx="152">
                  <c:v>5.0621685358189711E-12</c:v>
                </c:pt>
                <c:pt idx="153">
                  <c:v>5.0621685358189711E-12</c:v>
                </c:pt>
                <c:pt idx="154">
                  <c:v>5.0621685358189711E-12</c:v>
                </c:pt>
                <c:pt idx="155">
                  <c:v>5.0621685358189711E-12</c:v>
                </c:pt>
                <c:pt idx="156">
                  <c:v>5.0621685358189711E-12</c:v>
                </c:pt>
                <c:pt idx="157">
                  <c:v>5.0621685358189711E-12</c:v>
                </c:pt>
                <c:pt idx="158">
                  <c:v>5.0621685358189711E-12</c:v>
                </c:pt>
                <c:pt idx="159">
                  <c:v>5.0621685358189711E-12</c:v>
                </c:pt>
                <c:pt idx="160">
                  <c:v>5.0621685358189711E-12</c:v>
                </c:pt>
                <c:pt idx="161">
                  <c:v>5.0621685358189711E-12</c:v>
                </c:pt>
                <c:pt idx="162">
                  <c:v>5.0621685358189711E-12</c:v>
                </c:pt>
                <c:pt idx="163">
                  <c:v>5.0621685358189711E-12</c:v>
                </c:pt>
                <c:pt idx="164">
                  <c:v>5.0621685358189711E-12</c:v>
                </c:pt>
                <c:pt idx="165">
                  <c:v>5.0621685358189711E-12</c:v>
                </c:pt>
                <c:pt idx="166">
                  <c:v>5.0621685358189711E-12</c:v>
                </c:pt>
                <c:pt idx="167">
                  <c:v>5.0621685358189711E-12</c:v>
                </c:pt>
                <c:pt idx="168">
                  <c:v>5.0621685358189711E-12</c:v>
                </c:pt>
                <c:pt idx="169">
                  <c:v>5.0621685358189711E-12</c:v>
                </c:pt>
                <c:pt idx="170">
                  <c:v>5.0621685358189711E-12</c:v>
                </c:pt>
                <c:pt idx="171">
                  <c:v>5.0621685358189711E-12</c:v>
                </c:pt>
                <c:pt idx="172">
                  <c:v>5.0621685358189711E-12</c:v>
                </c:pt>
                <c:pt idx="173">
                  <c:v>5.0621685358189711E-12</c:v>
                </c:pt>
                <c:pt idx="174">
                  <c:v>5.0621685358189711E-12</c:v>
                </c:pt>
                <c:pt idx="175">
                  <c:v>5.0621685358189711E-12</c:v>
                </c:pt>
                <c:pt idx="176">
                  <c:v>5.0621685358189711E-12</c:v>
                </c:pt>
                <c:pt idx="177">
                  <c:v>5.0621685358189711E-12</c:v>
                </c:pt>
                <c:pt idx="178">
                  <c:v>5.0621685358189711E-12</c:v>
                </c:pt>
                <c:pt idx="179">
                  <c:v>5.0621685358189711E-12</c:v>
                </c:pt>
                <c:pt idx="180">
                  <c:v>5.0621685358189711E-12</c:v>
                </c:pt>
                <c:pt idx="181">
                  <c:v>5.0621685358189711E-12</c:v>
                </c:pt>
                <c:pt idx="182">
                  <c:v>5.0621685358189711E-12</c:v>
                </c:pt>
                <c:pt idx="183">
                  <c:v>5.0621685358189711E-12</c:v>
                </c:pt>
                <c:pt idx="184">
                  <c:v>5.0621685358189711E-12</c:v>
                </c:pt>
                <c:pt idx="185">
                  <c:v>5.0621685358189711E-12</c:v>
                </c:pt>
                <c:pt idx="186">
                  <c:v>5.0621685358189711E-12</c:v>
                </c:pt>
                <c:pt idx="187">
                  <c:v>5.0621685358189711E-12</c:v>
                </c:pt>
                <c:pt idx="188">
                  <c:v>5.0621685358189711E-12</c:v>
                </c:pt>
                <c:pt idx="189">
                  <c:v>5.0621685358189711E-12</c:v>
                </c:pt>
                <c:pt idx="190">
                  <c:v>5.0621685358189711E-12</c:v>
                </c:pt>
                <c:pt idx="191">
                  <c:v>5.0621685358189711E-12</c:v>
                </c:pt>
                <c:pt idx="192">
                  <c:v>5.0621685358189711E-12</c:v>
                </c:pt>
                <c:pt idx="193">
                  <c:v>5.0621685358189711E-12</c:v>
                </c:pt>
                <c:pt idx="194">
                  <c:v>5.0621685358189711E-12</c:v>
                </c:pt>
                <c:pt idx="195">
                  <c:v>5.0621685358189711E-12</c:v>
                </c:pt>
                <c:pt idx="196">
                  <c:v>5.0621685358189711E-12</c:v>
                </c:pt>
                <c:pt idx="197">
                  <c:v>5.0621685358189711E-12</c:v>
                </c:pt>
                <c:pt idx="198">
                  <c:v>5.0621685358189711E-12</c:v>
                </c:pt>
                <c:pt idx="199">
                  <c:v>5.0621685358189711E-12</c:v>
                </c:pt>
                <c:pt idx="200">
                  <c:v>5.0621685358189711E-12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2.7107663053215236</c:v>
                </c:pt>
                <c:pt idx="2">
                  <c:v>3.6004031596664068</c:v>
                </c:pt>
                <c:pt idx="3">
                  <c:v>4.7832008576956815</c:v>
                </c:pt>
                <c:pt idx="4">
                  <c:v>6.3561344603907548</c:v>
                </c:pt>
                <c:pt idx="5">
                  <c:v>8.4483718197588118</c:v>
                </c:pt>
                <c:pt idx="6">
                  <c:v>11.231995762089561</c:v>
                </c:pt>
                <c:pt idx="7">
                  <c:v>14.936308191087944</c:v>
                </c:pt>
                <c:pt idx="8">
                  <c:v>19.866916000031427</c:v>
                </c:pt>
                <c:pt idx="9">
                  <c:v>26.431201628981615</c:v>
                </c:pt>
                <c:pt idx="10">
                  <c:v>35.172319671970541</c:v>
                </c:pt>
                <c:pt idx="11">
                  <c:v>48.765659367999113</c:v>
                </c:pt>
                <c:pt idx="12">
                  <c:v>74.616063262010528</c:v>
                </c:pt>
                <c:pt idx="13">
                  <c:v>100.2341790211712</c:v>
                </c:pt>
                <c:pt idx="14">
                  <c:v>125.68871343321821</c:v>
                </c:pt>
                <c:pt idx="15">
                  <c:v>151.01770664748466</c:v>
                </c:pt>
                <c:pt idx="16">
                  <c:v>105.82562490242275</c:v>
                </c:pt>
                <c:pt idx="17">
                  <c:v>133.68129041989656</c:v>
                </c:pt>
                <c:pt idx="18">
                  <c:v>161.39639888364613</c:v>
                </c:pt>
                <c:pt idx="19">
                  <c:v>188.99857543760822</c:v>
                </c:pt>
                <c:pt idx="20">
                  <c:v>216.50666233809889</c:v>
                </c:pt>
                <c:pt idx="21">
                  <c:v>173.13987981714703</c:v>
                </c:pt>
                <c:pt idx="22">
                  <c:v>202.07571754604893</c:v>
                </c:pt>
                <c:pt idx="23">
                  <c:v>230.91548802122449</c:v>
                </c:pt>
                <c:pt idx="24">
                  <c:v>259.67288191053939</c:v>
                </c:pt>
                <c:pt idx="25">
                  <c:v>288.35830325418618</c:v>
                </c:pt>
                <c:pt idx="26">
                  <c:v>244.6190581615721</c:v>
                </c:pt>
                <c:pt idx="27">
                  <c:v>272.65800236133896</c:v>
                </c:pt>
                <c:pt idx="28">
                  <c:v>300.63210759978887</c:v>
                </c:pt>
                <c:pt idx="29">
                  <c:v>328.5482515646346</c:v>
                </c:pt>
                <c:pt idx="30">
                  <c:v>356.41204743833867</c:v>
                </c:pt>
                <c:pt idx="31">
                  <c:v>310.85173466328649</c:v>
                </c:pt>
                <c:pt idx="32">
                  <c:v>336.70870355604046</c:v>
                </c:pt>
                <c:pt idx="33">
                  <c:v>362.52196090538217</c:v>
                </c:pt>
                <c:pt idx="34">
                  <c:v>388.29505404723028</c:v>
                </c:pt>
                <c:pt idx="35">
                  <c:v>414.03102119238082</c:v>
                </c:pt>
                <c:pt idx="36">
                  <c:v>365.23675297080769</c:v>
                </c:pt>
                <c:pt idx="37">
                  <c:v>387.61730275601627</c:v>
                </c:pt>
                <c:pt idx="38">
                  <c:v>409.96980401857422</c:v>
                </c:pt>
                <c:pt idx="39">
                  <c:v>432.29599994035453</c:v>
                </c:pt>
                <c:pt idx="40">
                  <c:v>454.59743907080411</c:v>
                </c:pt>
                <c:pt idx="41">
                  <c:v>406.24625838591629</c:v>
                </c:pt>
                <c:pt idx="42">
                  <c:v>425.53316796502639</c:v>
                </c:pt>
                <c:pt idx="43">
                  <c:v>444.80127884250447</c:v>
                </c:pt>
                <c:pt idx="44">
                  <c:v>464.05151945493071</c:v>
                </c:pt>
                <c:pt idx="45">
                  <c:v>483.28473497109485</c:v>
                </c:pt>
                <c:pt idx="46">
                  <c:v>455.94827709810426</c:v>
                </c:pt>
                <c:pt idx="47">
                  <c:v>472.48918916409235</c:v>
                </c:pt>
                <c:pt idx="48">
                  <c:v>489.0177774143724</c:v>
                </c:pt>
                <c:pt idx="49">
                  <c:v>505.53451684876785</c:v>
                </c:pt>
                <c:pt idx="50">
                  <c:v>522.03984891229663</c:v>
                </c:pt>
                <c:pt idx="51">
                  <c:v>500.81663116885539</c:v>
                </c:pt>
                <c:pt idx="52">
                  <c:v>514.96750495828326</c:v>
                </c:pt>
                <c:pt idx="53">
                  <c:v>529.11017351371675</c:v>
                </c:pt>
                <c:pt idx="54">
                  <c:v>543.24488697768527</c:v>
                </c:pt>
                <c:pt idx="55">
                  <c:v>557.37188141896695</c:v>
                </c:pt>
                <c:pt idx="56">
                  <c:v>539.54369365856019</c:v>
                </c:pt>
                <c:pt idx="57">
                  <c:v>551.99106495921342</c:v>
                </c:pt>
                <c:pt idx="58">
                  <c:v>564.43255421132858</c:v>
                </c:pt>
                <c:pt idx="59">
                  <c:v>576.86830930740882</c:v>
                </c:pt>
                <c:pt idx="60">
                  <c:v>589.29847124546529</c:v>
                </c:pt>
                <c:pt idx="61">
                  <c:v>570.81918970877257</c:v>
                </c:pt>
                <c:pt idx="62">
                  <c:v>580.90031938116931</c:v>
                </c:pt>
                <c:pt idx="63">
                  <c:v>590.97780129118485</c:v>
                </c:pt>
                <c:pt idx="64">
                  <c:v>601.05170640358597</c:v>
                </c:pt>
                <c:pt idx="65">
                  <c:v>611.12210311064734</c:v>
                </c:pt>
                <c:pt idx="66">
                  <c:v>592.99286623276123</c:v>
                </c:pt>
                <c:pt idx="67">
                  <c:v>601.7231745921265</c:v>
                </c:pt>
                <c:pt idx="68">
                  <c:v>610.45085114558412</c:v>
                </c:pt>
                <c:pt idx="69">
                  <c:v>619.17593882471431</c:v>
                </c:pt>
                <c:pt idx="70">
                  <c:v>627.89847925254264</c:v>
                </c:pt>
                <c:pt idx="71">
                  <c:v>610.78647904168156</c:v>
                </c:pt>
                <c:pt idx="72">
                  <c:v>618.84040589332551</c:v>
                </c:pt>
                <c:pt idx="73">
                  <c:v>626.89216097508961</c:v>
                </c:pt>
                <c:pt idx="74">
                  <c:v>634.94177611424914</c:v>
                </c:pt>
                <c:pt idx="75">
                  <c:v>642.98928226528881</c:v>
                </c:pt>
                <c:pt idx="76">
                  <c:v>626.22126355197054</c:v>
                </c:pt>
                <c:pt idx="77">
                  <c:v>632.92957124167299</c:v>
                </c:pt>
                <c:pt idx="78">
                  <c:v>639.63640905269347</c:v>
                </c:pt>
                <c:pt idx="79">
                  <c:v>646.34179457229197</c:v>
                </c:pt>
                <c:pt idx="80">
                  <c:v>653.0457449930251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2.8142206316632006</c:v>
                </c:pt>
                <c:pt idx="2">
                  <c:v>3.546022447534257</c:v>
                </c:pt>
                <c:pt idx="3">
                  <c:v>4.4688603344852975</c:v>
                </c:pt>
                <c:pt idx="4">
                  <c:v>5.632786147567022</c:v>
                </c:pt>
                <c:pt idx="5">
                  <c:v>7.1010100430012626</c:v>
                </c:pt>
                <c:pt idx="6">
                  <c:v>8.9533705968532473</c:v>
                </c:pt>
                <c:pt idx="7">
                  <c:v>11.290722715130457</c:v>
                </c:pt>
                <c:pt idx="8">
                  <c:v>14.240486718899339</c:v>
                </c:pt>
                <c:pt idx="9">
                  <c:v>17.963666684746272</c:v>
                </c:pt>
                <c:pt idx="10">
                  <c:v>22.663728052918533</c:v>
                </c:pt>
                <c:pt idx="11">
                  <c:v>44.016422187733419</c:v>
                </c:pt>
                <c:pt idx="12">
                  <c:v>65.080449062797712</c:v>
                </c:pt>
                <c:pt idx="13">
                  <c:v>85.965783832884156</c:v>
                </c:pt>
                <c:pt idx="14">
                  <c:v>106.72258095191415</c:v>
                </c:pt>
                <c:pt idx="15">
                  <c:v>127.37953432582198</c:v>
                </c:pt>
                <c:pt idx="16">
                  <c:v>92.512559752041952</c:v>
                </c:pt>
                <c:pt idx="17">
                  <c:v>118.97444364040366</c:v>
                </c:pt>
                <c:pt idx="18">
                  <c:v>145.29205371594367</c:v>
                </c:pt>
                <c:pt idx="19">
                  <c:v>171.49532867914351</c:v>
                </c:pt>
                <c:pt idx="20">
                  <c:v>197.6042373039995</c:v>
                </c:pt>
                <c:pt idx="21">
                  <c:v>159.35586286360191</c:v>
                </c:pt>
                <c:pt idx="22">
                  <c:v>187.39794043392263</c:v>
                </c:pt>
                <c:pt idx="23">
                  <c:v>215.34198157425362</c:v>
                </c:pt>
                <c:pt idx="24">
                  <c:v>243.20250692836802</c:v>
                </c:pt>
                <c:pt idx="25">
                  <c:v>270.99042974399345</c:v>
                </c:pt>
                <c:pt idx="26">
                  <c:v>231.91700149088217</c:v>
                </c:pt>
                <c:pt idx="27">
                  <c:v>258.60689820869135</c:v>
                </c:pt>
                <c:pt idx="28">
                  <c:v>285.23452771013774</c:v>
                </c:pt>
                <c:pt idx="29">
                  <c:v>311.80651713592084</c:v>
                </c:pt>
                <c:pt idx="30">
                  <c:v>338.32827143043039</c:v>
                </c:pt>
                <c:pt idx="31">
                  <c:v>296.842883014341</c:v>
                </c:pt>
                <c:pt idx="32">
                  <c:v>320.77699701276748</c:v>
                </c:pt>
                <c:pt idx="33">
                  <c:v>344.67160985755481</c:v>
                </c:pt>
                <c:pt idx="34">
                  <c:v>368.52984306951663</c:v>
                </c:pt>
                <c:pt idx="35">
                  <c:v>392.35438115419714</c:v>
                </c:pt>
                <c:pt idx="36">
                  <c:v>348.40178403373949</c:v>
                </c:pt>
                <c:pt idx="37">
                  <c:v>369.64735159591169</c:v>
                </c:pt>
                <c:pt idx="38">
                  <c:v>390.86628899650526</c:v>
                </c:pt>
                <c:pt idx="39">
                  <c:v>412.06024430985258</c:v>
                </c:pt>
                <c:pt idx="40">
                  <c:v>433.23068233058711</c:v>
                </c:pt>
                <c:pt idx="41">
                  <c:v>386.40127265666041</c:v>
                </c:pt>
                <c:pt idx="42">
                  <c:v>404.62651852552534</c:v>
                </c:pt>
                <c:pt idx="43">
                  <c:v>422.83402201018424</c:v>
                </c:pt>
                <c:pt idx="44">
                  <c:v>441.02465426855332</c:v>
                </c:pt>
                <c:pt idx="45">
                  <c:v>459.19920876443285</c:v>
                </c:pt>
                <c:pt idx="46">
                  <c:v>430.63202519963079</c:v>
                </c:pt>
                <c:pt idx="47">
                  <c:v>446.58996615169781</c:v>
                </c:pt>
                <c:pt idx="48">
                  <c:v>462.53570293273191</c:v>
                </c:pt>
                <c:pt idx="49">
                  <c:v>478.46971536977009</c:v>
                </c:pt>
                <c:pt idx="50">
                  <c:v>494.3924487367965</c:v>
                </c:pt>
                <c:pt idx="51">
                  <c:v>472.91264200880101</c:v>
                </c:pt>
                <c:pt idx="52">
                  <c:v>486.61761247073986</c:v>
                </c:pt>
                <c:pt idx="53">
                  <c:v>500.3143920215611</c:v>
                </c:pt>
                <c:pt idx="54">
                  <c:v>514.00323643635181</c:v>
                </c:pt>
                <c:pt idx="55">
                  <c:v>527.68438675921152</c:v>
                </c:pt>
                <c:pt idx="56">
                  <c:v>509.56446562910031</c:v>
                </c:pt>
                <c:pt idx="57">
                  <c:v>521.02963842518261</c:v>
                </c:pt>
                <c:pt idx="58">
                  <c:v>532.48949356066385</c:v>
                </c:pt>
                <c:pt idx="59">
                  <c:v>543.94416159669981</c:v>
                </c:pt>
                <c:pt idx="60">
                  <c:v>555.39376714784089</c:v>
                </c:pt>
                <c:pt idx="61">
                  <c:v>539.1412145256478</c:v>
                </c:pt>
                <c:pt idx="62">
                  <c:v>548.74621845390379</c:v>
                </c:pt>
                <c:pt idx="63">
                  <c:v>558.34769693411636</c:v>
                </c:pt>
                <c:pt idx="64">
                  <c:v>567.94571913881475</c:v>
                </c:pt>
                <c:pt idx="65">
                  <c:v>577.54035171190208</c:v>
                </c:pt>
                <c:pt idx="66">
                  <c:v>562.03964926820083</c:v>
                </c:pt>
                <c:pt idx="67">
                  <c:v>570.52922017836795</c:v>
                </c:pt>
                <c:pt idx="68">
                  <c:v>579.01615230132256</c:v>
                </c:pt>
                <c:pt idx="69">
                  <c:v>587.50048977179972</c:v>
                </c:pt>
                <c:pt idx="70">
                  <c:v>595.98227534576563</c:v>
                </c:pt>
                <c:pt idx="71">
                  <c:v>579.75402315407757</c:v>
                </c:pt>
                <c:pt idx="72">
                  <c:v>587.50048977179972</c:v>
                </c:pt>
                <c:pt idx="73">
                  <c:v>595.24482902030275</c:v>
                </c:pt>
                <c:pt idx="74">
                  <c:v>602.98707248339201</c:v>
                </c:pt>
                <c:pt idx="75">
                  <c:v>610.72725086759363</c:v>
                </c:pt>
                <c:pt idx="76">
                  <c:v>595.24482902030275</c:v>
                </c:pt>
                <c:pt idx="77">
                  <c:v>601.88116484326292</c:v>
                </c:pt>
                <c:pt idx="78">
                  <c:v>608.51598029477634</c:v>
                </c:pt>
                <c:pt idx="79">
                  <c:v>615.14929429282256</c:v>
                </c:pt>
                <c:pt idx="80">
                  <c:v>621.78112531404156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437.27384609850282</c:v>
                </c:pt>
                <c:pt idx="62">
                  <c:v>450.19337467777677</c:v>
                </c:pt>
                <c:pt idx="63">
                  <c:v>463.10497394809039</c:v>
                </c:pt>
                <c:pt idx="64">
                  <c:v>476.00889611215479</c:v>
                </c:pt>
                <c:pt idx="65">
                  <c:v>488.90537858519792</c:v>
                </c:pt>
                <c:pt idx="66">
                  <c:v>501.79464523740444</c:v>
                </c:pt>
                <c:pt idx="67">
                  <c:v>514.67690750207646</c:v>
                </c:pt>
                <c:pt idx="68">
                  <c:v>527.55236536708901</c:v>
                </c:pt>
                <c:pt idx="69">
                  <c:v>540.42120826454379</c:v>
                </c:pt>
                <c:pt idx="70">
                  <c:v>553.28361587129041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7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16" zoomScale="84" zoomScaleNormal="80" workbookViewId="0">
      <selection activeCell="A36" sqref="A36:H55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57" t="s">
        <v>190</v>
      </c>
      <c r="D1" s="257"/>
      <c r="E1" s="25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7" t="s">
        <v>231</v>
      </c>
      <c r="B5" s="267"/>
      <c r="C5" s="24">
        <v>11.202999999999999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14</v>
      </c>
      <c r="C9" s="32">
        <v>0.31718299999999999</v>
      </c>
      <c r="D9" s="33">
        <f t="shared" ref="D9:D18" si="0">C9*$C$5</f>
        <v>3.5534011489999999</v>
      </c>
      <c r="E9" s="34">
        <v>120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 t="s">
        <v>11</v>
      </c>
      <c r="C10" s="32">
        <v>0.143459</v>
      </c>
      <c r="D10" s="33">
        <f t="shared" si="0"/>
        <v>1.6071711769999999</v>
      </c>
      <c r="E10" s="34">
        <v>120</v>
      </c>
      <c r="F10" s="35" t="str">
        <f t="array" ref="F10">IF(E10="","",IF(INDEX(A:A,MAX(IF(ISNUMBER($A$62:$A$81),ROW($A$62:$A$81),"")))&lt;&gt;E10,"Corrigez : révolution incorrecte","OK"))</f>
        <v>OK</v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 t="s">
        <v>12</v>
      </c>
      <c r="C11" s="32">
        <v>0.17988799999999999</v>
      </c>
      <c r="D11" s="33">
        <f t="shared" si="0"/>
        <v>2.0152852639999996</v>
      </c>
      <c r="E11" s="34">
        <v>120</v>
      </c>
      <c r="F11" s="35" t="str">
        <f t="array" ref="F11">IF(E11="","",IF(INDEX(A:A,MAX(IF(ISNUMBER($A$88:$A$107),ROW($A$88:$A$107),"")))&lt;&gt;E11,"Corrigez : révolution incorrecte","OK"))</f>
        <v>OK</v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 t="s">
        <v>50</v>
      </c>
      <c r="C12" s="32">
        <v>6.1568999999999999E-2</v>
      </c>
      <c r="D12" s="33">
        <f t="shared" si="0"/>
        <v>0.68975750699999994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 t="s">
        <v>4</v>
      </c>
      <c r="C13" s="32">
        <v>2.4957E-2</v>
      </c>
      <c r="D13" s="33">
        <f t="shared" si="0"/>
        <v>0.27959327099999998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 t="s">
        <v>25</v>
      </c>
      <c r="C14" s="32">
        <v>2.2943999999999999E-2</v>
      </c>
      <c r="D14" s="33">
        <f t="shared" si="0"/>
        <v>0.25704163199999996</v>
      </c>
      <c r="E14" s="34">
        <v>120</v>
      </c>
      <c r="F14" s="35" t="str">
        <f t="array" ref="F14">IF(E14="","",IF(INDEX(A:A,MAX(IF(ISNUMBER($A$166:$A$185),ROW($A$166:$A$185),"")))&lt;&gt;E14,"Corrigez : révolution incorrecte","OK"))</f>
        <v>OK</v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 t="s">
        <v>22</v>
      </c>
      <c r="C15" s="32">
        <v>0.13558700000000001</v>
      </c>
      <c r="D15" s="33">
        <f t="shared" si="0"/>
        <v>1.5189811610000001</v>
      </c>
      <c r="E15" s="34">
        <v>80</v>
      </c>
      <c r="F15" s="35" t="str">
        <f t="array" ref="F15">IF(E15="","",IF(INDEX(A:A,MAX(IF(ISNUMBER($A$192:$A$211),ROW($A$192:$A$211),"")))&lt;&gt;E15,"Corrigez : révolution incorrecte","OK"))</f>
        <v>OK</v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 t="s">
        <v>21</v>
      </c>
      <c r="C16" s="32">
        <v>4.1494000000000003E-2</v>
      </c>
      <c r="D16" s="33">
        <f t="shared" si="0"/>
        <v>0.46485728199999998</v>
      </c>
      <c r="E16" s="34">
        <v>80</v>
      </c>
      <c r="F16" s="35" t="str">
        <f t="array" ref="F16">IF(E16="","",IF(INDEX(A:A,MAX(IF(ISNUMBER($A$218:$A$237),ROW($A$218:$A$237),"")))&lt;&gt;E16,"Corrigez : révolution incorrecte","OK"))</f>
        <v>OK</v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 t="s">
        <v>29</v>
      </c>
      <c r="C17" s="32">
        <v>6.3094999999999998E-2</v>
      </c>
      <c r="D17" s="33">
        <f t="shared" si="0"/>
        <v>0.706853285</v>
      </c>
      <c r="E17" s="34">
        <v>70</v>
      </c>
      <c r="F17" s="35" t="str">
        <f t="array" ref="F17">IF(E17="","",IF(INDEX(A:A,MAX(IF(ISNUMBER($A$244:$A$263),ROW($A$244:$A$263),"")))&lt;&gt;E17,"Corrigez : révolution incorrecte","OK"))</f>
        <v>OK</v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 t="s">
        <v>51</v>
      </c>
      <c r="C18" s="32">
        <v>9.8239999999999994E-3</v>
      </c>
      <c r="D18" s="33">
        <f t="shared" si="0"/>
        <v>0.11005827199999998</v>
      </c>
      <c r="E18" s="34">
        <v>80</v>
      </c>
      <c r="F18" s="35" t="str">
        <f t="array" ref="F18">IF(E18="","",IF(INDEX(A:A,MAX(IF(ISNUMBER($A$270:$A$289),ROW($A$270:$A$289),"")))&lt;&gt;E18,"Corrigez : révolution incorrecte","OK"))</f>
        <v>OK</v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1</v>
      </c>
      <c r="D19" s="38">
        <f>SUM(D9:D18)</f>
        <v>11.202999999999998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Chêne sessile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20</v>
      </c>
      <c r="B36" s="60">
        <v>73</v>
      </c>
      <c r="C36" s="60">
        <v>1</v>
      </c>
      <c r="D36" s="60">
        <v>0</v>
      </c>
      <c r="E36" s="51">
        <v>0</v>
      </c>
      <c r="F36" s="51"/>
      <c r="G36" s="51"/>
      <c r="H36" s="51">
        <v>1</v>
      </c>
      <c r="I36" s="49">
        <f>IFERROR(B36/A36,"")</f>
        <v>3.65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25</v>
      </c>
      <c r="B37" s="60">
        <v>103</v>
      </c>
      <c r="C37" s="60">
        <v>2</v>
      </c>
      <c r="D37" s="60">
        <v>0</v>
      </c>
      <c r="E37" s="51">
        <v>0</v>
      </c>
      <c r="F37" s="51"/>
      <c r="G37" s="51"/>
      <c r="H37" s="51">
        <v>1</v>
      </c>
      <c r="I37" s="53">
        <f t="shared" ref="I37:I55" si="1">IF(A37&lt;&gt;0,(B37-(B36-D36))/(A37-A36),"")</f>
        <v>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30</v>
      </c>
      <c r="B38" s="60">
        <v>121</v>
      </c>
      <c r="C38" s="60">
        <v>3</v>
      </c>
      <c r="D38" s="60">
        <v>28</v>
      </c>
      <c r="E38" s="51">
        <v>0</v>
      </c>
      <c r="F38" s="51"/>
      <c r="G38" s="51"/>
      <c r="H38" s="51">
        <v>1</v>
      </c>
      <c r="I38" s="53">
        <f t="shared" si="1"/>
        <v>3.6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35</v>
      </c>
      <c r="B39" s="60">
        <v>147</v>
      </c>
      <c r="C39" s="60">
        <v>4</v>
      </c>
      <c r="D39" s="60">
        <v>28</v>
      </c>
      <c r="E39" s="51">
        <v>0</v>
      </c>
      <c r="F39" s="51"/>
      <c r="G39" s="51"/>
      <c r="H39" s="51">
        <v>1</v>
      </c>
      <c r="I39" s="49">
        <f t="shared" si="1"/>
        <v>10.8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40</v>
      </c>
      <c r="B40" s="60">
        <v>175</v>
      </c>
      <c r="C40" s="60">
        <v>5</v>
      </c>
      <c r="D40" s="60">
        <v>28</v>
      </c>
      <c r="E40" s="51">
        <v>0.2</v>
      </c>
      <c r="F40" s="51"/>
      <c r="G40" s="51"/>
      <c r="H40" s="51">
        <v>0.8</v>
      </c>
      <c r="I40" s="49">
        <f t="shared" si="1"/>
        <v>11.2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45</v>
      </c>
      <c r="B41" s="60">
        <v>204</v>
      </c>
      <c r="C41" s="60">
        <v>6</v>
      </c>
      <c r="D41" s="60">
        <v>28</v>
      </c>
      <c r="E41" s="51">
        <v>0.2</v>
      </c>
      <c r="F41" s="51"/>
      <c r="G41" s="51"/>
      <c r="H41" s="51">
        <v>0.8</v>
      </c>
      <c r="I41" s="53">
        <f t="shared" si="1"/>
        <v>11.4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50</v>
      </c>
      <c r="B42" s="60">
        <v>231</v>
      </c>
      <c r="C42" s="60">
        <v>7</v>
      </c>
      <c r="D42" s="60">
        <v>28</v>
      </c>
      <c r="E42" s="51">
        <v>0.3</v>
      </c>
      <c r="F42" s="51"/>
      <c r="G42" s="51"/>
      <c r="H42" s="51">
        <v>0.7</v>
      </c>
      <c r="I42" s="53">
        <f t="shared" si="1"/>
        <v>11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>
        <v>55</v>
      </c>
      <c r="B43" s="60">
        <v>254</v>
      </c>
      <c r="C43" s="60">
        <v>8</v>
      </c>
      <c r="D43" s="60">
        <v>28</v>
      </c>
      <c r="E43" s="51">
        <v>0.3</v>
      </c>
      <c r="F43" s="51"/>
      <c r="G43" s="51"/>
      <c r="H43" s="51">
        <v>0.7</v>
      </c>
      <c r="I43" s="49">
        <f t="shared" si="1"/>
        <v>10.199999999999999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>
        <v>60</v>
      </c>
      <c r="B44" s="60">
        <v>273</v>
      </c>
      <c r="C44" s="60">
        <v>9</v>
      </c>
      <c r="D44" s="60">
        <v>28</v>
      </c>
      <c r="E44" s="51">
        <v>0.4</v>
      </c>
      <c r="F44" s="51"/>
      <c r="G44" s="51"/>
      <c r="H44" s="51">
        <v>0.6</v>
      </c>
      <c r="I44" s="49">
        <f t="shared" si="1"/>
        <v>9.4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>
        <v>65</v>
      </c>
      <c r="B45" s="60">
        <v>289</v>
      </c>
      <c r="C45" s="60">
        <v>10</v>
      </c>
      <c r="D45" s="60">
        <v>28</v>
      </c>
      <c r="E45" s="51">
        <v>0.4</v>
      </c>
      <c r="F45" s="51"/>
      <c r="G45" s="51"/>
      <c r="H45" s="51">
        <v>0.6</v>
      </c>
      <c r="I45" s="49">
        <f t="shared" si="1"/>
        <v>8.8000000000000007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>
        <v>70</v>
      </c>
      <c r="B46" s="60">
        <v>302</v>
      </c>
      <c r="C46" s="60">
        <v>11</v>
      </c>
      <c r="D46" s="60">
        <v>28</v>
      </c>
      <c r="E46" s="51">
        <v>0.5</v>
      </c>
      <c r="F46" s="51"/>
      <c r="G46" s="51"/>
      <c r="H46" s="51">
        <v>0.5</v>
      </c>
      <c r="I46" s="49">
        <f t="shared" si="1"/>
        <v>8.1999999999999993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>
        <v>75</v>
      </c>
      <c r="B47" s="60">
        <v>312</v>
      </c>
      <c r="C47" s="60">
        <v>12</v>
      </c>
      <c r="D47" s="60">
        <v>28</v>
      </c>
      <c r="E47" s="51">
        <v>0.5</v>
      </c>
      <c r="F47" s="51"/>
      <c r="G47" s="51"/>
      <c r="H47" s="51">
        <v>0.5</v>
      </c>
      <c r="I47" s="49">
        <f t="shared" si="1"/>
        <v>7.6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>
        <v>80</v>
      </c>
      <c r="B48" s="60">
        <v>320</v>
      </c>
      <c r="C48" s="60">
        <v>13</v>
      </c>
      <c r="D48" s="60">
        <v>28</v>
      </c>
      <c r="E48" s="51">
        <v>0.6</v>
      </c>
      <c r="F48" s="51"/>
      <c r="G48" s="51"/>
      <c r="H48" s="51">
        <v>0.4</v>
      </c>
      <c r="I48" s="49">
        <f t="shared" si="1"/>
        <v>7.2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>
        <v>90</v>
      </c>
      <c r="B49" s="60">
        <v>358</v>
      </c>
      <c r="C49" s="60">
        <v>15</v>
      </c>
      <c r="D49" s="60">
        <v>56</v>
      </c>
      <c r="E49" s="51">
        <v>0.7</v>
      </c>
      <c r="F49" s="51"/>
      <c r="G49" s="51"/>
      <c r="H49" s="51">
        <v>0.3</v>
      </c>
      <c r="I49" s="49">
        <f t="shared" si="1"/>
        <v>6.6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>
        <v>100</v>
      </c>
      <c r="B50" s="50">
        <v>362</v>
      </c>
      <c r="C50" s="50">
        <v>17</v>
      </c>
      <c r="D50" s="50">
        <v>56</v>
      </c>
      <c r="E50" s="51">
        <v>0.8</v>
      </c>
      <c r="F50" s="51"/>
      <c r="G50" s="51"/>
      <c r="H50" s="51">
        <v>0.2</v>
      </c>
      <c r="I50" s="49">
        <f t="shared" si="1"/>
        <v>6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>
        <v>110</v>
      </c>
      <c r="B51" s="50">
        <v>358</v>
      </c>
      <c r="C51" s="50">
        <v>19</v>
      </c>
      <c r="D51" s="50">
        <v>51</v>
      </c>
      <c r="E51" s="51">
        <v>0.8</v>
      </c>
      <c r="F51" s="51"/>
      <c r="G51" s="51"/>
      <c r="H51" s="51">
        <v>0.2</v>
      </c>
      <c r="I51" s="49">
        <f t="shared" si="1"/>
        <v>5.2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>
        <v>120</v>
      </c>
      <c r="B52" s="50">
        <v>352</v>
      </c>
      <c r="C52" s="50">
        <v>21</v>
      </c>
      <c r="D52" s="50">
        <v>352</v>
      </c>
      <c r="E52" s="51">
        <v>0.9</v>
      </c>
      <c r="F52" s="51"/>
      <c r="G52" s="51"/>
      <c r="H52" s="51">
        <v>0.1</v>
      </c>
      <c r="I52" s="49">
        <f t="shared" si="1"/>
        <v>4.5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>Chêne pédonculé</v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>
        <v>20</v>
      </c>
      <c r="B62" s="60">
        <v>73</v>
      </c>
      <c r="C62" s="60">
        <v>1</v>
      </c>
      <c r="D62" s="60">
        <v>0</v>
      </c>
      <c r="E62" s="51">
        <v>0</v>
      </c>
      <c r="F62" s="51"/>
      <c r="G62" s="51"/>
      <c r="H62" s="51">
        <v>1</v>
      </c>
      <c r="I62" s="53">
        <f>IFERROR(B62/A62,"")</f>
        <v>3.65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>
        <v>25</v>
      </c>
      <c r="B63" s="60">
        <v>103</v>
      </c>
      <c r="C63" s="60">
        <v>2</v>
      </c>
      <c r="D63" s="60">
        <v>0</v>
      </c>
      <c r="E63" s="51">
        <v>0</v>
      </c>
      <c r="F63" s="51"/>
      <c r="G63" s="51"/>
      <c r="H63" s="51">
        <v>1</v>
      </c>
      <c r="I63" s="49">
        <f>IF(A63&lt;&gt;0,(B63-(B62-D62))/(A63-A62),"")</f>
        <v>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>
        <v>30</v>
      </c>
      <c r="B64" s="60">
        <v>121</v>
      </c>
      <c r="C64" s="60">
        <v>3</v>
      </c>
      <c r="D64" s="60">
        <v>28</v>
      </c>
      <c r="E64" s="51">
        <v>0</v>
      </c>
      <c r="F64" s="51"/>
      <c r="G64" s="51"/>
      <c r="H64" s="51">
        <v>1</v>
      </c>
      <c r="I64" s="49">
        <f>IF(A64&lt;&gt;0,(B64-(B63-D63))/(A64-A63),"")</f>
        <v>3.6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>
        <v>35</v>
      </c>
      <c r="B65" s="60">
        <v>147</v>
      </c>
      <c r="C65" s="60">
        <v>4</v>
      </c>
      <c r="D65" s="60">
        <v>28</v>
      </c>
      <c r="E65" s="51">
        <v>0</v>
      </c>
      <c r="F65" s="51"/>
      <c r="G65" s="51"/>
      <c r="H65" s="51">
        <v>1</v>
      </c>
      <c r="I65" s="49">
        <f>IF(A65&lt;&gt;0,(B65-(B64-D64))/(A65-A64),"")</f>
        <v>10.8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>
        <v>40</v>
      </c>
      <c r="B66" s="60">
        <v>175</v>
      </c>
      <c r="C66" s="60">
        <v>5</v>
      </c>
      <c r="D66" s="60">
        <v>28</v>
      </c>
      <c r="E66" s="51">
        <v>0.2</v>
      </c>
      <c r="F66" s="51"/>
      <c r="G66" s="51"/>
      <c r="H66" s="51">
        <v>0.8</v>
      </c>
      <c r="I66" s="49">
        <f t="shared" ref="I66:I81" si="2">IF(A66&lt;&gt;0,(B66-(B65-D65))/(A66-A65),"")</f>
        <v>11.2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>
        <v>45</v>
      </c>
      <c r="B67" s="60">
        <v>204</v>
      </c>
      <c r="C67" s="60">
        <v>6</v>
      </c>
      <c r="D67" s="60">
        <v>28</v>
      </c>
      <c r="E67" s="51">
        <v>0.2</v>
      </c>
      <c r="F67" s="51"/>
      <c r="G67" s="51"/>
      <c r="H67" s="51">
        <v>0.8</v>
      </c>
      <c r="I67" s="49">
        <f t="shared" si="2"/>
        <v>11.4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>
        <v>50</v>
      </c>
      <c r="B68" s="60">
        <v>231</v>
      </c>
      <c r="C68" s="60">
        <v>7</v>
      </c>
      <c r="D68" s="60">
        <v>28</v>
      </c>
      <c r="E68" s="51">
        <v>0.3</v>
      </c>
      <c r="F68" s="51"/>
      <c r="G68" s="51"/>
      <c r="H68" s="51">
        <v>0.7</v>
      </c>
      <c r="I68" s="49">
        <f t="shared" si="2"/>
        <v>11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>
        <v>55</v>
      </c>
      <c r="B69" s="50">
        <v>254</v>
      </c>
      <c r="C69" s="50">
        <v>8</v>
      </c>
      <c r="D69" s="50">
        <v>28</v>
      </c>
      <c r="E69" s="51">
        <v>0.3</v>
      </c>
      <c r="F69" s="51"/>
      <c r="G69" s="51"/>
      <c r="H69" s="51">
        <v>0.7</v>
      </c>
      <c r="I69" s="49">
        <f t="shared" si="2"/>
        <v>10.199999999999999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>
        <v>60</v>
      </c>
      <c r="B70" s="50">
        <v>273</v>
      </c>
      <c r="C70" s="50">
        <v>9</v>
      </c>
      <c r="D70" s="50">
        <v>28</v>
      </c>
      <c r="E70" s="51">
        <v>0.4</v>
      </c>
      <c r="F70" s="51"/>
      <c r="G70" s="51"/>
      <c r="H70" s="51">
        <v>0.6</v>
      </c>
      <c r="I70" s="49">
        <f t="shared" si="2"/>
        <v>9.4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>
        <v>65</v>
      </c>
      <c r="B71" s="50">
        <v>289</v>
      </c>
      <c r="C71" s="50">
        <v>10</v>
      </c>
      <c r="D71" s="50">
        <v>28</v>
      </c>
      <c r="E71" s="51">
        <v>0.4</v>
      </c>
      <c r="F71" s="51"/>
      <c r="G71" s="51"/>
      <c r="H71" s="51">
        <v>0.6</v>
      </c>
      <c r="I71" s="49">
        <f t="shared" si="2"/>
        <v>8.8000000000000007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>
        <v>70</v>
      </c>
      <c r="B72" s="50">
        <v>302</v>
      </c>
      <c r="C72" s="50">
        <v>11</v>
      </c>
      <c r="D72" s="50">
        <v>28</v>
      </c>
      <c r="E72" s="51">
        <v>0.5</v>
      </c>
      <c r="F72" s="51"/>
      <c r="G72" s="51"/>
      <c r="H72" s="51">
        <v>0.5</v>
      </c>
      <c r="I72" s="49">
        <f t="shared" si="2"/>
        <v>8.1999999999999993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>
        <v>75</v>
      </c>
      <c r="B73" s="50">
        <v>312</v>
      </c>
      <c r="C73" s="50">
        <v>12</v>
      </c>
      <c r="D73" s="50">
        <v>28</v>
      </c>
      <c r="E73" s="51">
        <v>0.5</v>
      </c>
      <c r="F73" s="51"/>
      <c r="G73" s="51"/>
      <c r="H73" s="51">
        <v>0.5</v>
      </c>
      <c r="I73" s="49">
        <f t="shared" si="2"/>
        <v>7.6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>
        <v>80</v>
      </c>
      <c r="B74" s="50">
        <v>320</v>
      </c>
      <c r="C74" s="50">
        <v>13</v>
      </c>
      <c r="D74" s="50">
        <v>28</v>
      </c>
      <c r="E74" s="51">
        <v>0.6</v>
      </c>
      <c r="F74" s="51"/>
      <c r="G74" s="51"/>
      <c r="H74" s="51">
        <v>0.4</v>
      </c>
      <c r="I74" s="49">
        <f t="shared" si="2"/>
        <v>7.2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>
        <v>90</v>
      </c>
      <c r="B75" s="50">
        <v>358</v>
      </c>
      <c r="C75" s="50">
        <v>15</v>
      </c>
      <c r="D75" s="50">
        <v>56</v>
      </c>
      <c r="E75" s="51">
        <v>0.7</v>
      </c>
      <c r="F75" s="51"/>
      <c r="G75" s="51"/>
      <c r="H75" s="51">
        <v>0.3</v>
      </c>
      <c r="I75" s="49">
        <f t="shared" si="2"/>
        <v>6.6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>
        <v>100</v>
      </c>
      <c r="B76" s="50">
        <v>362</v>
      </c>
      <c r="C76" s="50">
        <v>17</v>
      </c>
      <c r="D76" s="50">
        <v>56</v>
      </c>
      <c r="E76" s="51">
        <v>0.8</v>
      </c>
      <c r="F76" s="51"/>
      <c r="G76" s="51"/>
      <c r="H76" s="51">
        <v>0.2</v>
      </c>
      <c r="I76" s="49">
        <f t="shared" si="2"/>
        <v>6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>
        <v>110</v>
      </c>
      <c r="B77" s="50">
        <v>358</v>
      </c>
      <c r="C77" s="50">
        <v>19</v>
      </c>
      <c r="D77" s="50">
        <v>51</v>
      </c>
      <c r="E77" s="51">
        <v>0.8</v>
      </c>
      <c r="F77" s="51"/>
      <c r="G77" s="51"/>
      <c r="H77" s="51">
        <v>0.2</v>
      </c>
      <c r="I77" s="49">
        <f t="shared" si="2"/>
        <v>5.2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>
        <v>120</v>
      </c>
      <c r="B78" s="50">
        <v>352</v>
      </c>
      <c r="C78" s="50">
        <v>21</v>
      </c>
      <c r="D78" s="50">
        <v>352</v>
      </c>
      <c r="E78" s="51">
        <v>0.9</v>
      </c>
      <c r="F78" s="51"/>
      <c r="G78" s="51"/>
      <c r="H78" s="51">
        <v>0.1</v>
      </c>
      <c r="I78" s="49">
        <f t="shared" si="2"/>
        <v>4.5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>Chêne pubescent</v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>
        <v>20</v>
      </c>
      <c r="B88" s="60">
        <v>73</v>
      </c>
      <c r="C88" s="60">
        <v>1</v>
      </c>
      <c r="D88" s="60">
        <v>0</v>
      </c>
      <c r="E88" s="51">
        <v>0</v>
      </c>
      <c r="F88" s="51"/>
      <c r="G88" s="51"/>
      <c r="H88" s="87">
        <v>1</v>
      </c>
      <c r="I88" s="53">
        <f>IFERROR(B88/A88,"")</f>
        <v>3.65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>
        <v>25</v>
      </c>
      <c r="B89" s="60">
        <v>103</v>
      </c>
      <c r="C89" s="60">
        <v>2</v>
      </c>
      <c r="D89" s="60">
        <v>0</v>
      </c>
      <c r="E89" s="51">
        <v>0</v>
      </c>
      <c r="F89" s="51"/>
      <c r="G89" s="51"/>
      <c r="H89" s="87">
        <v>1</v>
      </c>
      <c r="I89" s="53">
        <f t="shared" ref="I89:I107" si="3">IF(A89&lt;&gt;0,(B89-(B88-D88))/(A89-A88),"")</f>
        <v>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>
        <v>30</v>
      </c>
      <c r="B90" s="60">
        <v>121</v>
      </c>
      <c r="C90" s="60">
        <v>3</v>
      </c>
      <c r="D90" s="60">
        <v>28</v>
      </c>
      <c r="E90" s="87">
        <v>0</v>
      </c>
      <c r="F90" s="87"/>
      <c r="G90" s="87"/>
      <c r="H90" s="87">
        <v>1</v>
      </c>
      <c r="I90" s="53">
        <f t="shared" si="3"/>
        <v>3.6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>
        <v>35</v>
      </c>
      <c r="B91" s="60">
        <v>147</v>
      </c>
      <c r="C91" s="60">
        <v>4</v>
      </c>
      <c r="D91" s="60">
        <v>28</v>
      </c>
      <c r="E91" s="87">
        <v>0</v>
      </c>
      <c r="F91" s="87"/>
      <c r="G91" s="87"/>
      <c r="H91" s="87">
        <v>1</v>
      </c>
      <c r="I91" s="53">
        <f t="shared" si="3"/>
        <v>10.8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>
        <v>40</v>
      </c>
      <c r="B92" s="60">
        <v>175</v>
      </c>
      <c r="C92" s="60">
        <v>5</v>
      </c>
      <c r="D92" s="60">
        <v>28</v>
      </c>
      <c r="E92" s="87">
        <v>0.2</v>
      </c>
      <c r="F92" s="87"/>
      <c r="G92" s="87"/>
      <c r="H92" s="87">
        <v>0.8</v>
      </c>
      <c r="I92" s="53">
        <f t="shared" si="3"/>
        <v>11.2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>
        <v>45</v>
      </c>
      <c r="B93" s="60">
        <v>204</v>
      </c>
      <c r="C93" s="60">
        <v>6</v>
      </c>
      <c r="D93" s="60">
        <v>28</v>
      </c>
      <c r="E93" s="87">
        <v>0.2</v>
      </c>
      <c r="F93" s="87"/>
      <c r="G93" s="87"/>
      <c r="H93" s="87">
        <v>0.8</v>
      </c>
      <c r="I93" s="53">
        <f t="shared" si="3"/>
        <v>11.4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>
        <v>50</v>
      </c>
      <c r="B94" s="60">
        <v>231</v>
      </c>
      <c r="C94" s="60">
        <v>7</v>
      </c>
      <c r="D94" s="60">
        <v>28</v>
      </c>
      <c r="E94" s="87">
        <v>0.3</v>
      </c>
      <c r="F94" s="87"/>
      <c r="G94" s="87"/>
      <c r="H94" s="87">
        <v>0.7</v>
      </c>
      <c r="I94" s="53">
        <f t="shared" si="3"/>
        <v>11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>
        <v>55</v>
      </c>
      <c r="B95" s="60">
        <v>254</v>
      </c>
      <c r="C95" s="60">
        <v>8</v>
      </c>
      <c r="D95" s="60">
        <v>28</v>
      </c>
      <c r="E95" s="87">
        <v>0.3</v>
      </c>
      <c r="F95" s="87"/>
      <c r="G95" s="87"/>
      <c r="H95" s="87">
        <v>0.7</v>
      </c>
      <c r="I95" s="53">
        <f t="shared" si="3"/>
        <v>10.199999999999999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>
        <v>60</v>
      </c>
      <c r="B96" s="60">
        <v>273</v>
      </c>
      <c r="C96" s="60">
        <v>9</v>
      </c>
      <c r="D96" s="60">
        <v>28</v>
      </c>
      <c r="E96" s="87">
        <v>0.4</v>
      </c>
      <c r="F96" s="87"/>
      <c r="G96" s="87"/>
      <c r="H96" s="87">
        <v>0.6</v>
      </c>
      <c r="I96" s="53">
        <f t="shared" si="3"/>
        <v>9.4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>
        <v>65</v>
      </c>
      <c r="B97" s="60">
        <v>289</v>
      </c>
      <c r="C97" s="60">
        <v>10</v>
      </c>
      <c r="D97" s="60">
        <v>28</v>
      </c>
      <c r="E97" s="87">
        <v>0.4</v>
      </c>
      <c r="F97" s="87"/>
      <c r="G97" s="87"/>
      <c r="H97" s="87">
        <v>0.6</v>
      </c>
      <c r="I97" s="53">
        <f t="shared" si="3"/>
        <v>8.8000000000000007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>
        <v>70</v>
      </c>
      <c r="B98" s="60">
        <v>302</v>
      </c>
      <c r="C98" s="60">
        <v>11</v>
      </c>
      <c r="D98" s="60">
        <v>28</v>
      </c>
      <c r="E98" s="87">
        <v>0.5</v>
      </c>
      <c r="F98" s="87"/>
      <c r="G98" s="87"/>
      <c r="H98" s="87">
        <v>0.5</v>
      </c>
      <c r="I98" s="53">
        <f t="shared" si="3"/>
        <v>8.1999999999999993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>
        <v>75</v>
      </c>
      <c r="B99" s="60">
        <v>312</v>
      </c>
      <c r="C99" s="60">
        <v>12</v>
      </c>
      <c r="D99" s="60">
        <v>28</v>
      </c>
      <c r="E99" s="87">
        <v>0.5</v>
      </c>
      <c r="F99" s="87"/>
      <c r="G99" s="87"/>
      <c r="H99" s="87">
        <v>0.5</v>
      </c>
      <c r="I99" s="53">
        <f t="shared" si="3"/>
        <v>7.6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>
        <v>80</v>
      </c>
      <c r="B100" s="60">
        <v>320</v>
      </c>
      <c r="C100" s="60">
        <v>13</v>
      </c>
      <c r="D100" s="60">
        <v>28</v>
      </c>
      <c r="E100" s="65">
        <v>0.6</v>
      </c>
      <c r="F100" s="65"/>
      <c r="G100" s="65"/>
      <c r="H100" s="65">
        <v>0.4</v>
      </c>
      <c r="I100" s="53">
        <f t="shared" si="3"/>
        <v>7.2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>
        <v>90</v>
      </c>
      <c r="B101" s="60">
        <v>358</v>
      </c>
      <c r="C101" s="60">
        <v>15</v>
      </c>
      <c r="D101" s="60">
        <v>56</v>
      </c>
      <c r="E101" s="65">
        <v>0.7</v>
      </c>
      <c r="F101" s="65"/>
      <c r="G101" s="65"/>
      <c r="H101" s="65">
        <v>0.3</v>
      </c>
      <c r="I101" s="53">
        <f t="shared" si="3"/>
        <v>6.6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>
        <v>100</v>
      </c>
      <c r="B102" s="50">
        <v>362</v>
      </c>
      <c r="C102" s="60">
        <v>17</v>
      </c>
      <c r="D102" s="50">
        <v>56</v>
      </c>
      <c r="E102" s="54">
        <v>0.8</v>
      </c>
      <c r="F102" s="54"/>
      <c r="G102" s="54"/>
      <c r="H102" s="54">
        <v>0.2</v>
      </c>
      <c r="I102" s="53">
        <f t="shared" si="3"/>
        <v>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>
        <v>110</v>
      </c>
      <c r="B103" s="50">
        <v>358</v>
      </c>
      <c r="C103" s="60">
        <v>19</v>
      </c>
      <c r="D103" s="50">
        <v>51</v>
      </c>
      <c r="E103" s="54">
        <v>0.8</v>
      </c>
      <c r="F103" s="54"/>
      <c r="G103" s="54"/>
      <c r="H103" s="54">
        <v>0.2</v>
      </c>
      <c r="I103" s="53">
        <f t="shared" si="3"/>
        <v>5.2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>
        <v>120</v>
      </c>
      <c r="B104" s="50">
        <v>352</v>
      </c>
      <c r="C104" s="60">
        <v>21</v>
      </c>
      <c r="D104" s="50">
        <v>352</v>
      </c>
      <c r="E104" s="54">
        <v>0.9</v>
      </c>
      <c r="F104" s="54"/>
      <c r="G104" s="54"/>
      <c r="H104" s="54">
        <v>0.1</v>
      </c>
      <c r="I104" s="53">
        <f t="shared" si="3"/>
        <v>4.5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>Tilleul</v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>
        <v>10</v>
      </c>
      <c r="B114" s="60">
        <v>19</v>
      </c>
      <c r="C114" s="50">
        <v>1</v>
      </c>
      <c r="D114" s="60">
        <v>7</v>
      </c>
      <c r="E114" s="51">
        <v>0</v>
      </c>
      <c r="F114" s="51"/>
      <c r="G114" s="51"/>
      <c r="H114" s="51">
        <v>1</v>
      </c>
      <c r="I114" s="53">
        <f>IFERROR(B114/A114,"")</f>
        <v>1.9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>
        <v>15</v>
      </c>
      <c r="B115" s="60">
        <v>85</v>
      </c>
      <c r="C115" s="50">
        <v>2</v>
      </c>
      <c r="D115" s="60">
        <v>42</v>
      </c>
      <c r="E115" s="51">
        <v>0</v>
      </c>
      <c r="F115" s="51"/>
      <c r="G115" s="51"/>
      <c r="H115" s="51">
        <v>1</v>
      </c>
      <c r="I115" s="53">
        <f t="shared" ref="I115:I133" si="4">IF(A115&lt;&gt;0,(B115-(B114-D114))/(A115-A114),"")</f>
        <v>14.6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>
        <v>20</v>
      </c>
      <c r="B116" s="60">
        <v>123</v>
      </c>
      <c r="C116" s="50">
        <v>3</v>
      </c>
      <c r="D116" s="60">
        <v>42</v>
      </c>
      <c r="E116" s="51">
        <v>0</v>
      </c>
      <c r="F116" s="51"/>
      <c r="G116" s="51"/>
      <c r="H116" s="51">
        <v>1</v>
      </c>
      <c r="I116" s="53">
        <f t="shared" si="4"/>
        <v>16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>
        <v>25</v>
      </c>
      <c r="B117" s="60">
        <v>165</v>
      </c>
      <c r="C117" s="50">
        <v>4</v>
      </c>
      <c r="D117" s="60">
        <v>42</v>
      </c>
      <c r="E117" s="51">
        <v>0</v>
      </c>
      <c r="F117" s="51"/>
      <c r="G117" s="51"/>
      <c r="H117" s="51">
        <v>1</v>
      </c>
      <c r="I117" s="53">
        <f t="shared" si="4"/>
        <v>16.8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>
        <v>30</v>
      </c>
      <c r="B118" s="60">
        <v>205</v>
      </c>
      <c r="C118" s="50">
        <v>5</v>
      </c>
      <c r="D118" s="60">
        <v>42</v>
      </c>
      <c r="E118" s="51">
        <v>0.2</v>
      </c>
      <c r="F118" s="51"/>
      <c r="G118" s="51"/>
      <c r="H118" s="51">
        <v>0.8</v>
      </c>
      <c r="I118" s="53">
        <f t="shared" si="4"/>
        <v>16.399999999999999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>
        <v>35</v>
      </c>
      <c r="B119" s="60">
        <v>239</v>
      </c>
      <c r="C119" s="50">
        <v>6</v>
      </c>
      <c r="D119" s="60">
        <v>42</v>
      </c>
      <c r="E119" s="51">
        <v>0.2</v>
      </c>
      <c r="F119" s="51"/>
      <c r="G119" s="51"/>
      <c r="H119" s="51">
        <v>0.8</v>
      </c>
      <c r="I119" s="53">
        <f t="shared" si="4"/>
        <v>15.2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>
        <v>40</v>
      </c>
      <c r="B120" s="60">
        <v>263</v>
      </c>
      <c r="C120" s="60">
        <v>7</v>
      </c>
      <c r="D120" s="60">
        <v>40</v>
      </c>
      <c r="E120" s="87">
        <v>0.3</v>
      </c>
      <c r="F120" s="87"/>
      <c r="G120" s="87"/>
      <c r="H120" s="87">
        <v>0.7</v>
      </c>
      <c r="I120" s="53">
        <f t="shared" si="4"/>
        <v>13.2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>
        <v>45</v>
      </c>
      <c r="B121" s="60">
        <v>280</v>
      </c>
      <c r="C121" s="60">
        <v>8</v>
      </c>
      <c r="D121" s="60">
        <v>26</v>
      </c>
      <c r="E121" s="87">
        <v>0.3</v>
      </c>
      <c r="F121" s="87"/>
      <c r="G121" s="87"/>
      <c r="H121" s="87">
        <v>0.7</v>
      </c>
      <c r="I121" s="53">
        <f t="shared" si="4"/>
        <v>11.4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>
        <v>50</v>
      </c>
      <c r="B122" s="60">
        <v>303</v>
      </c>
      <c r="C122" s="60">
        <v>9</v>
      </c>
      <c r="D122" s="60">
        <v>21</v>
      </c>
      <c r="E122" s="87">
        <v>0.4</v>
      </c>
      <c r="F122" s="87"/>
      <c r="G122" s="87"/>
      <c r="H122" s="87">
        <v>0.6</v>
      </c>
      <c r="I122" s="53">
        <f t="shared" si="4"/>
        <v>9.8000000000000007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>
        <v>55</v>
      </c>
      <c r="B123" s="60">
        <v>324</v>
      </c>
      <c r="C123" s="60">
        <v>10</v>
      </c>
      <c r="D123" s="60">
        <v>18</v>
      </c>
      <c r="E123" s="87">
        <v>0.4</v>
      </c>
      <c r="F123" s="87"/>
      <c r="G123" s="87"/>
      <c r="H123" s="87">
        <v>0.6</v>
      </c>
      <c r="I123" s="53">
        <f t="shared" si="4"/>
        <v>8.4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>
        <v>60</v>
      </c>
      <c r="B124" s="60">
        <v>343</v>
      </c>
      <c r="C124" s="60">
        <v>11</v>
      </c>
      <c r="D124" s="60">
        <v>17</v>
      </c>
      <c r="E124" s="87">
        <v>0.5</v>
      </c>
      <c r="F124" s="87"/>
      <c r="G124" s="87"/>
      <c r="H124" s="87">
        <v>0.5</v>
      </c>
      <c r="I124" s="53">
        <f t="shared" si="4"/>
        <v>7.4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>
        <v>65</v>
      </c>
      <c r="B125" s="60">
        <v>356</v>
      </c>
      <c r="C125" s="60">
        <v>12</v>
      </c>
      <c r="D125" s="60">
        <v>16</v>
      </c>
      <c r="E125" s="87">
        <v>0.6</v>
      </c>
      <c r="F125" s="87"/>
      <c r="G125" s="87"/>
      <c r="H125" s="87">
        <v>0.4</v>
      </c>
      <c r="I125" s="53">
        <f t="shared" si="4"/>
        <v>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>
        <v>70</v>
      </c>
      <c r="B126" s="60">
        <v>366</v>
      </c>
      <c r="C126" s="60">
        <v>13</v>
      </c>
      <c r="D126" s="60">
        <v>15</v>
      </c>
      <c r="E126" s="65">
        <v>0.7</v>
      </c>
      <c r="F126" s="65"/>
      <c r="G126" s="65"/>
      <c r="H126" s="65">
        <v>0.3</v>
      </c>
      <c r="I126" s="53">
        <f t="shared" si="4"/>
        <v>5.2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>
        <v>75</v>
      </c>
      <c r="B127" s="60">
        <v>375</v>
      </c>
      <c r="C127" s="60">
        <v>14</v>
      </c>
      <c r="D127" s="60">
        <v>14</v>
      </c>
      <c r="E127" s="65">
        <v>0.8</v>
      </c>
      <c r="F127" s="65"/>
      <c r="G127" s="65"/>
      <c r="H127" s="65">
        <v>0.2</v>
      </c>
      <c r="I127" s="53">
        <f t="shared" si="4"/>
        <v>4.8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>
        <v>80</v>
      </c>
      <c r="B128" s="50">
        <v>381</v>
      </c>
      <c r="C128" s="50">
        <v>15</v>
      </c>
      <c r="D128" s="50">
        <v>381</v>
      </c>
      <c r="E128" s="54">
        <v>0.8</v>
      </c>
      <c r="F128" s="54"/>
      <c r="G128" s="54"/>
      <c r="H128" s="54">
        <v>0.2</v>
      </c>
      <c r="I128" s="53">
        <f t="shared" si="4"/>
        <v>4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>Aulne glutineux</v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>
        <v>10</v>
      </c>
      <c r="B140" s="60">
        <v>19</v>
      </c>
      <c r="C140" s="50">
        <v>1</v>
      </c>
      <c r="D140" s="60">
        <v>7</v>
      </c>
      <c r="E140" s="51">
        <v>0</v>
      </c>
      <c r="F140" s="51"/>
      <c r="G140" s="51"/>
      <c r="H140" s="51">
        <v>1</v>
      </c>
      <c r="I140" s="57">
        <f>IFERROR(B140/A140,"")</f>
        <v>1.9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>
        <v>15</v>
      </c>
      <c r="B141" s="60">
        <v>85</v>
      </c>
      <c r="C141" s="50">
        <v>2</v>
      </c>
      <c r="D141" s="60">
        <v>42</v>
      </c>
      <c r="E141" s="51">
        <v>0.2</v>
      </c>
      <c r="F141" s="51"/>
      <c r="G141" s="51"/>
      <c r="H141" s="51">
        <v>0.8</v>
      </c>
      <c r="I141" s="57">
        <f t="shared" ref="I141:I159" si="5">IF(A141&lt;&gt;0,(B141-(B140-D140))/(A141-A140),"")</f>
        <v>14.6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>
        <v>20</v>
      </c>
      <c r="B142" s="60">
        <v>123</v>
      </c>
      <c r="C142" s="50">
        <v>3</v>
      </c>
      <c r="D142" s="60">
        <v>42</v>
      </c>
      <c r="E142" s="51">
        <v>0.2</v>
      </c>
      <c r="F142" s="51"/>
      <c r="G142" s="51"/>
      <c r="H142" s="51">
        <v>0.8</v>
      </c>
      <c r="I142" s="57">
        <f t="shared" si="5"/>
        <v>16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>
        <v>25</v>
      </c>
      <c r="B143" s="60">
        <v>165</v>
      </c>
      <c r="C143" s="50">
        <v>4</v>
      </c>
      <c r="D143" s="60">
        <v>42</v>
      </c>
      <c r="E143" s="51">
        <v>0.3</v>
      </c>
      <c r="F143" s="51"/>
      <c r="G143" s="51"/>
      <c r="H143" s="51">
        <v>0.7</v>
      </c>
      <c r="I143" s="57">
        <f t="shared" si="5"/>
        <v>16.8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>
        <v>30</v>
      </c>
      <c r="B144" s="60">
        <v>205</v>
      </c>
      <c r="C144" s="50">
        <v>5</v>
      </c>
      <c r="D144" s="60">
        <v>42</v>
      </c>
      <c r="E144" s="51">
        <v>0.3</v>
      </c>
      <c r="F144" s="51"/>
      <c r="G144" s="51"/>
      <c r="H144" s="51">
        <v>0.7</v>
      </c>
      <c r="I144" s="57">
        <f t="shared" si="5"/>
        <v>16.399999999999999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>
        <v>35</v>
      </c>
      <c r="B145" s="60">
        <v>239</v>
      </c>
      <c r="C145" s="50">
        <v>6</v>
      </c>
      <c r="D145" s="60">
        <v>42</v>
      </c>
      <c r="E145" s="51">
        <v>0.4</v>
      </c>
      <c r="F145" s="51"/>
      <c r="G145" s="51"/>
      <c r="H145" s="51">
        <v>0.6</v>
      </c>
      <c r="I145" s="57">
        <f t="shared" si="5"/>
        <v>15.2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>
        <v>40</v>
      </c>
      <c r="B146" s="60">
        <v>263</v>
      </c>
      <c r="C146" s="50">
        <v>7</v>
      </c>
      <c r="D146" s="60">
        <v>40</v>
      </c>
      <c r="E146" s="51">
        <v>0.4</v>
      </c>
      <c r="F146" s="51"/>
      <c r="G146" s="51"/>
      <c r="H146" s="51">
        <v>0.6</v>
      </c>
      <c r="I146" s="57">
        <f t="shared" si="5"/>
        <v>13.2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>
        <v>45</v>
      </c>
      <c r="B147" s="60">
        <v>280</v>
      </c>
      <c r="C147" s="50">
        <v>8</v>
      </c>
      <c r="D147" s="60">
        <v>26</v>
      </c>
      <c r="E147" s="51">
        <v>0.5</v>
      </c>
      <c r="F147" s="51"/>
      <c r="G147" s="51"/>
      <c r="H147" s="51">
        <v>0.5</v>
      </c>
      <c r="I147" s="57">
        <f>IF(A147&lt;&gt;0,(B147-(B146-D146))/(A147-A146),"")</f>
        <v>11.4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>
        <v>50</v>
      </c>
      <c r="B148" s="60">
        <v>303</v>
      </c>
      <c r="C148" s="50">
        <v>9</v>
      </c>
      <c r="D148" s="60">
        <v>21</v>
      </c>
      <c r="E148" s="51">
        <v>0.5</v>
      </c>
      <c r="F148" s="51"/>
      <c r="G148" s="51"/>
      <c r="H148" s="51">
        <v>0.5</v>
      </c>
      <c r="I148" s="57">
        <f t="shared" si="5"/>
        <v>9.8000000000000007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>
        <v>55</v>
      </c>
      <c r="B149" s="60">
        <v>324</v>
      </c>
      <c r="C149" s="50">
        <v>10</v>
      </c>
      <c r="D149" s="60">
        <v>18</v>
      </c>
      <c r="E149" s="51">
        <v>0.6</v>
      </c>
      <c r="F149" s="51"/>
      <c r="G149" s="51"/>
      <c r="H149" s="51">
        <v>0.4</v>
      </c>
      <c r="I149" s="57">
        <f t="shared" si="5"/>
        <v>8.4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>
        <v>60</v>
      </c>
      <c r="B150" s="60">
        <v>343</v>
      </c>
      <c r="C150" s="50">
        <v>11</v>
      </c>
      <c r="D150" s="60">
        <v>17</v>
      </c>
      <c r="E150" s="51">
        <v>0.6</v>
      </c>
      <c r="F150" s="51"/>
      <c r="G150" s="51"/>
      <c r="H150" s="51">
        <v>0.4</v>
      </c>
      <c r="I150" s="57">
        <f t="shared" si="5"/>
        <v>7.4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>
        <v>65</v>
      </c>
      <c r="B151" s="60">
        <v>356</v>
      </c>
      <c r="C151" s="50">
        <v>12</v>
      </c>
      <c r="D151" s="60">
        <v>16</v>
      </c>
      <c r="E151" s="51">
        <v>0.7</v>
      </c>
      <c r="F151" s="51"/>
      <c r="G151" s="51"/>
      <c r="H151" s="51">
        <v>0.3</v>
      </c>
      <c r="I151" s="57">
        <f t="shared" si="5"/>
        <v>6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>
        <v>70</v>
      </c>
      <c r="B152" s="60">
        <v>366</v>
      </c>
      <c r="C152" s="50">
        <v>13</v>
      </c>
      <c r="D152" s="60">
        <v>15</v>
      </c>
      <c r="E152" s="54">
        <v>0.7</v>
      </c>
      <c r="F152" s="54"/>
      <c r="G152" s="54"/>
      <c r="H152" s="54">
        <v>0.3</v>
      </c>
      <c r="I152" s="57">
        <f t="shared" si="5"/>
        <v>5.2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>
        <v>75</v>
      </c>
      <c r="B153" s="60">
        <v>375</v>
      </c>
      <c r="C153" s="50">
        <v>14</v>
      </c>
      <c r="D153" s="60">
        <v>14</v>
      </c>
      <c r="E153" s="54">
        <v>0.8</v>
      </c>
      <c r="F153" s="54"/>
      <c r="G153" s="54"/>
      <c r="H153" s="54">
        <v>0.2</v>
      </c>
      <c r="I153" s="57">
        <f t="shared" si="5"/>
        <v>4.8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>
        <v>80</v>
      </c>
      <c r="B154" s="56">
        <v>381</v>
      </c>
      <c r="C154" s="50">
        <v>15</v>
      </c>
      <c r="D154" s="50">
        <v>381</v>
      </c>
      <c r="E154" s="54">
        <v>0.8</v>
      </c>
      <c r="F154" s="54"/>
      <c r="G154" s="54"/>
      <c r="H154" s="54">
        <v>0.2</v>
      </c>
      <c r="I154" s="57">
        <f t="shared" si="5"/>
        <v>4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>Hêtre</v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>
        <v>20</v>
      </c>
      <c r="B166" s="60">
        <v>56</v>
      </c>
      <c r="C166" s="60">
        <v>1</v>
      </c>
      <c r="D166" s="60">
        <v>0</v>
      </c>
      <c r="E166" s="51">
        <v>0</v>
      </c>
      <c r="F166" s="51"/>
      <c r="G166" s="51"/>
      <c r="H166" s="51">
        <v>1</v>
      </c>
      <c r="I166" s="49">
        <f>IFERROR(B166/A166,"")</f>
        <v>2.8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>
        <v>25</v>
      </c>
      <c r="B167" s="60">
        <v>111</v>
      </c>
      <c r="C167" s="60">
        <v>2</v>
      </c>
      <c r="D167" s="60">
        <v>26</v>
      </c>
      <c r="E167" s="51">
        <v>0</v>
      </c>
      <c r="F167" s="51"/>
      <c r="G167" s="51"/>
      <c r="H167" s="51">
        <v>1</v>
      </c>
      <c r="I167" s="49">
        <f t="shared" ref="I167:I185" si="6">IF(A167&lt;&gt;0,(B167-(B166-D166))/(A167-A166),"")</f>
        <v>11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>
        <v>30</v>
      </c>
      <c r="B168" s="60">
        <v>146</v>
      </c>
      <c r="C168" s="60">
        <v>3</v>
      </c>
      <c r="D168" s="60">
        <v>35</v>
      </c>
      <c r="E168" s="51">
        <v>0</v>
      </c>
      <c r="F168" s="51"/>
      <c r="G168" s="51"/>
      <c r="H168" s="51">
        <v>1</v>
      </c>
      <c r="I168" s="49">
        <f t="shared" si="6"/>
        <v>12.2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>
        <v>35</v>
      </c>
      <c r="B169" s="60">
        <v>175</v>
      </c>
      <c r="C169" s="60">
        <v>4</v>
      </c>
      <c r="D169" s="60">
        <v>35</v>
      </c>
      <c r="E169" s="51">
        <v>0</v>
      </c>
      <c r="F169" s="51"/>
      <c r="G169" s="51"/>
      <c r="H169" s="51">
        <v>1</v>
      </c>
      <c r="I169" s="49">
        <f t="shared" si="6"/>
        <v>12.8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>
        <v>40</v>
      </c>
      <c r="B170" s="60">
        <v>207</v>
      </c>
      <c r="C170" s="60">
        <v>5</v>
      </c>
      <c r="D170" s="60">
        <v>35</v>
      </c>
      <c r="E170" s="51">
        <v>0.2</v>
      </c>
      <c r="F170" s="51"/>
      <c r="G170" s="51"/>
      <c r="H170" s="51">
        <v>0.8</v>
      </c>
      <c r="I170" s="49">
        <f t="shared" si="6"/>
        <v>13.4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>
        <v>45</v>
      </c>
      <c r="B171" s="60">
        <v>241</v>
      </c>
      <c r="C171" s="60">
        <v>6</v>
      </c>
      <c r="D171" s="60">
        <v>35</v>
      </c>
      <c r="E171" s="51">
        <v>0.2</v>
      </c>
      <c r="F171" s="51"/>
      <c r="G171" s="51"/>
      <c r="H171" s="51">
        <v>0.8</v>
      </c>
      <c r="I171" s="49">
        <f t="shared" si="6"/>
        <v>13.8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>
        <v>50</v>
      </c>
      <c r="B172" s="60">
        <v>274</v>
      </c>
      <c r="C172" s="60">
        <v>7</v>
      </c>
      <c r="D172" s="60">
        <v>35</v>
      </c>
      <c r="E172" s="51">
        <v>0.3</v>
      </c>
      <c r="F172" s="51"/>
      <c r="G172" s="51"/>
      <c r="H172" s="51">
        <v>0.7</v>
      </c>
      <c r="I172" s="49">
        <f t="shared" si="6"/>
        <v>13.6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>
        <v>55</v>
      </c>
      <c r="B173" s="50">
        <v>306</v>
      </c>
      <c r="C173" s="50">
        <v>8</v>
      </c>
      <c r="D173" s="50">
        <v>35</v>
      </c>
      <c r="E173" s="51">
        <v>0.3</v>
      </c>
      <c r="F173" s="51"/>
      <c r="G173" s="51"/>
      <c r="H173" s="51">
        <v>0.7</v>
      </c>
      <c r="I173" s="49">
        <f t="shared" si="6"/>
        <v>13.4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>
        <v>60</v>
      </c>
      <c r="B174" s="50">
        <v>336</v>
      </c>
      <c r="C174" s="50">
        <v>9</v>
      </c>
      <c r="D174" s="50">
        <v>35</v>
      </c>
      <c r="E174" s="51">
        <v>0.4</v>
      </c>
      <c r="F174" s="51"/>
      <c r="G174" s="51"/>
      <c r="H174" s="51">
        <v>0.6</v>
      </c>
      <c r="I174" s="49">
        <f t="shared" si="6"/>
        <v>13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>
        <v>65</v>
      </c>
      <c r="B175" s="50">
        <v>363</v>
      </c>
      <c r="C175" s="50">
        <v>10</v>
      </c>
      <c r="D175" s="50">
        <v>35</v>
      </c>
      <c r="E175" s="51">
        <v>0.4</v>
      </c>
      <c r="F175" s="51"/>
      <c r="G175" s="51"/>
      <c r="H175" s="51">
        <v>0.6</v>
      </c>
      <c r="I175" s="49">
        <f t="shared" si="6"/>
        <v>12.4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>
        <v>70</v>
      </c>
      <c r="B176" s="50">
        <v>387</v>
      </c>
      <c r="C176" s="50">
        <v>11</v>
      </c>
      <c r="D176" s="50">
        <v>35</v>
      </c>
      <c r="E176" s="51">
        <v>0.5</v>
      </c>
      <c r="F176" s="51"/>
      <c r="G176" s="51"/>
      <c r="H176" s="51">
        <v>0.5</v>
      </c>
      <c r="I176" s="49">
        <f t="shared" si="6"/>
        <v>11.8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>
        <v>75</v>
      </c>
      <c r="B177" s="50">
        <v>407</v>
      </c>
      <c r="C177" s="50">
        <v>12</v>
      </c>
      <c r="D177" s="50">
        <v>35</v>
      </c>
      <c r="E177" s="51">
        <v>0.5</v>
      </c>
      <c r="F177" s="51"/>
      <c r="G177" s="51"/>
      <c r="H177" s="51">
        <v>0.5</v>
      </c>
      <c r="I177" s="49">
        <f t="shared" si="6"/>
        <v>11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>
        <v>80</v>
      </c>
      <c r="B178" s="50">
        <v>424</v>
      </c>
      <c r="C178" s="50">
        <v>13</v>
      </c>
      <c r="D178" s="50">
        <v>34</v>
      </c>
      <c r="E178" s="51">
        <v>0.6</v>
      </c>
      <c r="F178" s="51"/>
      <c r="G178" s="51"/>
      <c r="H178" s="51">
        <v>0.4</v>
      </c>
      <c r="I178" s="49">
        <f t="shared" si="6"/>
        <v>10.4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>
        <v>85</v>
      </c>
      <c r="B179" s="50">
        <v>438</v>
      </c>
      <c r="C179" s="50">
        <v>14</v>
      </c>
      <c r="D179" s="50">
        <v>33</v>
      </c>
      <c r="E179" s="51">
        <v>0.6</v>
      </c>
      <c r="F179" s="51"/>
      <c r="G179" s="51"/>
      <c r="H179" s="51">
        <v>0.4</v>
      </c>
      <c r="I179" s="49">
        <f t="shared" si="6"/>
        <v>9.6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>
        <v>90</v>
      </c>
      <c r="B180" s="50">
        <v>451</v>
      </c>
      <c r="C180" s="50">
        <v>15</v>
      </c>
      <c r="D180" s="50">
        <v>31</v>
      </c>
      <c r="E180" s="51">
        <v>0.7</v>
      </c>
      <c r="F180" s="51"/>
      <c r="G180" s="51"/>
      <c r="H180" s="51">
        <v>0.3</v>
      </c>
      <c r="I180" s="49">
        <f t="shared" si="6"/>
        <v>9.1999999999999993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>
        <v>95</v>
      </c>
      <c r="B181" s="50">
        <v>463</v>
      </c>
      <c r="C181" s="50">
        <v>16</v>
      </c>
      <c r="D181" s="50">
        <v>30</v>
      </c>
      <c r="E181" s="51">
        <v>0.7</v>
      </c>
      <c r="F181" s="51"/>
      <c r="G181" s="51"/>
      <c r="H181" s="51">
        <v>0.3</v>
      </c>
      <c r="I181" s="49">
        <f t="shared" si="6"/>
        <v>8.6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>
        <v>100</v>
      </c>
      <c r="B182" s="50">
        <v>474</v>
      </c>
      <c r="C182" s="50">
        <v>17</v>
      </c>
      <c r="D182" s="50">
        <v>29</v>
      </c>
      <c r="E182" s="51">
        <v>0.8</v>
      </c>
      <c r="F182" s="51"/>
      <c r="G182" s="51"/>
      <c r="H182" s="51">
        <v>0.2</v>
      </c>
      <c r="I182" s="49">
        <f t="shared" si="6"/>
        <v>8.1999999999999993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>
        <v>110</v>
      </c>
      <c r="B183" s="50">
        <v>493</v>
      </c>
      <c r="C183" s="50">
        <v>19</v>
      </c>
      <c r="D183" s="50">
        <v>27</v>
      </c>
      <c r="E183" s="51">
        <v>0.8</v>
      </c>
      <c r="F183" s="51"/>
      <c r="G183" s="51"/>
      <c r="H183" s="51">
        <v>0.2</v>
      </c>
      <c r="I183" s="49">
        <f t="shared" si="6"/>
        <v>4.8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>
        <v>115</v>
      </c>
      <c r="B184" s="50">
        <v>501</v>
      </c>
      <c r="C184" s="50">
        <v>20</v>
      </c>
      <c r="D184" s="50">
        <v>26</v>
      </c>
      <c r="E184" s="51">
        <v>0.8</v>
      </c>
      <c r="F184" s="51"/>
      <c r="G184" s="51"/>
      <c r="H184" s="51">
        <v>0.2</v>
      </c>
      <c r="I184" s="49">
        <f t="shared" si="6"/>
        <v>7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>
        <v>120</v>
      </c>
      <c r="B185" s="50">
        <v>508</v>
      </c>
      <c r="C185" s="50">
        <v>21</v>
      </c>
      <c r="D185" s="50">
        <v>508</v>
      </c>
      <c r="E185" s="51">
        <v>0.8</v>
      </c>
      <c r="F185" s="51"/>
      <c r="G185" s="51"/>
      <c r="H185" s="51">
        <v>0.2</v>
      </c>
      <c r="I185" s="49">
        <f t="shared" si="6"/>
        <v>6.6</v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>Erable plane</v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>
        <v>10</v>
      </c>
      <c r="B192" s="60">
        <v>19</v>
      </c>
      <c r="C192" s="60">
        <v>1</v>
      </c>
      <c r="D192" s="60">
        <v>7</v>
      </c>
      <c r="E192" s="51">
        <v>0</v>
      </c>
      <c r="F192" s="51"/>
      <c r="G192" s="51"/>
      <c r="H192" s="51">
        <v>1</v>
      </c>
      <c r="I192" s="49">
        <f>IFERROR(B192/A192,"")</f>
        <v>1.9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>
        <v>15</v>
      </c>
      <c r="B193" s="60">
        <v>85</v>
      </c>
      <c r="C193" s="60">
        <v>2</v>
      </c>
      <c r="D193" s="60">
        <v>42</v>
      </c>
      <c r="E193" s="51">
        <v>0.2</v>
      </c>
      <c r="F193" s="51"/>
      <c r="G193" s="51"/>
      <c r="H193" s="51">
        <v>0.8</v>
      </c>
      <c r="I193" s="49">
        <f t="shared" ref="I193:I211" si="7">IF(A193&lt;&gt;0,(B193-(B192-D192))/(A193-A192),"")</f>
        <v>14.6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>
        <v>20</v>
      </c>
      <c r="B194" s="60">
        <v>123</v>
      </c>
      <c r="C194" s="60">
        <v>3</v>
      </c>
      <c r="D194" s="60">
        <v>42</v>
      </c>
      <c r="E194" s="51">
        <v>0.2</v>
      </c>
      <c r="F194" s="51"/>
      <c r="G194" s="51"/>
      <c r="H194" s="51">
        <v>0.8</v>
      </c>
      <c r="I194" s="49">
        <f t="shared" si="7"/>
        <v>16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>
        <v>25</v>
      </c>
      <c r="B195" s="60">
        <v>165</v>
      </c>
      <c r="C195" s="60">
        <v>4</v>
      </c>
      <c r="D195" s="60">
        <v>42</v>
      </c>
      <c r="E195" s="51">
        <v>0.3</v>
      </c>
      <c r="F195" s="51"/>
      <c r="G195" s="51"/>
      <c r="H195" s="51">
        <v>0.7</v>
      </c>
      <c r="I195" s="49">
        <f t="shared" si="7"/>
        <v>16.8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>
        <v>30</v>
      </c>
      <c r="B196" s="60">
        <v>205</v>
      </c>
      <c r="C196" s="60">
        <v>5</v>
      </c>
      <c r="D196" s="60">
        <v>42</v>
      </c>
      <c r="E196" s="51">
        <v>0.3</v>
      </c>
      <c r="F196" s="51"/>
      <c r="G196" s="51"/>
      <c r="H196" s="51">
        <v>0.7</v>
      </c>
      <c r="I196" s="49">
        <f t="shared" si="7"/>
        <v>16.399999999999999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>
        <v>35</v>
      </c>
      <c r="B197" s="60">
        <v>239</v>
      </c>
      <c r="C197" s="60">
        <v>6</v>
      </c>
      <c r="D197" s="60">
        <v>42</v>
      </c>
      <c r="E197" s="51">
        <v>0.4</v>
      </c>
      <c r="F197" s="51"/>
      <c r="G197" s="51"/>
      <c r="H197" s="51">
        <v>0.6</v>
      </c>
      <c r="I197" s="49">
        <f t="shared" si="7"/>
        <v>15.2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>
        <v>40</v>
      </c>
      <c r="B198" s="60">
        <v>263</v>
      </c>
      <c r="C198" s="60">
        <v>7</v>
      </c>
      <c r="D198" s="60">
        <v>40</v>
      </c>
      <c r="E198" s="51">
        <v>0.4</v>
      </c>
      <c r="F198" s="51"/>
      <c r="G198" s="51"/>
      <c r="H198" s="51">
        <v>0.6</v>
      </c>
      <c r="I198" s="49">
        <f t="shared" si="7"/>
        <v>13.2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>
        <v>45</v>
      </c>
      <c r="B199" s="50">
        <v>280</v>
      </c>
      <c r="C199" s="50">
        <v>8</v>
      </c>
      <c r="D199" s="50">
        <v>26</v>
      </c>
      <c r="E199" s="51">
        <v>0.5</v>
      </c>
      <c r="F199" s="51"/>
      <c r="G199" s="51"/>
      <c r="H199" s="51">
        <v>0.5</v>
      </c>
      <c r="I199" s="49">
        <f t="shared" si="7"/>
        <v>11.4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>
        <v>50</v>
      </c>
      <c r="B200" s="50">
        <v>303</v>
      </c>
      <c r="C200" s="50">
        <v>9</v>
      </c>
      <c r="D200" s="50">
        <v>21</v>
      </c>
      <c r="E200" s="51">
        <v>0.5</v>
      </c>
      <c r="F200" s="51"/>
      <c r="G200" s="51"/>
      <c r="H200" s="51">
        <v>0.5</v>
      </c>
      <c r="I200" s="49">
        <f t="shared" si="7"/>
        <v>9.8000000000000007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>
        <v>55</v>
      </c>
      <c r="B201" s="50">
        <v>324</v>
      </c>
      <c r="C201" s="50">
        <v>10</v>
      </c>
      <c r="D201" s="50">
        <v>18</v>
      </c>
      <c r="E201" s="51">
        <v>0.6</v>
      </c>
      <c r="F201" s="51"/>
      <c r="G201" s="51"/>
      <c r="H201" s="51">
        <v>0.4</v>
      </c>
      <c r="I201" s="49">
        <f t="shared" si="7"/>
        <v>8.4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>
        <v>60</v>
      </c>
      <c r="B202" s="50">
        <v>343</v>
      </c>
      <c r="C202" s="50">
        <v>11</v>
      </c>
      <c r="D202" s="50">
        <v>17</v>
      </c>
      <c r="E202" s="51">
        <v>0.6</v>
      </c>
      <c r="F202" s="51"/>
      <c r="G202" s="51"/>
      <c r="H202" s="51">
        <v>0.4</v>
      </c>
      <c r="I202" s="49">
        <f t="shared" si="7"/>
        <v>7.4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>
        <v>65</v>
      </c>
      <c r="B203" s="50">
        <v>356</v>
      </c>
      <c r="C203" s="50">
        <v>12</v>
      </c>
      <c r="D203" s="50">
        <v>16</v>
      </c>
      <c r="E203" s="51">
        <v>0.7</v>
      </c>
      <c r="F203" s="51"/>
      <c r="G203" s="51"/>
      <c r="H203" s="51">
        <v>0.3</v>
      </c>
      <c r="I203" s="49">
        <f t="shared" si="7"/>
        <v>6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>
        <v>70</v>
      </c>
      <c r="B204" s="50">
        <v>366</v>
      </c>
      <c r="C204" s="50">
        <v>13</v>
      </c>
      <c r="D204" s="50">
        <v>15</v>
      </c>
      <c r="E204" s="51">
        <v>0.7</v>
      </c>
      <c r="F204" s="51"/>
      <c r="G204" s="51"/>
      <c r="H204" s="51">
        <v>0.3</v>
      </c>
      <c r="I204" s="49">
        <f t="shared" si="7"/>
        <v>5.2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>
        <v>75</v>
      </c>
      <c r="B205" s="50">
        <v>375</v>
      </c>
      <c r="C205" s="50">
        <v>14</v>
      </c>
      <c r="D205" s="50">
        <v>14</v>
      </c>
      <c r="E205" s="51">
        <v>0.8</v>
      </c>
      <c r="F205" s="51"/>
      <c r="G205" s="51"/>
      <c r="H205" s="51">
        <v>0.2</v>
      </c>
      <c r="I205" s="49">
        <f t="shared" si="7"/>
        <v>4.8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>
        <v>80</v>
      </c>
      <c r="B206" s="50">
        <v>381</v>
      </c>
      <c r="C206" s="50">
        <v>15</v>
      </c>
      <c r="D206" s="50">
        <v>381</v>
      </c>
      <c r="E206" s="51">
        <v>0.8</v>
      </c>
      <c r="F206" s="51"/>
      <c r="G206" s="51"/>
      <c r="H206" s="51">
        <v>0.2</v>
      </c>
      <c r="I206" s="49">
        <f t="shared" si="7"/>
        <v>4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>Erable champêtre</v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>
        <v>10</v>
      </c>
      <c r="B218" s="60">
        <v>11</v>
      </c>
      <c r="C218" s="50">
        <v>1</v>
      </c>
      <c r="D218" s="60">
        <v>0</v>
      </c>
      <c r="E218" s="63">
        <v>0</v>
      </c>
      <c r="F218" s="63"/>
      <c r="G218" s="63"/>
      <c r="H218" s="63">
        <v>1</v>
      </c>
      <c r="I218" s="53">
        <f>IFERROR(B218/A218,"")</f>
        <v>1.1000000000000001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>
        <v>15</v>
      </c>
      <c r="B219" s="60">
        <v>65</v>
      </c>
      <c r="C219" s="50">
        <v>2</v>
      </c>
      <c r="D219" s="60">
        <v>32</v>
      </c>
      <c r="E219" s="63">
        <v>0.2</v>
      </c>
      <c r="F219" s="63"/>
      <c r="G219" s="63"/>
      <c r="H219" s="63">
        <v>0.8</v>
      </c>
      <c r="I219" s="53">
        <f t="shared" ref="I219:I237" si="8">IF(A219&lt;&gt;0,(B219-(B218-D218))/(A219-A218),"")</f>
        <v>10.8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>
        <v>20</v>
      </c>
      <c r="B220" s="60">
        <v>102</v>
      </c>
      <c r="C220" s="50">
        <v>3</v>
      </c>
      <c r="D220" s="60">
        <v>35</v>
      </c>
      <c r="E220" s="63">
        <v>0.2</v>
      </c>
      <c r="F220" s="63"/>
      <c r="G220" s="63"/>
      <c r="H220" s="63">
        <v>0.8</v>
      </c>
      <c r="I220" s="53">
        <f t="shared" si="8"/>
        <v>13.8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>
        <v>25</v>
      </c>
      <c r="B221" s="55">
        <v>141</v>
      </c>
      <c r="C221" s="55">
        <v>4</v>
      </c>
      <c r="D221" s="55">
        <v>35</v>
      </c>
      <c r="E221" s="63">
        <v>0.3</v>
      </c>
      <c r="F221" s="63"/>
      <c r="G221" s="63"/>
      <c r="H221" s="63">
        <v>0.7</v>
      </c>
      <c r="I221" s="53">
        <f t="shared" si="8"/>
        <v>14.8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>
        <v>30</v>
      </c>
      <c r="B222" s="55">
        <v>177</v>
      </c>
      <c r="C222" s="55">
        <v>5</v>
      </c>
      <c r="D222" s="55">
        <v>35</v>
      </c>
      <c r="E222" s="63">
        <v>0.3</v>
      </c>
      <c r="F222" s="63"/>
      <c r="G222" s="63"/>
      <c r="H222" s="63">
        <v>0.7</v>
      </c>
      <c r="I222" s="53">
        <f t="shared" si="8"/>
        <v>14.2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>
        <v>35</v>
      </c>
      <c r="B223" s="55">
        <v>206</v>
      </c>
      <c r="C223" s="55">
        <v>6</v>
      </c>
      <c r="D223" s="55">
        <v>35</v>
      </c>
      <c r="E223" s="63">
        <v>0.4</v>
      </c>
      <c r="F223" s="63"/>
      <c r="G223" s="63"/>
      <c r="H223" s="63">
        <v>0.6</v>
      </c>
      <c r="I223" s="53">
        <f t="shared" si="8"/>
        <v>12.8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>
        <v>40</v>
      </c>
      <c r="B224" s="55">
        <v>228</v>
      </c>
      <c r="C224" s="55">
        <v>7</v>
      </c>
      <c r="D224" s="55">
        <v>35</v>
      </c>
      <c r="E224" s="63">
        <v>0.4</v>
      </c>
      <c r="F224" s="63"/>
      <c r="G224" s="63"/>
      <c r="H224" s="63">
        <v>0.6</v>
      </c>
      <c r="I224" s="53">
        <f t="shared" si="8"/>
        <v>11.4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>
        <v>45</v>
      </c>
      <c r="B225" s="55">
        <v>242</v>
      </c>
      <c r="C225" s="55">
        <v>8</v>
      </c>
      <c r="D225" s="55">
        <v>24</v>
      </c>
      <c r="E225" s="63">
        <v>0.5</v>
      </c>
      <c r="F225" s="63"/>
      <c r="G225" s="63"/>
      <c r="H225" s="63">
        <v>0.5</v>
      </c>
      <c r="I225" s="53">
        <f t="shared" si="8"/>
        <v>9.8000000000000007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>
        <v>50</v>
      </c>
      <c r="B226" s="55">
        <v>261</v>
      </c>
      <c r="C226" s="55">
        <v>9</v>
      </c>
      <c r="D226" s="55">
        <v>19</v>
      </c>
      <c r="E226" s="63">
        <v>0.5</v>
      </c>
      <c r="F226" s="63"/>
      <c r="G226" s="63"/>
      <c r="H226" s="63">
        <v>0.5</v>
      </c>
      <c r="I226" s="53">
        <f t="shared" si="8"/>
        <v>8.6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>
        <v>55</v>
      </c>
      <c r="B227" s="55">
        <v>279</v>
      </c>
      <c r="C227" s="55">
        <v>10</v>
      </c>
      <c r="D227" s="55">
        <v>16</v>
      </c>
      <c r="E227" s="63">
        <v>0.6</v>
      </c>
      <c r="F227" s="63"/>
      <c r="G227" s="63"/>
      <c r="H227" s="63">
        <v>0.4</v>
      </c>
      <c r="I227" s="53">
        <f t="shared" si="8"/>
        <v>7.4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>
        <v>60</v>
      </c>
      <c r="B228" s="55">
        <v>294</v>
      </c>
      <c r="C228" s="55">
        <v>11</v>
      </c>
      <c r="D228" s="55">
        <v>14</v>
      </c>
      <c r="E228" s="63">
        <v>0.6</v>
      </c>
      <c r="F228" s="63"/>
      <c r="G228" s="63"/>
      <c r="H228" s="63">
        <v>0.4</v>
      </c>
      <c r="I228" s="53">
        <f t="shared" si="8"/>
        <v>6.2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>
        <v>65</v>
      </c>
      <c r="B229" s="55">
        <v>306</v>
      </c>
      <c r="C229" s="55">
        <v>12</v>
      </c>
      <c r="D229" s="55">
        <v>13</v>
      </c>
      <c r="E229" s="63">
        <v>0.7</v>
      </c>
      <c r="F229" s="63"/>
      <c r="G229" s="63"/>
      <c r="H229" s="63">
        <v>0.3</v>
      </c>
      <c r="I229" s="53">
        <f t="shared" si="8"/>
        <v>5.2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>
        <v>70</v>
      </c>
      <c r="B230" s="55">
        <v>316</v>
      </c>
      <c r="C230" s="55">
        <v>13</v>
      </c>
      <c r="D230" s="55">
        <v>13</v>
      </c>
      <c r="E230" s="64">
        <v>0.7</v>
      </c>
      <c r="F230" s="64"/>
      <c r="G230" s="64"/>
      <c r="H230" s="64">
        <v>0.3</v>
      </c>
      <c r="I230" s="53">
        <f t="shared" si="8"/>
        <v>4.5999999999999996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>
        <v>75</v>
      </c>
      <c r="B231" s="60">
        <v>324</v>
      </c>
      <c r="C231" s="88">
        <v>14</v>
      </c>
      <c r="D231" s="60">
        <v>12</v>
      </c>
      <c r="E231" s="54">
        <v>0.8</v>
      </c>
      <c r="F231" s="54"/>
      <c r="G231" s="54"/>
      <c r="H231" s="54">
        <v>0.2</v>
      </c>
      <c r="I231" s="53">
        <f t="shared" si="8"/>
        <v>4.2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>
        <v>80</v>
      </c>
      <c r="B232" s="50">
        <v>330</v>
      </c>
      <c r="C232" s="50">
        <v>15</v>
      </c>
      <c r="D232" s="50">
        <v>330</v>
      </c>
      <c r="E232" s="54">
        <v>0.8</v>
      </c>
      <c r="F232" s="54"/>
      <c r="G232" s="54"/>
      <c r="H232" s="54">
        <v>0.2</v>
      </c>
      <c r="I232" s="53">
        <f t="shared" si="8"/>
        <v>3.6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>Merisier</v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>
        <v>15</v>
      </c>
      <c r="B244" s="60">
        <v>40</v>
      </c>
      <c r="C244" s="60">
        <v>1</v>
      </c>
      <c r="D244" s="60">
        <v>3</v>
      </c>
      <c r="E244" s="51">
        <v>0</v>
      </c>
      <c r="F244" s="51"/>
      <c r="G244" s="51"/>
      <c r="H244" s="63">
        <v>1</v>
      </c>
      <c r="I244" s="53">
        <f>IFERROR(B244/A244,"")</f>
        <v>2.6666666666666665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>
        <v>20</v>
      </c>
      <c r="B245" s="60">
        <v>85</v>
      </c>
      <c r="C245" s="60">
        <v>2</v>
      </c>
      <c r="D245" s="60">
        <v>25</v>
      </c>
      <c r="E245" s="63">
        <v>0.2</v>
      </c>
      <c r="F245" s="63"/>
      <c r="G245" s="63"/>
      <c r="H245" s="63">
        <v>0.8</v>
      </c>
      <c r="I245" s="53">
        <f>IF(A245&lt;&gt;0,(B245-(B244-D244))/(A245-A244),"")</f>
        <v>9.6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>
        <v>25</v>
      </c>
      <c r="B246" s="60">
        <v>113</v>
      </c>
      <c r="C246" s="60">
        <v>3</v>
      </c>
      <c r="D246" s="60">
        <v>27</v>
      </c>
      <c r="E246" s="63">
        <v>0.2</v>
      </c>
      <c r="F246" s="63"/>
      <c r="G246" s="63"/>
      <c r="H246" s="63">
        <v>0.8</v>
      </c>
      <c r="I246" s="53">
        <f>IF(A246&lt;&gt;0,(B246-(B245-D245))/(A246-A245),"")</f>
        <v>10.6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>
        <v>31</v>
      </c>
      <c r="B247" s="60">
        <v>155</v>
      </c>
      <c r="C247" s="60">
        <v>4</v>
      </c>
      <c r="D247" s="60">
        <v>36</v>
      </c>
      <c r="E247" s="63">
        <v>0.3</v>
      </c>
      <c r="F247" s="63"/>
      <c r="G247" s="63"/>
      <c r="H247" s="63">
        <v>0.7</v>
      </c>
      <c r="I247" s="53">
        <f t="shared" ref="I247:I263" si="9">IF(A247&lt;&gt;0,(B247-(B246-D246))/(A247-A246),"")</f>
        <v>11.5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>
        <v>37</v>
      </c>
      <c r="B248" s="60">
        <v>188</v>
      </c>
      <c r="C248" s="60">
        <v>5</v>
      </c>
      <c r="D248" s="60">
        <v>36</v>
      </c>
      <c r="E248" s="63">
        <v>0.3</v>
      </c>
      <c r="F248" s="63"/>
      <c r="G248" s="63"/>
      <c r="H248" s="63">
        <v>0.7</v>
      </c>
      <c r="I248" s="53">
        <f t="shared" si="9"/>
        <v>11.5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>
        <v>44</v>
      </c>
      <c r="B249" s="60">
        <v>230</v>
      </c>
      <c r="C249" s="60">
        <v>6</v>
      </c>
      <c r="D249" s="60">
        <v>43</v>
      </c>
      <c r="E249" s="63">
        <v>0.4</v>
      </c>
      <c r="F249" s="63"/>
      <c r="G249" s="63"/>
      <c r="H249" s="63">
        <v>0.6</v>
      </c>
      <c r="I249" s="53">
        <f t="shared" si="9"/>
        <v>11.142857142857142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>
        <v>52</v>
      </c>
      <c r="B250" s="60">
        <v>270</v>
      </c>
      <c r="C250" s="60">
        <v>7</v>
      </c>
      <c r="D250" s="60">
        <v>48</v>
      </c>
      <c r="E250" s="63">
        <v>0.4</v>
      </c>
      <c r="F250" s="63"/>
      <c r="G250" s="63"/>
      <c r="H250" s="63">
        <v>0.6</v>
      </c>
      <c r="I250" s="53">
        <f t="shared" si="9"/>
        <v>10.375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>
        <v>60</v>
      </c>
      <c r="B251" s="55">
        <v>297</v>
      </c>
      <c r="C251" s="55">
        <v>8</v>
      </c>
      <c r="D251" s="55">
        <v>47</v>
      </c>
      <c r="E251" s="63">
        <v>0.6</v>
      </c>
      <c r="F251" s="63"/>
      <c r="G251" s="63"/>
      <c r="H251" s="63">
        <v>0.4</v>
      </c>
      <c r="I251" s="53">
        <f t="shared" si="9"/>
        <v>9.375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>
        <v>70</v>
      </c>
      <c r="B252" s="55">
        <v>328</v>
      </c>
      <c r="C252" s="55">
        <v>9</v>
      </c>
      <c r="D252" s="55">
        <v>328</v>
      </c>
      <c r="E252" s="63">
        <v>0.7</v>
      </c>
      <c r="F252" s="63"/>
      <c r="G252" s="63"/>
      <c r="H252" s="63">
        <v>0.3</v>
      </c>
      <c r="I252" s="53">
        <f t="shared" si="9"/>
        <v>7.8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>Tremble</v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>
        <v>10</v>
      </c>
      <c r="B270" s="60">
        <v>19</v>
      </c>
      <c r="C270" s="50">
        <v>1</v>
      </c>
      <c r="D270" s="60">
        <v>7</v>
      </c>
      <c r="E270" s="51">
        <v>0</v>
      </c>
      <c r="F270" s="51"/>
      <c r="G270" s="51"/>
      <c r="H270" s="51">
        <v>1</v>
      </c>
      <c r="I270" s="53">
        <f>IFERROR(B270/A270,"")</f>
        <v>1.9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>
        <v>15</v>
      </c>
      <c r="B271" s="60">
        <v>85</v>
      </c>
      <c r="C271" s="50">
        <v>2</v>
      </c>
      <c r="D271" s="60">
        <v>42</v>
      </c>
      <c r="E271" s="51">
        <v>0</v>
      </c>
      <c r="F271" s="51"/>
      <c r="G271" s="51"/>
      <c r="H271" s="51">
        <v>1</v>
      </c>
      <c r="I271" s="53">
        <f>IF(A271&lt;&gt;0,(B271-(B270-D270))/(A271-A270),"")</f>
        <v>14.6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>
        <v>20</v>
      </c>
      <c r="B272" s="60">
        <v>123</v>
      </c>
      <c r="C272" s="50">
        <v>3</v>
      </c>
      <c r="D272" s="60">
        <v>42</v>
      </c>
      <c r="E272" s="51">
        <v>0</v>
      </c>
      <c r="F272" s="51"/>
      <c r="G272" s="51"/>
      <c r="H272" s="51">
        <v>1</v>
      </c>
      <c r="I272" s="53">
        <f t="shared" ref="I272:I289" si="10">IF(A272&lt;&gt;0,(B272-(B271-D271))/(A272-A271),"")</f>
        <v>16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>
        <v>25</v>
      </c>
      <c r="B273" s="60">
        <v>165</v>
      </c>
      <c r="C273" s="50">
        <v>4</v>
      </c>
      <c r="D273" s="60">
        <v>42</v>
      </c>
      <c r="E273" s="51">
        <v>0</v>
      </c>
      <c r="F273" s="51"/>
      <c r="G273" s="51"/>
      <c r="H273" s="51">
        <v>1</v>
      </c>
      <c r="I273" s="53">
        <f t="shared" si="10"/>
        <v>16.8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>
        <v>30</v>
      </c>
      <c r="B274" s="60">
        <v>205</v>
      </c>
      <c r="C274" s="50">
        <v>5</v>
      </c>
      <c r="D274" s="60">
        <v>42</v>
      </c>
      <c r="E274" s="51">
        <v>0.2</v>
      </c>
      <c r="F274" s="51"/>
      <c r="G274" s="51"/>
      <c r="H274" s="51">
        <v>0.8</v>
      </c>
      <c r="I274" s="53">
        <f t="shared" si="10"/>
        <v>16.399999999999999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>
        <v>35</v>
      </c>
      <c r="B275" s="60">
        <v>239</v>
      </c>
      <c r="C275" s="50">
        <v>6</v>
      </c>
      <c r="D275" s="60">
        <v>42</v>
      </c>
      <c r="E275" s="51">
        <v>0.2</v>
      </c>
      <c r="F275" s="51"/>
      <c r="G275" s="51"/>
      <c r="H275" s="51">
        <v>0.8</v>
      </c>
      <c r="I275" s="53">
        <f t="shared" si="10"/>
        <v>15.2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60">
        <v>40</v>
      </c>
      <c r="B276" s="60">
        <v>263</v>
      </c>
      <c r="C276" s="60">
        <v>7</v>
      </c>
      <c r="D276" s="60">
        <v>40</v>
      </c>
      <c r="E276" s="87">
        <v>0.3</v>
      </c>
      <c r="F276" s="87"/>
      <c r="G276" s="87"/>
      <c r="H276" s="87">
        <v>0.7</v>
      </c>
      <c r="I276" s="53">
        <f t="shared" si="10"/>
        <v>13.2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60">
        <v>45</v>
      </c>
      <c r="B277" s="60">
        <v>280</v>
      </c>
      <c r="C277" s="60">
        <v>8</v>
      </c>
      <c r="D277" s="60">
        <v>26</v>
      </c>
      <c r="E277" s="87">
        <v>0.3</v>
      </c>
      <c r="F277" s="87"/>
      <c r="G277" s="87"/>
      <c r="H277" s="87">
        <v>0.7</v>
      </c>
      <c r="I277" s="53">
        <f t="shared" si="10"/>
        <v>11.4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60">
        <v>50</v>
      </c>
      <c r="B278" s="60">
        <v>303</v>
      </c>
      <c r="C278" s="60">
        <v>9</v>
      </c>
      <c r="D278" s="60">
        <v>21</v>
      </c>
      <c r="E278" s="87">
        <v>0.4</v>
      </c>
      <c r="F278" s="87"/>
      <c r="G278" s="87"/>
      <c r="H278" s="87">
        <v>0.6</v>
      </c>
      <c r="I278" s="53">
        <f t="shared" si="10"/>
        <v>9.8000000000000007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60">
        <v>55</v>
      </c>
      <c r="B279" s="60">
        <v>324</v>
      </c>
      <c r="C279" s="60">
        <v>10</v>
      </c>
      <c r="D279" s="60">
        <v>18</v>
      </c>
      <c r="E279" s="87">
        <v>0.4</v>
      </c>
      <c r="F279" s="87"/>
      <c r="G279" s="87"/>
      <c r="H279" s="87">
        <v>0.6</v>
      </c>
      <c r="I279" s="53">
        <f t="shared" si="10"/>
        <v>8.4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60">
        <v>60</v>
      </c>
      <c r="B280" s="60">
        <v>343</v>
      </c>
      <c r="C280" s="60">
        <v>11</v>
      </c>
      <c r="D280" s="60">
        <v>17</v>
      </c>
      <c r="E280" s="87">
        <v>0.5</v>
      </c>
      <c r="F280" s="87"/>
      <c r="G280" s="87"/>
      <c r="H280" s="87">
        <v>0.5</v>
      </c>
      <c r="I280" s="53">
        <f t="shared" si="10"/>
        <v>7.4</v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60">
        <v>65</v>
      </c>
      <c r="B281" s="60">
        <v>356</v>
      </c>
      <c r="C281" s="60">
        <v>12</v>
      </c>
      <c r="D281" s="60">
        <v>16</v>
      </c>
      <c r="E281" s="87">
        <v>0.6</v>
      </c>
      <c r="F281" s="87"/>
      <c r="G281" s="87"/>
      <c r="H281" s="87">
        <v>0.4</v>
      </c>
      <c r="I281" s="53">
        <f t="shared" si="10"/>
        <v>6</v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60">
        <v>70</v>
      </c>
      <c r="B282" s="60">
        <v>366</v>
      </c>
      <c r="C282" s="60">
        <v>13</v>
      </c>
      <c r="D282" s="60">
        <v>15</v>
      </c>
      <c r="E282" s="65">
        <v>0.7</v>
      </c>
      <c r="F282" s="65"/>
      <c r="G282" s="65"/>
      <c r="H282" s="65">
        <v>0.3</v>
      </c>
      <c r="I282" s="53">
        <f t="shared" si="10"/>
        <v>5.2</v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60">
        <v>75</v>
      </c>
      <c r="B283" s="60">
        <v>375</v>
      </c>
      <c r="C283" s="60">
        <v>14</v>
      </c>
      <c r="D283" s="60">
        <v>14</v>
      </c>
      <c r="E283" s="65">
        <v>0.8</v>
      </c>
      <c r="F283" s="65"/>
      <c r="G283" s="65"/>
      <c r="H283" s="65">
        <v>0.2</v>
      </c>
      <c r="I283" s="53">
        <f t="shared" si="10"/>
        <v>4.8</v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>
        <v>80</v>
      </c>
      <c r="B284" s="50">
        <v>381</v>
      </c>
      <c r="C284" s="50">
        <v>15</v>
      </c>
      <c r="D284" s="50">
        <v>381</v>
      </c>
      <c r="E284" s="54">
        <v>0.8</v>
      </c>
      <c r="F284" s="54"/>
      <c r="G284" s="54"/>
      <c r="H284" s="54">
        <v>0.2</v>
      </c>
      <c r="I284" s="53">
        <f t="shared" si="10"/>
        <v>4</v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6" zoomScaleNormal="100" workbookViewId="0">
      <selection activeCell="C40" sqref="C40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0.47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0.53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Chêne sessile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>Chêne pédonculé</v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>Chêne pubescent</v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>Tilleul</v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>Aulne glutineux</v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>Hêtre</v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>Erable plane</v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>Erable champêtre</v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>Merisier</v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>Tremble</v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2.3499999999999996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8.6166666666666654</v>
      </c>
      <c r="H3" s="67">
        <f>(B3+E3+F3)*44/12+(C3+D3)*0.475*44/12</f>
        <v>222.20000000000002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58.25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213.58333333333334</v>
      </c>
      <c r="S3" s="59">
        <f ca="1">AVERAGE(OFFSET($R$3,0,0,'Données projet'!$E$9+1,1))-AVERAGE(OFFSET($H$3,0,0,'Données projet'!$E$9+1,1))</f>
        <v>473.88815717313474</v>
      </c>
      <c r="T3" s="59">
        <f>IF('Données projet'!E9&gt;30,$R$33-$H$33,LOOKUP('Données projet'!$E$9,$A$3:$A$203,R3:R203)-LOOKUP('Données projet'!$E$9,$A$3:$A$203,$H$3:$H$203))</f>
        <v>287.19790203552895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58.25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213.58333333333334</v>
      </c>
      <c r="AN3" s="59">
        <f ca="1">AVERAGE(OFFSET($AM$3,0,0,'Données projet'!$E$10+1,1))-AVERAGE(OFFSET($H$3,0,0,'Données projet'!$E$10+1,1))</f>
        <v>445.19118535527258</v>
      </c>
      <c r="AO3" s="59">
        <f>IF('Données projet'!E10&gt;30,$AM$33-$H$33,LOOKUP('Données projet'!$E$10,$A$3:$A$203,AM3:AM203)-LOOKUP('Données projet'!$E$10,$A$3:$A$203,$H$3:$H$203))</f>
        <v>270.93483242839363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58.25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213.58333333333334</v>
      </c>
      <c r="BI3" s="59">
        <f ca="1">AVERAGE(OFFSET($BH$3,0,0,'Données projet'!$E$11+1,1))-AVERAGE(OFFSET($H$3,0,0,'Données projet'!$E$11+1,1))</f>
        <v>524.01140973345832</v>
      </c>
      <c r="BJ3" s="59">
        <f>IF('Données projet'!E11&gt;30,$BH$33-$H$33,LOOKUP('Données projet'!$E$11,$A$3:$A$203,BH3:BH203)-LOOKUP('Données projet'!$E$11,$A$3:$A$203,$H$3:$H$203))</f>
        <v>315.59942237999621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58.25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213.58333333333334</v>
      </c>
      <c r="CD3" s="59">
        <f ca="1">AVERAGE(OFFSET($CC$3,0,0,'Données projet'!$E$12+1,1))-AVERAGE(OFFSET($H$3,0,0,'Données projet'!$E$12+1,1))</f>
        <v>358.95222991910504</v>
      </c>
      <c r="CE3" s="59">
        <f>IF('Données projet'!E12&gt;30,$CC$33-$H$33,LOOKUP('Données projet'!$E$12,$A$3:$A$203,CC3:CC203)-LOOKUP('Données projet'!$E$12,$A$3:$A$203,$H$3:$H$203))</f>
        <v>347.37506646970905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58.25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213.58333333333334</v>
      </c>
      <c r="CY3" s="59">
        <f ca="1">AVERAGE(OFFSET($CX$3,0,0,'Données projet'!$E$13+1,1))-AVERAGE(OFFSET($H$3,0,0,'Données projet'!$E$13+1,1))</f>
        <v>351.7266381615546</v>
      </c>
      <c r="CZ3" s="59">
        <f>IF('Données projet'!E13&gt;30,$CX$33-$H$33,LOOKUP('Données projet'!$E$13,$A$3:$A$203,CX3:CX203)-LOOKUP('Données projet'!$E$13,$A$3:$A$203,$H$3:$H$203))</f>
        <v>340.52483243761799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58.25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213.58333333333334</v>
      </c>
      <c r="DT3" s="59">
        <f ca="1">AVERAGE(OFFSET($DS$3,0,0,'Données projet'!$E$14+1,1))-AVERAGE(OFFSET($H$3,0,0,'Données projet'!$E$14+1,1))</f>
        <v>569.21675741362196</v>
      </c>
      <c r="DU3" s="59">
        <f>IF('Données projet'!E14&gt;30,$DS$33-$H$33,LOOKUP('Données projet'!$E$14,$A$3:$A$203,DS3:DS203)-LOOKUP('Données projet'!$E$14,$A$3:$A$203,$H$3:$H$203))</f>
        <v>321.12410801891679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58.25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213.58333333333334</v>
      </c>
      <c r="EO3" s="59">
        <f ca="1">AVERAGE(OFFSET($EN$3,0,0,'Données projet'!$E$15+1,1))-AVERAGE(OFFSET($H$3,0,0,'Données projet'!$E$15+1,1))</f>
        <v>416.63597645452791</v>
      </c>
      <c r="EP3" s="59">
        <f>IF('Données projet'!E15&gt;30,$EN$33-$H$33,LOOKUP('Données projet'!$E$15,$A$3:$A$203,EN3:EN203)-LOOKUP('Données projet'!$E$15,$A$3:$A$203,$H$3:$H$203))</f>
        <v>402.05920382353497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58.25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213.58333333333334</v>
      </c>
      <c r="FJ3" s="59">
        <f ca="1">AVERAGE(OFFSET($FI$3,0,0,'Données projet'!$E$16+1,1))-AVERAGE(OFFSET($H$3,0,0,'Données projet'!$E$16+1,1))</f>
        <v>395.57130469647603</v>
      </c>
      <c r="FK3" s="59">
        <f>IF('Données projet'!E16&gt;30,$FI$33-$H$33,LOOKUP('Données projet'!$E$16,$A$3:$A$203,FI3:FI203)-LOOKUP('Données projet'!$E$16,$A$3:$A$203,$H$3:$H$203))</f>
        <v>383.97542781562674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58.25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213.58333333333334</v>
      </c>
      <c r="GE3" s="59">
        <f ca="1">AVERAGE(OFFSET($GD$3,0,0,'Données projet'!$E$17+1,1))-AVERAGE(OFFSET($H$3,0,0,'Données projet'!$E$17+1,1))</f>
        <v>301.74744407733351</v>
      </c>
      <c r="GF3" s="59">
        <f>IF('Données projet'!E17&gt;30,$GD$33-$H$33,LOOKUP('Données projet'!$E$17,$A$3:$A$203,GD3:GD203)-LOOKUP('Données projet'!$E$17,$A$3:$A$203,$H$3:$H$203))</f>
        <v>292.46787700966991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58.25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213.58333333333334</v>
      </c>
      <c r="GZ3" s="59">
        <f ca="1">AVERAGE(OFFSET($GY$3,0,0,'Données projet'!$E$18+1,1))-AVERAGE(OFFSET($H$3,0,0,'Données projet'!$E$18+1,1))</f>
        <v>322.78672881269978</v>
      </c>
      <c r="HA3" s="59">
        <f>IF('Données projet'!E18&gt;30,$GY$33-$H$33,LOOKUP('Données projet'!$E$18,$A$3:$A$203,GY3:GY203)-LOOKUP('Données projet'!$E$18,$A$3:$A$203,$H$3:$H$203))</f>
        <v>313.08736327626434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2.3499999999999996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8.6166666666666654</v>
      </c>
      <c r="H4" s="67">
        <f t="shared" ref="H4:H67" si="1">(B4+E4+F4)*44/12+(C4+D4)*0.475*44/12</f>
        <v>222.20000000000002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58.453836230935387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3.65</v>
      </c>
      <c r="N4" s="13">
        <f>IF('Données projet'!$A$36&gt;35,N3+M4-V3,IF(A4&lt;'Données projet'!$A$36,$K$205^A4,IF(A4='Données projet'!$A$36,'Données projet'!$B$36,N3+M4-V3)))</f>
        <v>1.2392705892426346</v>
      </c>
      <c r="O4" s="13">
        <f>N4*VLOOKUP('Données projet'!$B$9,Paramètres!$A$1:$I$89,3,0)*VLOOKUP('Données projet'!$B$9,Paramètres!$A$1:$I$89,5,0)</f>
        <v>1.1212920291467359</v>
      </c>
      <c r="P4" s="13">
        <f>EXP(-1.0587+0.8836*LN(O4)+0.284)</f>
        <v>0.50989827066551541</v>
      </c>
      <c r="Q4" s="20">
        <f t="shared" ref="Q4:Q34" si="2">(O4+P4)*0.475*44/12</f>
        <v>2.8409897721730037</v>
      </c>
      <c r="R4" s="59">
        <f t="shared" si="0"/>
        <v>218.39394484115832</v>
      </c>
      <c r="S4" s="59">
        <f ca="1">AVERAGE(OFFSET($R$3,0,0,'Données projet'!$E$9+1,1))-AVERAGE(OFFSET($H$3,0,0,'Données projet'!$E$9+1,1))</f>
        <v>473.88815717313474</v>
      </c>
      <c r="T4" s="59">
        <f>$T$3</f>
        <v>287.19790203552895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58.453836230935387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3.65</v>
      </c>
      <c r="AI4" s="13">
        <f>IF('Données projet'!$A$62&gt;35,AI3+AH4-AQ3,IF(A4&lt;'Données projet'!$A$62,$AF$205^A4,IF(A4='Données projet'!$A$62,'Données projet'!$B$62,AI3+AH4-AQ3)))</f>
        <v>1.2392705892426346</v>
      </c>
      <c r="AJ4" s="13">
        <f>AI4*VLOOKUP('Données projet'!$B$10,Paramètres!$A$1:$I$89,3,0)*VLOOKUP('Données projet'!$B$10,Paramètres!$A$1:$I$89,5,0)</f>
        <v>1.0439615443779955</v>
      </c>
      <c r="AK4" s="13">
        <f>EXP(-1.0587+0.8836*LN(AJ4)+0.284)</f>
        <v>0.478698084995758</v>
      </c>
      <c r="AL4" s="20">
        <f t="shared" ref="AL4:AL67" si="4">(AJ4+AK4)*0.475*44/12</f>
        <v>2.6519655211592874</v>
      </c>
      <c r="AM4" s="59">
        <f t="shared" ref="AM4:AM67" si="5">AL4+(AD4+AE4)*44/12</f>
        <v>218.20492059014461</v>
      </c>
      <c r="AN4" s="59">
        <f ca="1">AVERAGE(OFFSET($AM$3,0,0,'Données projet'!$E$10+1,1))-AVERAGE(OFFSET($H$3,0,0,'Données projet'!$E$10+1,1))</f>
        <v>445.19118535527258</v>
      </c>
      <c r="AO4" s="59">
        <f>$AO$3</f>
        <v>270.93483242839363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58.453836230935387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3.65</v>
      </c>
      <c r="BD4" s="12">
        <f>IF('Données projet'!$A$88&gt;35,BD3+BC4-BL3,IF(A4&lt;'Données projet'!$A$88,$BA$205^A4,IF(A4='Données projet'!$A$88,'Données projet'!$B$88,BD3+BC4-BL3)))</f>
        <v>1.2392705892426346</v>
      </c>
      <c r="BE4" s="13">
        <f>BD4*VLOOKUP('Données projet'!$B$11,Paramètres!$A$1:$I$89,3,0)*VLOOKUP('Données projet'!$B$11,Paramètres!$A$1:$I$89,5,0)</f>
        <v>1.2566203774920315</v>
      </c>
      <c r="BF4" s="13">
        <f>EXP(-1.0587+0.8836*LN(BE4)+0.284)</f>
        <v>0.56390871417545174</v>
      </c>
      <c r="BG4" s="20">
        <f t="shared" ref="BG4:BG67" si="7">(BE4+BF4)*0.475*44/12</f>
        <v>3.1707548346542</v>
      </c>
      <c r="BH4" s="59">
        <f t="shared" ref="BH4:BH67" si="8">BG4+(AY4+AZ4)*44/12</f>
        <v>218.7237099036395</v>
      </c>
      <c r="BI4" s="59">
        <f ca="1">AVERAGE(OFFSET($BH$3,0,0,'Données projet'!$E$11+1,1))-AVERAGE(OFFSET($H$3,0,0,'Données projet'!$E$11+1,1))</f>
        <v>524.01140973345832</v>
      </c>
      <c r="BJ4" s="59">
        <f>$BJ$3</f>
        <v>315.59942237999621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58.453836230935387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1.9</v>
      </c>
      <c r="BY4" s="12">
        <f>IF('Données projet'!$A$114&gt;35,BY3+BX4-CG3,IF(A4&lt;'Données projet'!$A$114,$BV$205^A4,IF(A4='Données projet'!$A$114,'Données projet'!$B$114,BY3+BX4-CG3)))</f>
        <v>1.3423796509621049</v>
      </c>
      <c r="BZ4" s="13">
        <f>BY4*VLOOKUP('Données projet'!$B$12,Paramètres!$A$1:$I$89,3,0)*VLOOKUP('Données projet'!$B$12,Paramètres!$A$1:$I$89,5,0)</f>
        <v>0.90046826986537998</v>
      </c>
      <c r="CA4" s="13">
        <f>EXP(-1.0587+0.8836*LN(BZ4)+0.284)</f>
        <v>0.42006873167570724</v>
      </c>
      <c r="CB4" s="20">
        <f t="shared" ref="CB4:CB67" si="10">(BZ4+CA4)*0.475*44/12</f>
        <v>2.2999352776840598</v>
      </c>
      <c r="CC4" s="59">
        <f t="shared" ref="CC4:CC67" si="11">CB4+(BT4+BU4)*44/12</f>
        <v>217.85289034666937</v>
      </c>
      <c r="CD4" s="59">
        <f ca="1">AVERAGE(OFFSET($CC$3,0,0,'Données projet'!$E$12+1,1))-AVERAGE(OFFSET($H$3,0,0,'Données projet'!$E$12+1,1))</f>
        <v>358.95222991910504</v>
      </c>
      <c r="CE4" s="59">
        <f>$CE$3</f>
        <v>347.37506646970905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58.453836230935387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1.9</v>
      </c>
      <c r="CT4" s="12">
        <f>IF('Données projet'!$A$140&gt;35,CT3+CS4-DB3,IF(A4&lt;'Données projet'!$A$140,$CQ$205^A4,IF(A4='Données projet'!$A$140,'Données projet'!$B$140,CT3+CS4-DB3)))</f>
        <v>1.3423796509621049</v>
      </c>
      <c r="CU4" s="17">
        <f>CT4*VLOOKUP('Données projet'!$B$13,Paramètres!$A$1:$I$89,3,0)*VLOOKUP('Données projet'!$B$13,Paramètres!$A$1:$I$89,5,0)</f>
        <v>0.87952714731037107</v>
      </c>
      <c r="CV4" s="13">
        <f>EXP(-1.0587+0.8836*LN(CU4)+0.284)</f>
        <v>0.41142502211103227</v>
      </c>
      <c r="CW4" s="20">
        <f t="shared" ref="CW4:CW67" si="13">(CU4+CV4)*0.475*44/12</f>
        <v>2.2484083617422774</v>
      </c>
      <c r="CX4" s="59">
        <f t="shared" ref="CX4:CX67" si="14">CW4+(CO4+CP4)*44/12</f>
        <v>217.80136343072758</v>
      </c>
      <c r="CY4" s="59">
        <f ca="1">AVERAGE(OFFSET($CX$3,0,0,'Données projet'!$E$13+1,1))-AVERAGE(OFFSET($H$3,0,0,'Données projet'!$E$13+1,1))</f>
        <v>351.7266381615546</v>
      </c>
      <c r="CZ4" s="59">
        <f>$CZ$3</f>
        <v>340.52483243761799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58.453836230935387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2.8</v>
      </c>
      <c r="DO4" s="12">
        <f>IF('Données projet'!$A$166&gt;35,DO3+DN4-DW3,IF(A4&lt;'Données projet'!$A$166,$DL$205^A4,IF(A4='Données projet'!$A$166,'Données projet'!$B$166,DO3+DN4-DW3)))</f>
        <v>1.2229519710813024</v>
      </c>
      <c r="DP4" s="17">
        <f>DO4*VLOOKUP('Données projet'!$B$14,Paramètres!$A$1:$I$89,3,0)*VLOOKUP('Données projet'!$B$14,Paramètres!$A$1:$I$89,5,0)</f>
        <v>1.0492927911877574</v>
      </c>
      <c r="DQ4" s="13">
        <f>EXP(-1.0587+0.8836*LN(DP4)+0.284)</f>
        <v>0.48085748368030745</v>
      </c>
      <c r="DR4" s="20">
        <f t="shared" ref="DR4:DR67" si="16">(DP4+DQ4)*0.475*44/12</f>
        <v>2.6650117287285462</v>
      </c>
      <c r="DS4" s="59">
        <f t="shared" ref="DS4:DS67" si="17">DR4+(DJ4+DK4)*44/12</f>
        <v>218.21796679771387</v>
      </c>
      <c r="DT4" s="59">
        <f ca="1">AVERAGE(OFFSET($DS$3,0,0,'Données projet'!$E$14+1,1))-AVERAGE(OFFSET($H$3,0,0,'Données projet'!$E$14+1,1))</f>
        <v>569.21675741362196</v>
      </c>
      <c r="DU4" s="59">
        <f>$DU$3</f>
        <v>321.12410801891679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58.453836230935387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1.9</v>
      </c>
      <c r="EJ4" s="12">
        <f>IF('Données projet'!$A$192&gt;35,EJ3+EI4-ER3,IF(A4&lt;'Données projet'!$A$192,$EG$205^A4,IF(A4='Données projet'!$A$192,'Données projet'!$B$192,EJ3+EI4-ER3)))</f>
        <v>1.3423796509621049</v>
      </c>
      <c r="EK4" s="17">
        <f>EJ4*VLOOKUP('Données projet'!$B$15,Paramètres!$A$1:$I$89,3,0)*VLOOKUP('Données projet'!$B$15,Paramètres!$A$1:$I$89,5,0)</f>
        <v>1.0679972503054507</v>
      </c>
      <c r="EL4" s="13">
        <f>EXP(-1.0587+0.8836*LN(EK4)+0.284)</f>
        <v>0.48842359485523285</v>
      </c>
      <c r="EM4" s="20">
        <f t="shared" ref="EM4:EM67" si="19">(EK4+EL4)*0.475*44/12</f>
        <v>2.7107663053215236</v>
      </c>
      <c r="EN4" s="59">
        <f t="shared" ref="EN4:EN67" si="20">EM4+(EE4+EF4)*44/12</f>
        <v>218.26372137430684</v>
      </c>
      <c r="EO4" s="59">
        <f ca="1">AVERAGE(OFFSET($EN$3,0,0,'Données projet'!$E$15+1,1))-AVERAGE(OFFSET($H$3,0,0,'Données projet'!$E$15+1,1))</f>
        <v>416.63597645452791</v>
      </c>
      <c r="EP4" s="59">
        <f>$EP$3</f>
        <v>402.05920382353497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58.453836230935387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1.1000000000000001</v>
      </c>
      <c r="FE4" s="12">
        <f>IF('Données projet'!$A$218&gt;35,FE3+FD4-FM3,IF(A4&lt;'Données projet'!$A$218,$FB$205^A4,IF(A4='Données projet'!$A$218,'Données projet'!$B$218,FE3+FD4-FM3)))</f>
        <v>1.2709816152101407</v>
      </c>
      <c r="FF4" s="17">
        <f>FE4*VLOOKUP('Données projet'!$B$16,Paramètres!$A$1:$I$89,3,0)*VLOOKUP('Données projet'!$B$16,Paramètres!$A$1:$I$89,5,0)</f>
        <v>1.1103295390475791</v>
      </c>
      <c r="FG4" s="13">
        <f>EXP(-1.0587+0.8836*LN(FF4)+0.284)</f>
        <v>0.50549091932363655</v>
      </c>
      <c r="FH4" s="20">
        <f t="shared" ref="FH4:FH67" si="22">(FF4+FG4)*0.475*44/12</f>
        <v>2.8142206316632006</v>
      </c>
      <c r="FI4" s="59">
        <f t="shared" ref="FI4:FI67" si="23">FH4+(EZ4+FA4)*44/12</f>
        <v>218.36717570064852</v>
      </c>
      <c r="FJ4" s="59">
        <f ca="1">AVERAGE(OFFSET($FI$3,0,0,'Données projet'!$E$16+1,1))-AVERAGE(OFFSET($H$3,0,0,'Données projet'!$E$16+1,1))</f>
        <v>395.57130469647603</v>
      </c>
      <c r="FK4" s="59">
        <f>$FK$3</f>
        <v>383.97542781562674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58.453836230935387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2.6666666666666665</v>
      </c>
      <c r="FZ4" s="12">
        <f>IF('Données projet'!$A$244&gt;35,FZ3+FY4-GH3,IF(A4&lt;'Données projet'!$A$244,$FW$205^A4,IF(A4='Données projet'!$A$244,'Données projet'!$B$244,FZ3+FY4-GH3)))</f>
        <v>1.2788040393997409</v>
      </c>
      <c r="GA4" s="17">
        <f>FZ4*VLOOKUP('Données projet'!$B$17,Paramètres!$A$1:$I$89,3,0)*VLOOKUP('Données projet'!$B$17,Paramètres!$A$1:$I$89,5,0)</f>
        <v>0.99746715073179792</v>
      </c>
      <c r="GB4" s="13">
        <f>EXP(-1.0587+0.8836*LN(GA4)+0.284)</f>
        <v>0.45981048445793882</v>
      </c>
      <c r="GC4" s="20">
        <f t="shared" ref="GC4:GC67" si="25">(GA4+GB4)*0.475*44/12</f>
        <v>2.5380918812887914</v>
      </c>
      <c r="GD4" s="59">
        <f t="shared" ref="GD4:GD67" si="26">GC4+(FU4+FV4)*44/12</f>
        <v>218.09104695027409</v>
      </c>
      <c r="GE4" s="59">
        <f ca="1">AVERAGE(OFFSET($GD$3,0,0,'Données projet'!$E$17+1,1))-AVERAGE(OFFSET($H$3,0,0,'Données projet'!$E$17+1,1))</f>
        <v>301.74744407733351</v>
      </c>
      <c r="GF4" s="59">
        <f>$GF$3</f>
        <v>292.46787700966991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58.453836230935387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1.9</v>
      </c>
      <c r="GU4" s="12">
        <f>IF('Données projet'!$A$270&gt;35,GU3+GT4-HC3,IF(A4&lt;'Données projet'!$A$270,$GR$205^A4,IF(A4='Données projet'!$A$270,'Données projet'!$B$270,GU3+GT4-HC3)))</f>
        <v>1.3423796509621049</v>
      </c>
      <c r="GV4" s="17">
        <f>GU4*VLOOKUP('Données projet'!$B$18,Paramètres!$A$1:$I$89,3,0)*VLOOKUP('Données projet'!$B$18,Paramètres!$A$1:$I$89,5,0)</f>
        <v>0.79576265709033589</v>
      </c>
      <c r="GW4" s="13">
        <f>EXP(-1.0587+0.8836*LN(GV4)+0.284)</f>
        <v>0.37660355399850243</v>
      </c>
      <c r="GX4" s="20">
        <f t="shared" ref="GX4:GX67" si="28">(GV4+GW4)*0.475*44/12</f>
        <v>2.0418711509797265</v>
      </c>
      <c r="GY4" s="59">
        <f t="shared" ref="GY4:GY67" si="29">GX4+(GP4+GQ4)*44/12</f>
        <v>217.59482621996503</v>
      </c>
      <c r="GZ4" s="59">
        <f ca="1">AVERAGE(OFFSET($GY$3,0,0,'Données projet'!$E$18+1,1))-AVERAGE(OFFSET($H$3,0,0,'Données projet'!$E$18+1,1))</f>
        <v>322.78672881269978</v>
      </c>
      <c r="HA4" s="59">
        <f>$HA$3</f>
        <v>313.08736327626434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2.3499999999999996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8.6166666666666654</v>
      </c>
      <c r="H5" s="67">
        <f t="shared" si="1"/>
        <v>222.20000000000002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58.654136358973588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3.65</v>
      </c>
      <c r="N5" s="13">
        <f>IF('Données projet'!$A$36&gt;35,N4+M5-V4,IF(A5&lt;'Données projet'!$A$36,$K$205^A5,IF(A5='Données projet'!$A$36,'Données projet'!$B$36,N4+M5-V4)))</f>
        <v>1.5357915933617867</v>
      </c>
      <c r="O5" s="13">
        <f>N5*VLOOKUP('Données projet'!$B$9,Paramètres!$A$1:$I$89,3,0)*VLOOKUP('Données projet'!$B$9,Paramètres!$A$1:$I$89,5,0)</f>
        <v>1.3895842336737447</v>
      </c>
      <c r="P5" s="13">
        <f t="shared" ref="P5:P68" si="33">EXP(-1.0587+0.8836*LN(O5)+0.284)</f>
        <v>0.61631841327304715</v>
      </c>
      <c r="Q5" s="20">
        <f t="shared" si="2"/>
        <v>3.4936137767656628</v>
      </c>
      <c r="R5" s="59">
        <f t="shared" si="0"/>
        <v>221.00322487077995</v>
      </c>
      <c r="S5" s="59">
        <f ca="1">AVERAGE(OFFSET($R$3,0,0,'Données projet'!$E$9+1,1))-AVERAGE(OFFSET($H$3,0,0,'Données projet'!$E$9+1,1))</f>
        <v>473.88815717313474</v>
      </c>
      <c r="T5" s="59">
        <f t="shared" ref="T5:T68" si="34">$T$3</f>
        <v>287.19790203552895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58.654136358973588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3.65</v>
      </c>
      <c r="AI5" s="13">
        <f>IF('Données projet'!$A$62&gt;35,AI4+AH5-AQ4,IF(A5&lt;'Données projet'!$A$62,$AF$205^A5,IF(A5='Données projet'!$A$62,'Données projet'!$B$62,AI4+AH5-AQ4)))</f>
        <v>1.5357915933617867</v>
      </c>
      <c r="AJ5" s="13">
        <f>AI5*VLOOKUP('Données projet'!$B$10,Paramètres!$A$1:$I$89,3,0)*VLOOKUP('Données projet'!$B$10,Paramètres!$A$1:$I$89,5,0)</f>
        <v>1.2937508382479692</v>
      </c>
      <c r="AK5" s="13">
        <f t="shared" ref="AK5:AK68" si="35">EXP(-1.0587+0.8836*LN(AJ5)+0.284)</f>
        <v>0.57860648124254321</v>
      </c>
      <c r="AL5" s="20">
        <f t="shared" si="4"/>
        <v>3.2610223314459752</v>
      </c>
      <c r="AM5" s="59">
        <f t="shared" si="5"/>
        <v>220.77063342546026</v>
      </c>
      <c r="AN5" s="59">
        <f ca="1">AVERAGE(OFFSET($AM$3,0,0,'Données projet'!$E$10+1,1))-AVERAGE(OFFSET($H$3,0,0,'Données projet'!$E$10+1,1))</f>
        <v>445.19118535527258</v>
      </c>
      <c r="AO5" s="59">
        <f t="shared" ref="AO5:AO68" si="36">$AO$3</f>
        <v>270.93483242839363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58.654136358973588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3.65</v>
      </c>
      <c r="BD5" s="12">
        <f>IF('Données projet'!$A$88&gt;35,BD4+BC5-BL4,IF(A5&lt;'Données projet'!$A$88,$BA$205^A5,IF(A5='Données projet'!$A$88,'Données projet'!$B$88,BD4+BC5-BL4)))</f>
        <v>1.5357915933617867</v>
      </c>
      <c r="BE5" s="13">
        <f>BD5*VLOOKUP('Données projet'!$B$11,Paramètres!$A$1:$I$89,3,0)*VLOOKUP('Données projet'!$B$11,Paramètres!$A$1:$I$89,5,0)</f>
        <v>1.5572926756688519</v>
      </c>
      <c r="BF5" s="13">
        <f t="shared" ref="BF5:BF68" si="37">EXP(-1.0587+0.8836*LN(BE5)+0.284)</f>
        <v>0.68160129960402205</v>
      </c>
      <c r="BG5" s="20">
        <f t="shared" si="7"/>
        <v>3.8994070069335893</v>
      </c>
      <c r="BH5" s="59">
        <f t="shared" si="8"/>
        <v>221.40901810094786</v>
      </c>
      <c r="BI5" s="59">
        <f ca="1">AVERAGE(OFFSET($BH$3,0,0,'Données projet'!$E$11+1,1))-AVERAGE(OFFSET($H$3,0,0,'Données projet'!$E$11+1,1))</f>
        <v>524.01140973345832</v>
      </c>
      <c r="BJ5" s="59">
        <f t="shared" ref="BJ5:BJ68" si="38">$BJ$3</f>
        <v>315.59942237999621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58.654136358973588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1.9</v>
      </c>
      <c r="BY5" s="12">
        <f>IF('Données projet'!$A$114&gt;35,BY4+BX5-CG4,IF(A5&lt;'Données projet'!$A$114,$BV$205^A5,IF(A5='Données projet'!$A$114,'Données projet'!$B$114,BY4+BX5-CG4)))</f>
        <v>1.8019831273171425</v>
      </c>
      <c r="BZ5" s="13">
        <f>BY5*VLOOKUP('Données projet'!$B$12,Paramètres!$A$1:$I$89,3,0)*VLOOKUP('Données projet'!$B$12,Paramètres!$A$1:$I$89,5,0)</f>
        <v>1.2087702818043391</v>
      </c>
      <c r="CA5" s="13">
        <f t="shared" ref="CA5:CA68" si="39">EXP(-1.0587+0.8836*LN(BZ5)+0.284)</f>
        <v>0.54489274271362542</v>
      </c>
      <c r="CB5" s="20">
        <f t="shared" si="10"/>
        <v>3.0542964343687884</v>
      </c>
      <c r="CC5" s="59">
        <f t="shared" si="11"/>
        <v>220.56390752838306</v>
      </c>
      <c r="CD5" s="59">
        <f ca="1">AVERAGE(OFFSET($CC$3,0,0,'Données projet'!$E$12+1,1))-AVERAGE(OFFSET($H$3,0,0,'Données projet'!$E$12+1,1))</f>
        <v>358.95222991910504</v>
      </c>
      <c r="CE5" s="59">
        <f t="shared" ref="CE5:CE68" si="40">$CE$3</f>
        <v>347.37506646970905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58.654136358973588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1.9</v>
      </c>
      <c r="CT5" s="12">
        <f>IF('Données projet'!$A$140&gt;35,CT4+CS5-DB4,IF(A5&lt;'Données projet'!$A$140,$CQ$205^A5,IF(A5='Données projet'!$A$140,'Données projet'!$B$140,CT4+CS5-DB4)))</f>
        <v>1.8019831273171425</v>
      </c>
      <c r="CU5" s="17">
        <f>CT5*VLOOKUP('Données projet'!$B$13,Paramètres!$A$1:$I$89,3,0)*VLOOKUP('Données projet'!$B$13,Paramètres!$A$1:$I$89,5,0)</f>
        <v>1.1806593450181917</v>
      </c>
      <c r="CV5" s="13">
        <f t="shared" ref="CV5:CV68" si="41">EXP(-1.0587+0.8836*LN(CU5)+0.284)</f>
        <v>0.5336805427645186</v>
      </c>
      <c r="CW5" s="20">
        <f t="shared" si="13"/>
        <v>2.9858086378882205</v>
      </c>
      <c r="CX5" s="59">
        <f t="shared" si="14"/>
        <v>220.4954197319025</v>
      </c>
      <c r="CY5" s="59">
        <f ca="1">AVERAGE(OFFSET($CX$3,0,0,'Données projet'!$E$13+1,1))-AVERAGE(OFFSET($H$3,0,0,'Données projet'!$E$13+1,1))</f>
        <v>351.7266381615546</v>
      </c>
      <c r="CZ5" s="59">
        <f t="shared" ref="CZ5:CZ68" si="42">$CZ$3</f>
        <v>340.52483243761799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58.654136358973588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2.8</v>
      </c>
      <c r="DO5" s="12">
        <f>IF('Données projet'!$A$166&gt;35,DO4+DN5-DW4,IF(A5&lt;'Données projet'!$A$166,$DL$205^A5,IF(A5='Données projet'!$A$166,'Données projet'!$B$166,DO4+DN5-DW4)))</f>
        <v>1.4956115235716427</v>
      </c>
      <c r="DP5" s="17">
        <f>DO5*VLOOKUP('Données projet'!$B$14,Paramètres!$A$1:$I$89,3,0)*VLOOKUP('Données projet'!$B$14,Paramètres!$A$1:$I$89,5,0)</f>
        <v>1.2832346872244698</v>
      </c>
      <c r="DQ5" s="13">
        <f t="shared" ref="DQ5:DQ68" si="43">EXP(-1.0587+0.8836*LN(DP5)+0.284)</f>
        <v>0.57444879990343678</v>
      </c>
      <c r="DR5" s="20">
        <f t="shared" si="16"/>
        <v>3.2354654067477706</v>
      </c>
      <c r="DS5" s="59">
        <f t="shared" si="17"/>
        <v>220.74507650076205</v>
      </c>
      <c r="DT5" s="59">
        <f ca="1">AVERAGE(OFFSET($DS$3,0,0,'Données projet'!$E$14+1,1))-AVERAGE(OFFSET($H$3,0,0,'Données projet'!$E$14+1,1))</f>
        <v>569.21675741362196</v>
      </c>
      <c r="DU5" s="59">
        <f t="shared" ref="DU5:DU68" si="44">$DU$3</f>
        <v>321.12410801891679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58.654136358973588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1.9</v>
      </c>
      <c r="EJ5" s="12">
        <f>IF('Données projet'!$A$192&gt;35,EJ4+EI5-ER4,IF(A5&lt;'Données projet'!$A$192,$EG$205^A5,IF(A5='Données projet'!$A$192,'Données projet'!$B$192,EJ4+EI5-ER4)))</f>
        <v>1.8019831273171425</v>
      </c>
      <c r="EK5" s="17">
        <f>EJ5*VLOOKUP('Données projet'!$B$15,Paramètres!$A$1:$I$89,3,0)*VLOOKUP('Données projet'!$B$15,Paramètres!$A$1:$I$89,5,0)</f>
        <v>1.4336577760935185</v>
      </c>
      <c r="EL5" s="13">
        <f t="shared" ref="EL5:EL68" si="45">EXP(-1.0587+0.8836*LN(EK5)+0.284)</f>
        <v>0.63355934907379652</v>
      </c>
      <c r="EM5" s="20">
        <f t="shared" si="19"/>
        <v>3.6004031596664068</v>
      </c>
      <c r="EN5" s="59">
        <f t="shared" si="20"/>
        <v>221.11001425368067</v>
      </c>
      <c r="EO5" s="59">
        <f ca="1">AVERAGE(OFFSET($EN$3,0,0,'Données projet'!$E$15+1,1))-AVERAGE(OFFSET($H$3,0,0,'Données projet'!$E$15+1,1))</f>
        <v>416.63597645452791</v>
      </c>
      <c r="EP5" s="59">
        <f t="shared" ref="EP5:EP68" si="46">$EP$3</f>
        <v>402.05920382353497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58.654136358973588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1.1000000000000001</v>
      </c>
      <c r="FE5" s="12">
        <f>IF('Données projet'!$A$218&gt;35,FE4+FD5-FM4,IF(A5&lt;'Données projet'!$A$218,$FB$205^A5,IF(A5='Données projet'!$A$218,'Données projet'!$B$218,FE4+FD5-FM4)))</f>
        <v>1.6153942662021783</v>
      </c>
      <c r="FF5" s="17">
        <f>FE5*VLOOKUP('Données projet'!$B$16,Paramètres!$A$1:$I$89,3,0)*VLOOKUP('Données projet'!$B$16,Paramètres!$A$1:$I$89,5,0)</f>
        <v>1.4112084309542232</v>
      </c>
      <c r="FG5" s="13">
        <f t="shared" ref="FG5:FG68" si="47">EXP(-1.0587+0.8836*LN(FF5)+0.284)</f>
        <v>0.62478531882621136</v>
      </c>
      <c r="FH5" s="20">
        <f t="shared" si="22"/>
        <v>3.546022447534257</v>
      </c>
      <c r="FI5" s="59">
        <f t="shared" si="23"/>
        <v>221.05563354154853</v>
      </c>
      <c r="FJ5" s="59">
        <f ca="1">AVERAGE(OFFSET($FI$3,0,0,'Données projet'!$E$16+1,1))-AVERAGE(OFFSET($H$3,0,0,'Données projet'!$E$16+1,1))</f>
        <v>395.57130469647603</v>
      </c>
      <c r="FK5" s="59">
        <f t="shared" ref="FK5:FK68" si="48">$FK$3</f>
        <v>383.97542781562674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58.654136358973588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2.6666666666666665</v>
      </c>
      <c r="FZ5" s="12">
        <f>IF('Données projet'!$A$244&gt;35,FZ4+FY5-GH4,IF(A5&lt;'Données projet'!$A$244,$FW$205^A5,IF(A5='Données projet'!$A$244,'Données projet'!$B$244,FZ4+FY5-GH4)))</f>
        <v>1.6353397711850939</v>
      </c>
      <c r="GA5" s="17">
        <f>FZ5*VLOOKUP('Données projet'!$B$17,Paramètres!$A$1:$I$89,3,0)*VLOOKUP('Données projet'!$B$17,Paramètres!$A$1:$I$89,5,0)</f>
        <v>1.2755650215243732</v>
      </c>
      <c r="GB5" s="13">
        <f t="shared" ref="GB5:GB68" si="49">EXP(-1.0587+0.8836*LN(GA5)+0.284)</f>
        <v>0.57141400910743001</v>
      </c>
      <c r="GC5" s="20">
        <f t="shared" si="25"/>
        <v>3.2168218116837237</v>
      </c>
      <c r="GD5" s="59">
        <f t="shared" si="26"/>
        <v>220.726432905698</v>
      </c>
      <c r="GE5" s="59">
        <f ca="1">AVERAGE(OFFSET($GD$3,0,0,'Données projet'!$E$17+1,1))-AVERAGE(OFFSET($H$3,0,0,'Données projet'!$E$17+1,1))</f>
        <v>301.74744407733351</v>
      </c>
      <c r="GF5" s="59">
        <f t="shared" ref="GF5:GF68" si="50">$GF$3</f>
        <v>292.46787700966991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58.654136358973588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1.9</v>
      </c>
      <c r="GU5" s="12">
        <f>IF('Données projet'!$A$270&gt;35,GU4+GT5-HC4,IF(A5&lt;'Données projet'!$A$270,$GR$205^A5,IF(A5='Données projet'!$A$270,'Données projet'!$B$270,GU4+GT5-HC4)))</f>
        <v>1.8019831273171425</v>
      </c>
      <c r="GV5" s="17">
        <f>GU5*VLOOKUP('Données projet'!$B$18,Paramètres!$A$1:$I$89,3,0)*VLOOKUP('Données projet'!$B$18,Paramètres!$A$1:$I$89,5,0)</f>
        <v>1.0682155978736021</v>
      </c>
      <c r="GW5" s="13">
        <f t="shared" ref="GW5:GW68" si="51">EXP(-1.0587+0.8836*LN(GV5)+0.284)</f>
        <v>0.4885118267083105</v>
      </c>
      <c r="GX5" s="20">
        <f t="shared" si="28"/>
        <v>2.7113002644801649</v>
      </c>
      <c r="GY5" s="59">
        <f t="shared" si="29"/>
        <v>220.22091135849445</v>
      </c>
      <c r="GZ5" s="59">
        <f ca="1">AVERAGE(OFFSET($GY$3,0,0,'Données projet'!$E$18+1,1))-AVERAGE(OFFSET($H$3,0,0,'Données projet'!$E$18+1,1))</f>
        <v>322.78672881269978</v>
      </c>
      <c r="HA5" s="59">
        <f t="shared" ref="HA5:HA68" si="52">$HA$3</f>
        <v>313.08736327626434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2.3499999999999996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8.6166666666666654</v>
      </c>
      <c r="H6" s="67">
        <f t="shared" si="1"/>
        <v>222.20000000000002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58.850961727594338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3.65</v>
      </c>
      <c r="N6" s="13">
        <f>IF('Données projet'!$A$36&gt;35,N5+M6-V5,IF(A6&lt;'Données projet'!$A$36,$K$205^A6,IF(A6='Données projet'!$A$36,'Données projet'!$B$36,N5+M6-V5)))</f>
        <v>1.9032613528593461</v>
      </c>
      <c r="O6" s="13">
        <f>N6*VLOOKUP('Données projet'!$B$9,Paramètres!$A$1:$I$89,3,0)*VLOOKUP('Données projet'!$B$9,Paramètres!$A$1:$I$89,5,0)</f>
        <v>1.7220708720671365</v>
      </c>
      <c r="P6" s="13">
        <f t="shared" si="33"/>
        <v>0.74494935243383209</v>
      </c>
      <c r="Q6" s="20">
        <f t="shared" si="2"/>
        <v>4.2967268910058536</v>
      </c>
      <c r="R6" s="59">
        <f t="shared" si="0"/>
        <v>223.75025322551843</v>
      </c>
      <c r="S6" s="59">
        <f ca="1">AVERAGE(OFFSET($R$3,0,0,'Données projet'!$E$9+1,1))-AVERAGE(OFFSET($H$3,0,0,'Données projet'!$E$9+1,1))</f>
        <v>473.88815717313474</v>
      </c>
      <c r="T6" s="59">
        <f t="shared" si="34"/>
        <v>287.19790203552895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58.850961727594338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3.65</v>
      </c>
      <c r="AI6" s="13">
        <f>IF('Données projet'!$A$62&gt;35,AI5+AH6-AQ5,IF(A6&lt;'Données projet'!$A$62,$AF$205^A6,IF(A6='Données projet'!$A$62,'Données projet'!$B$62,AI5+AH6-AQ5)))</f>
        <v>1.9032613528593461</v>
      </c>
      <c r="AJ6" s="13">
        <f>AI6*VLOOKUP('Données projet'!$B$10,Paramètres!$A$1:$I$89,3,0)*VLOOKUP('Données projet'!$B$10,Paramètres!$A$1:$I$89,5,0)</f>
        <v>1.6033073636487132</v>
      </c>
      <c r="AK6" s="13">
        <f t="shared" si="35"/>
        <v>0.69936661672428513</v>
      </c>
      <c r="AL6" s="20">
        <f t="shared" si="4"/>
        <v>4.0104905158163051</v>
      </c>
      <c r="AM6" s="59">
        <f t="shared" si="5"/>
        <v>223.4640168503289</v>
      </c>
      <c r="AN6" s="59">
        <f ca="1">AVERAGE(OFFSET($AM$3,0,0,'Données projet'!$E$10+1,1))-AVERAGE(OFFSET($H$3,0,0,'Données projet'!$E$10+1,1))</f>
        <v>445.19118535527258</v>
      </c>
      <c r="AO6" s="59">
        <f t="shared" si="36"/>
        <v>270.93483242839363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58.850961727594338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3.65</v>
      </c>
      <c r="BD6" s="12">
        <f>IF('Données projet'!$A$88&gt;35,BD5+BC6-BL5,IF(A6&lt;'Données projet'!$A$88,$BA$205^A6,IF(A6='Données projet'!$A$88,'Données projet'!$B$88,BD5+BC6-BL5)))</f>
        <v>1.9032613528593461</v>
      </c>
      <c r="BE6" s="13">
        <f>BD6*VLOOKUP('Données projet'!$B$11,Paramètres!$A$1:$I$89,3,0)*VLOOKUP('Données projet'!$B$11,Paramètres!$A$1:$I$89,5,0)</f>
        <v>1.9299070117993768</v>
      </c>
      <c r="BF6" s="13">
        <f t="shared" si="37"/>
        <v>0.82385733708903885</v>
      </c>
      <c r="BG6" s="20">
        <f t="shared" si="7"/>
        <v>4.7961395743139903</v>
      </c>
      <c r="BH6" s="59">
        <f t="shared" si="8"/>
        <v>224.24966590882659</v>
      </c>
      <c r="BI6" s="59">
        <f ca="1">AVERAGE(OFFSET($BH$3,0,0,'Données projet'!$E$11+1,1))-AVERAGE(OFFSET($H$3,0,0,'Données projet'!$E$11+1,1))</f>
        <v>524.01140973345832</v>
      </c>
      <c r="BJ6" s="59">
        <f t="shared" si="38"/>
        <v>315.59942237999621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58.850961727594338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1.9</v>
      </c>
      <c r="BY6" s="12">
        <f>IF('Données projet'!$A$114&gt;35,BY5+BX6-CG5,IF(A6&lt;'Données projet'!$A$114,$BV$205^A6,IF(A6='Données projet'!$A$114,'Données projet'!$B$114,BY5+BX6-CG5)))</f>
        <v>2.4189454814875879</v>
      </c>
      <c r="BZ6" s="13">
        <f>BY6*VLOOKUP('Données projet'!$B$12,Paramètres!$A$1:$I$89,3,0)*VLOOKUP('Données projet'!$B$12,Paramètres!$A$1:$I$89,5,0)</f>
        <v>1.6226286289818741</v>
      </c>
      <c r="CA6" s="13">
        <f t="shared" si="39"/>
        <v>0.70680838318427885</v>
      </c>
      <c r="CB6" s="20">
        <f t="shared" si="10"/>
        <v>4.0571027961893833</v>
      </c>
      <c r="CC6" s="59">
        <f t="shared" si="11"/>
        <v>223.51062913070197</v>
      </c>
      <c r="CD6" s="59">
        <f ca="1">AVERAGE(OFFSET($CC$3,0,0,'Données projet'!$E$12+1,1))-AVERAGE(OFFSET($H$3,0,0,'Données projet'!$E$12+1,1))</f>
        <v>358.95222991910504</v>
      </c>
      <c r="CE6" s="59">
        <f t="shared" si="40"/>
        <v>347.37506646970905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58.850961727594338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1.9</v>
      </c>
      <c r="CT6" s="12">
        <f>IF('Données projet'!$A$140&gt;35,CT5+CS6-DB5,IF(A6&lt;'Données projet'!$A$140,$CQ$205^A6,IF(A6='Données projet'!$A$140,'Données projet'!$B$140,CT5+CS6-DB5)))</f>
        <v>2.4189454814875879</v>
      </c>
      <c r="CU6" s="17">
        <f>CT6*VLOOKUP('Données projet'!$B$13,Paramètres!$A$1:$I$89,3,0)*VLOOKUP('Données projet'!$B$13,Paramètres!$A$1:$I$89,5,0)</f>
        <v>1.5848930794706675</v>
      </c>
      <c r="CV6" s="13">
        <f t="shared" si="41"/>
        <v>0.69226446234125116</v>
      </c>
      <c r="CW6" s="20">
        <f t="shared" si="13"/>
        <v>3.966049385322425</v>
      </c>
      <c r="CX6" s="59">
        <f t="shared" si="14"/>
        <v>223.41957571983502</v>
      </c>
      <c r="CY6" s="59">
        <f ca="1">AVERAGE(OFFSET($CX$3,0,0,'Données projet'!$E$13+1,1))-AVERAGE(OFFSET($H$3,0,0,'Données projet'!$E$13+1,1))</f>
        <v>351.7266381615546</v>
      </c>
      <c r="CZ6" s="59">
        <f t="shared" si="42"/>
        <v>340.52483243761799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58.850961727594338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2.8</v>
      </c>
      <c r="DO6" s="12">
        <f>IF('Données projet'!$A$166&gt;35,DO5+DN6-DW5,IF(A6&lt;'Données projet'!$A$166,$DL$205^A6,IF(A6='Données projet'!$A$166,'Données projet'!$B$166,DO5+DN6-DW5)))</f>
        <v>1.8290610607238502</v>
      </c>
      <c r="DP6" s="17">
        <f>DO6*VLOOKUP('Données projet'!$B$14,Paramètres!$A$1:$I$89,3,0)*VLOOKUP('Données projet'!$B$14,Paramètres!$A$1:$I$89,5,0)</f>
        <v>1.5693343901010637</v>
      </c>
      <c r="DQ6" s="13">
        <f t="shared" si="43"/>
        <v>0.68625618797666377</v>
      </c>
      <c r="DR6" s="20">
        <f t="shared" si="16"/>
        <v>3.9284869234853752</v>
      </c>
      <c r="DS6" s="59">
        <f t="shared" si="17"/>
        <v>223.38201325799795</v>
      </c>
      <c r="DT6" s="59">
        <f ca="1">AVERAGE(OFFSET($DS$3,0,0,'Données projet'!$E$14+1,1))-AVERAGE(OFFSET($H$3,0,0,'Données projet'!$E$14+1,1))</f>
        <v>569.21675741362196</v>
      </c>
      <c r="DU6" s="59">
        <f t="shared" si="44"/>
        <v>321.12410801891679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58.850961727594338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1.9</v>
      </c>
      <c r="EJ6" s="12">
        <f>IF('Données projet'!$A$192&gt;35,EJ5+EI6-ER5,IF(A6&lt;'Données projet'!$A$192,$EG$205^A6,IF(A6='Données projet'!$A$192,'Données projet'!$B$192,EJ5+EI6-ER5)))</f>
        <v>2.4189454814875879</v>
      </c>
      <c r="EK6" s="17">
        <f>EJ6*VLOOKUP('Données projet'!$B$15,Paramètres!$A$1:$I$89,3,0)*VLOOKUP('Données projet'!$B$15,Paramètres!$A$1:$I$89,5,0)</f>
        <v>1.9245130250715252</v>
      </c>
      <c r="EL6" s="13">
        <f t="shared" si="45"/>
        <v>0.82182239561499026</v>
      </c>
      <c r="EM6" s="20">
        <f t="shared" si="19"/>
        <v>4.7832008576956815</v>
      </c>
      <c r="EN6" s="59">
        <f t="shared" si="20"/>
        <v>224.23672719220826</v>
      </c>
      <c r="EO6" s="59">
        <f ca="1">AVERAGE(OFFSET($EN$3,0,0,'Données projet'!$E$15+1,1))-AVERAGE(OFFSET($H$3,0,0,'Données projet'!$E$15+1,1))</f>
        <v>416.63597645452791</v>
      </c>
      <c r="EP6" s="59">
        <f t="shared" si="46"/>
        <v>402.05920382353497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58.850961727594338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1.1000000000000001</v>
      </c>
      <c r="FE6" s="12">
        <f>IF('Données projet'!$A$218&gt;35,FE5+FD6-FM5,IF(A6&lt;'Données projet'!$A$218,$FB$205^A6,IF(A6='Données projet'!$A$218,'Données projet'!$B$218,FE5+FD6-FM5)))</f>
        <v>2.0531364136588448</v>
      </c>
      <c r="FF6" s="17">
        <f>FE6*VLOOKUP('Données projet'!$B$16,Paramètres!$A$1:$I$89,3,0)*VLOOKUP('Données projet'!$B$16,Paramètres!$A$1:$I$89,5,0)</f>
        <v>1.7936199709723673</v>
      </c>
      <c r="FG6" s="13">
        <f t="shared" si="47"/>
        <v>0.77223285265555475</v>
      </c>
      <c r="FH6" s="20">
        <f t="shared" si="22"/>
        <v>4.4688603344852975</v>
      </c>
      <c r="FI6" s="59">
        <f t="shared" si="23"/>
        <v>223.92238666899789</v>
      </c>
      <c r="FJ6" s="59">
        <f ca="1">AVERAGE(OFFSET($FI$3,0,0,'Données projet'!$E$16+1,1))-AVERAGE(OFFSET($H$3,0,0,'Données projet'!$E$16+1,1))</f>
        <v>395.57130469647603</v>
      </c>
      <c r="FK6" s="59">
        <f t="shared" si="48"/>
        <v>383.97542781562674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58.850961727594338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2.6666666666666665</v>
      </c>
      <c r="FZ6" s="12">
        <f>IF('Données projet'!$A$244&gt;35,FZ5+FY6-GH5,IF(A6&lt;'Données projet'!$A$244,$FW$205^A6,IF(A6='Données projet'!$A$244,'Données projet'!$B$244,FZ5+FY6-GH5)))</f>
        <v>2.0912791051825459</v>
      </c>
      <c r="GA6" s="17">
        <f>FZ6*VLOOKUP('Données projet'!$B$17,Paramètres!$A$1:$I$89,3,0)*VLOOKUP('Données projet'!$B$17,Paramètres!$A$1:$I$89,5,0)</f>
        <v>1.6311977020423858</v>
      </c>
      <c r="GB6" s="13">
        <f t="shared" si="49"/>
        <v>0.71010553443370616</v>
      </c>
      <c r="GC6" s="20">
        <f t="shared" si="25"/>
        <v>4.0777698035291934</v>
      </c>
      <c r="GD6" s="59">
        <f t="shared" si="26"/>
        <v>223.5312961380418</v>
      </c>
      <c r="GE6" s="59">
        <f ca="1">AVERAGE(OFFSET($GD$3,0,0,'Données projet'!$E$17+1,1))-AVERAGE(OFFSET($H$3,0,0,'Données projet'!$E$17+1,1))</f>
        <v>301.74744407733351</v>
      </c>
      <c r="GF6" s="59">
        <f t="shared" si="50"/>
        <v>292.46787700966991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58.850961727594338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1.9</v>
      </c>
      <c r="GU6" s="12">
        <f>IF('Données projet'!$A$270&gt;35,GU5+GT6-HC5,IF(A6&lt;'Données projet'!$A$270,$GR$205^A6,IF(A6='Données projet'!$A$270,'Données projet'!$B$270,GU5+GT6-HC5)))</f>
        <v>2.4189454814875879</v>
      </c>
      <c r="GV6" s="17">
        <f>GU6*VLOOKUP('Données projet'!$B$18,Paramètres!$A$1:$I$89,3,0)*VLOOKUP('Données projet'!$B$18,Paramètres!$A$1:$I$89,5,0)</f>
        <v>1.4339508814258421</v>
      </c>
      <c r="GW6" s="13">
        <f t="shared" si="51"/>
        <v>0.63367379914539901</v>
      </c>
      <c r="GX6" s="20">
        <f t="shared" si="28"/>
        <v>3.6011129853282444</v>
      </c>
      <c r="GY6" s="59">
        <f t="shared" si="29"/>
        <v>223.05463931984085</v>
      </c>
      <c r="GZ6" s="59">
        <f ca="1">AVERAGE(OFFSET($GY$3,0,0,'Données projet'!$E$18+1,1))-AVERAGE(OFFSET($H$3,0,0,'Données projet'!$E$18+1,1))</f>
        <v>322.78672881269978</v>
      </c>
      <c r="HA6" s="59">
        <f t="shared" si="52"/>
        <v>313.08736327626434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2.3499999999999996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8.6166666666666654</v>
      </c>
      <c r="H7" s="67">
        <f t="shared" si="1"/>
        <v>222.20000000000002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59.044372616105107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3.65</v>
      </c>
      <c r="N7" s="13">
        <f>IF('Données projet'!$A$36&gt;35,N6+M7-V6,IF(A7&lt;'Données projet'!$A$36,$K$205^A7,IF(A7='Données projet'!$A$36,'Données projet'!$B$36,N6+M7-V6)))</f>
        <v>2.3586558182407358</v>
      </c>
      <c r="O7" s="13">
        <f>N7*VLOOKUP('Données projet'!$B$9,Paramètres!$A$1:$I$89,3,0)*VLOOKUP('Données projet'!$B$9,Paramètres!$A$1:$I$89,5,0)</f>
        <v>2.1341117843442179</v>
      </c>
      <c r="P7" s="13">
        <f t="shared" si="33"/>
        <v>0.90042667189585779</v>
      </c>
      <c r="Q7" s="20">
        <f t="shared" si="2"/>
        <v>5.2851544779514645</v>
      </c>
      <c r="R7" s="59">
        <f t="shared" si="0"/>
        <v>226.67007629255909</v>
      </c>
      <c r="S7" s="59">
        <f ca="1">AVERAGE(OFFSET($R$3,0,0,'Données projet'!$E$9+1,1))-AVERAGE(OFFSET($H$3,0,0,'Données projet'!$E$9+1,1))</f>
        <v>473.88815717313474</v>
      </c>
      <c r="T7" s="59">
        <f t="shared" si="34"/>
        <v>287.19790203552895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59.044372616105107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3.65</v>
      </c>
      <c r="AI7" s="13">
        <f>IF('Données projet'!$A$62&gt;35,AI6+AH7-AQ6,IF(A7&lt;'Données projet'!$A$62,$AF$205^A7,IF(A7='Données projet'!$A$62,'Données projet'!$B$62,AI6+AH7-AQ6)))</f>
        <v>2.3586558182407358</v>
      </c>
      <c r="AJ7" s="13">
        <f>AI7*VLOOKUP('Données projet'!$B$10,Paramètres!$A$1:$I$89,3,0)*VLOOKUP('Données projet'!$B$10,Paramètres!$A$1:$I$89,5,0)</f>
        <v>1.9869316612859962</v>
      </c>
      <c r="AK7" s="13">
        <f t="shared" si="35"/>
        <v>0.84533042826968274</v>
      </c>
      <c r="AL7" s="20">
        <f t="shared" si="4"/>
        <v>4.9328564726428068</v>
      </c>
      <c r="AM7" s="59">
        <f t="shared" si="5"/>
        <v>226.31777828725043</v>
      </c>
      <c r="AN7" s="59">
        <f ca="1">AVERAGE(OFFSET($AM$3,0,0,'Données projet'!$E$10+1,1))-AVERAGE(OFFSET($H$3,0,0,'Données projet'!$E$10+1,1))</f>
        <v>445.19118535527258</v>
      </c>
      <c r="AO7" s="59">
        <f t="shared" si="36"/>
        <v>270.93483242839363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59.044372616105107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3.65</v>
      </c>
      <c r="BD7" s="12">
        <f>IF('Données projet'!$A$88&gt;35,BD6+BC7-BL6,IF(A7&lt;'Données projet'!$A$88,$BA$205^A7,IF(A7='Données projet'!$A$88,'Données projet'!$B$88,BD6+BC7-BL6)))</f>
        <v>2.3586558182407358</v>
      </c>
      <c r="BE7" s="13">
        <f>BD7*VLOOKUP('Données projet'!$B$11,Paramètres!$A$1:$I$89,3,0)*VLOOKUP('Données projet'!$B$11,Paramètres!$A$1:$I$89,5,0)</f>
        <v>2.3916769996961063</v>
      </c>
      <c r="BF7" s="13">
        <f t="shared" si="37"/>
        <v>0.9958034297612971</v>
      </c>
      <c r="BG7" s="20">
        <f t="shared" si="7"/>
        <v>5.8998617479716442</v>
      </c>
      <c r="BH7" s="59">
        <f t="shared" si="8"/>
        <v>227.28478356257926</v>
      </c>
      <c r="BI7" s="59">
        <f ca="1">AVERAGE(OFFSET($BH$3,0,0,'Données projet'!$E$11+1,1))-AVERAGE(OFFSET($H$3,0,0,'Données projet'!$E$11+1,1))</f>
        <v>524.01140973345832</v>
      </c>
      <c r="BJ7" s="59">
        <f t="shared" si="38"/>
        <v>315.59942237999621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59.044372616105107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1.9</v>
      </c>
      <c r="BY7" s="12">
        <f>IF('Données projet'!$A$114&gt;35,BY6+BX7-CG6,IF(A7&lt;'Données projet'!$A$114,$BV$205^A7,IF(A7='Données projet'!$A$114,'Données projet'!$B$114,BY6+BX7-CG6)))</f>
        <v>3.247143191135669</v>
      </c>
      <c r="BZ7" s="13">
        <f>BY7*VLOOKUP('Données projet'!$B$12,Paramètres!$A$1:$I$89,3,0)*VLOOKUP('Données projet'!$B$12,Paramètres!$A$1:$I$89,5,0)</f>
        <v>2.1781836526138068</v>
      </c>
      <c r="CA7" s="13">
        <f t="shared" si="39"/>
        <v>0.91683748264221798</v>
      </c>
      <c r="CB7" s="20">
        <f t="shared" si="10"/>
        <v>5.3904951439042428</v>
      </c>
      <c r="CC7" s="59">
        <f t="shared" si="11"/>
        <v>226.77541695851187</v>
      </c>
      <c r="CD7" s="59">
        <f ca="1">AVERAGE(OFFSET($CC$3,0,0,'Données projet'!$E$12+1,1))-AVERAGE(OFFSET($H$3,0,0,'Données projet'!$E$12+1,1))</f>
        <v>358.95222991910504</v>
      </c>
      <c r="CE7" s="59">
        <f t="shared" si="40"/>
        <v>347.37506646970905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59.044372616105107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1.9</v>
      </c>
      <c r="CT7" s="12">
        <f>IF('Données projet'!$A$140&gt;35,CT6+CS7-DB6,IF(A7&lt;'Données projet'!$A$140,$CQ$205^A7,IF(A7='Données projet'!$A$140,'Données projet'!$B$140,CT6+CS7-DB6)))</f>
        <v>3.247143191135669</v>
      </c>
      <c r="CU7" s="17">
        <f>CT7*VLOOKUP('Données projet'!$B$13,Paramètres!$A$1:$I$89,3,0)*VLOOKUP('Données projet'!$B$13,Paramètres!$A$1:$I$89,5,0)</f>
        <v>2.1275282188320901</v>
      </c>
      <c r="CV7" s="13">
        <f t="shared" si="41"/>
        <v>0.89797181538259174</v>
      </c>
      <c r="CW7" s="20">
        <f t="shared" si="13"/>
        <v>5.2694125595905703</v>
      </c>
      <c r="CX7" s="59">
        <f t="shared" si="14"/>
        <v>226.65433437419819</v>
      </c>
      <c r="CY7" s="59">
        <f ca="1">AVERAGE(OFFSET($CX$3,0,0,'Données projet'!$E$13+1,1))-AVERAGE(OFFSET($H$3,0,0,'Données projet'!$E$13+1,1))</f>
        <v>351.7266381615546</v>
      </c>
      <c r="CZ7" s="59">
        <f t="shared" si="42"/>
        <v>340.52483243761799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59.044372616105107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2.8</v>
      </c>
      <c r="DO7" s="12">
        <f>IF('Données projet'!$A$166&gt;35,DO6+DN7-DW6,IF(A7&lt;'Données projet'!$A$166,$DL$205^A7,IF(A7='Données projet'!$A$166,'Données projet'!$B$166,DO6+DN7-DW6)))</f>
        <v>2.2368538294402907</v>
      </c>
      <c r="DP7" s="17">
        <f>DO7*VLOOKUP('Données projet'!$B$14,Paramètres!$A$1:$I$89,3,0)*VLOOKUP('Données projet'!$B$14,Paramètres!$A$1:$I$89,5,0)</f>
        <v>1.9192205856597695</v>
      </c>
      <c r="DQ7" s="13">
        <f t="shared" si="43"/>
        <v>0.8198251186449117</v>
      </c>
      <c r="DR7" s="20">
        <f t="shared" si="16"/>
        <v>4.770504601663986</v>
      </c>
      <c r="DS7" s="59">
        <f t="shared" si="17"/>
        <v>226.15542641627161</v>
      </c>
      <c r="DT7" s="59">
        <f ca="1">AVERAGE(OFFSET($DS$3,0,0,'Données projet'!$E$14+1,1))-AVERAGE(OFFSET($H$3,0,0,'Données projet'!$E$14+1,1))</f>
        <v>569.21675741362196</v>
      </c>
      <c r="DU7" s="59">
        <f t="shared" si="44"/>
        <v>321.12410801891679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59.044372616105107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1.9</v>
      </c>
      <c r="EJ7" s="12">
        <f>IF('Données projet'!$A$192&gt;35,EJ6+EI7-ER6,IF(A7&lt;'Données projet'!$A$192,$EG$205^A7,IF(A7='Données projet'!$A$192,'Données projet'!$B$192,EJ6+EI7-ER6)))</f>
        <v>3.247143191135669</v>
      </c>
      <c r="EK7" s="17">
        <f>EJ7*VLOOKUP('Données projet'!$B$15,Paramètres!$A$1:$I$89,3,0)*VLOOKUP('Données projet'!$B$15,Paramètres!$A$1:$I$89,5,0)</f>
        <v>2.5834271228675387</v>
      </c>
      <c r="EL7" s="13">
        <f t="shared" si="45"/>
        <v>1.066028069701316</v>
      </c>
      <c r="EM7" s="20">
        <f t="shared" si="19"/>
        <v>6.3561344603907548</v>
      </c>
      <c r="EN7" s="59">
        <f t="shared" si="20"/>
        <v>227.74105627499839</v>
      </c>
      <c r="EO7" s="59">
        <f ca="1">AVERAGE(OFFSET($EN$3,0,0,'Données projet'!$E$15+1,1))-AVERAGE(OFFSET($H$3,0,0,'Données projet'!$E$15+1,1))</f>
        <v>416.63597645452791</v>
      </c>
      <c r="EP7" s="59">
        <f t="shared" si="46"/>
        <v>402.05920382353497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59.044372616105107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1.1000000000000001</v>
      </c>
      <c r="FE7" s="12">
        <f>IF('Données projet'!$A$218&gt;35,FE6+FD7-FM6,IF(A7&lt;'Données projet'!$A$218,$FB$205^A7,IF(A7='Données projet'!$A$218,'Données projet'!$B$218,FE6+FD7-FM6)))</f>
        <v>2.6094986352788743</v>
      </c>
      <c r="FF7" s="17">
        <f>FE7*VLOOKUP('Données projet'!$B$16,Paramètres!$A$1:$I$89,3,0)*VLOOKUP('Données projet'!$B$16,Paramètres!$A$1:$I$89,5,0)</f>
        <v>2.2796580077796249</v>
      </c>
      <c r="FG7" s="13">
        <f t="shared" si="47"/>
        <v>0.95447757934019706</v>
      </c>
      <c r="FH7" s="20">
        <f t="shared" si="22"/>
        <v>5.632786147567022</v>
      </c>
      <c r="FI7" s="59">
        <f t="shared" si="23"/>
        <v>227.01770796217465</v>
      </c>
      <c r="FJ7" s="59">
        <f ca="1">AVERAGE(OFFSET($FI$3,0,0,'Données projet'!$E$16+1,1))-AVERAGE(OFFSET($H$3,0,0,'Données projet'!$E$16+1,1))</f>
        <v>395.57130469647603</v>
      </c>
      <c r="FK7" s="59">
        <f t="shared" si="48"/>
        <v>383.97542781562674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59.044372616105107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2.6666666666666665</v>
      </c>
      <c r="FZ7" s="12">
        <f>IF('Données projet'!$A$244&gt;35,FZ6+FY7-GH6,IF(A7&lt;'Données projet'!$A$244,$FW$205^A7,IF(A7='Données projet'!$A$244,'Données projet'!$B$244,FZ6+FY7-GH6)))</f>
        <v>2.6743361672197152</v>
      </c>
      <c r="GA7" s="17">
        <f>FZ7*VLOOKUP('Données projet'!$B$17,Paramètres!$A$1:$I$89,3,0)*VLOOKUP('Données projet'!$B$17,Paramètres!$A$1:$I$89,5,0)</f>
        <v>2.0859822104313781</v>
      </c>
      <c r="GB7" s="13">
        <f t="shared" si="49"/>
        <v>0.88245976121767966</v>
      </c>
      <c r="GC7" s="20">
        <f t="shared" si="25"/>
        <v>5.1700364339554419</v>
      </c>
      <c r="GD7" s="59">
        <f t="shared" si="26"/>
        <v>226.55495824856305</v>
      </c>
      <c r="GE7" s="59">
        <f ca="1">AVERAGE(OFFSET($GD$3,0,0,'Données projet'!$E$17+1,1))-AVERAGE(OFFSET($H$3,0,0,'Données projet'!$E$17+1,1))</f>
        <v>301.74744407733351</v>
      </c>
      <c r="GF7" s="59">
        <f t="shared" si="50"/>
        <v>292.46787700966991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59.044372616105107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1.9</v>
      </c>
      <c r="GU7" s="12">
        <f>IF('Données projet'!$A$270&gt;35,GU6+GT7-HC6,IF(A7&lt;'Données projet'!$A$270,$GR$205^A7,IF(A7='Données projet'!$A$270,'Données projet'!$B$270,GU6+GT7-HC6)))</f>
        <v>3.247143191135669</v>
      </c>
      <c r="GV7" s="17">
        <f>GU7*VLOOKUP('Données projet'!$B$18,Paramètres!$A$1:$I$89,3,0)*VLOOKUP('Données projet'!$B$18,Paramètres!$A$1:$I$89,5,0)</f>
        <v>1.9249064837052245</v>
      </c>
      <c r="GW7" s="13">
        <f t="shared" si="51"/>
        <v>0.82197085468541531</v>
      </c>
      <c r="GX7" s="20">
        <f t="shared" si="28"/>
        <v>4.7841446976970312</v>
      </c>
      <c r="GY7" s="59">
        <f t="shared" si="29"/>
        <v>226.16906651230465</v>
      </c>
      <c r="GZ7" s="59">
        <f ca="1">AVERAGE(OFFSET($GY$3,0,0,'Données projet'!$E$18+1,1))-AVERAGE(OFFSET($H$3,0,0,'Données projet'!$E$18+1,1))</f>
        <v>322.78672881269978</v>
      </c>
      <c r="HA7" s="59">
        <f t="shared" si="52"/>
        <v>313.08736327626434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2.3499999999999996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8.6166666666666654</v>
      </c>
      <c r="H8" s="67">
        <f t="shared" si="1"/>
        <v>222.20000000000002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59.234428258102191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3.65</v>
      </c>
      <c r="N8" s="13">
        <f>IF('Données projet'!$A$36&gt;35,N7+M8-V7,IF(A8&lt;'Données projet'!$A$36,$K$205^A8,IF(A8='Données projet'!$A$36,'Données projet'!$B$36,N7+M8-V7)))</f>
        <v>2.9230127856917649</v>
      </c>
      <c r="O8" s="13">
        <f>N8*VLOOKUP('Données projet'!$B$9,Paramètres!$A$1:$I$89,3,0)*VLOOKUP('Données projet'!$B$9,Paramètres!$A$1:$I$89,5,0)</f>
        <v>2.6447419684939089</v>
      </c>
      <c r="P8" s="13">
        <f t="shared" si="33"/>
        <v>1.0883534414958294</v>
      </c>
      <c r="Q8" s="20">
        <f t="shared" si="2"/>
        <v>6.5018078390654601</v>
      </c>
      <c r="R8" s="59">
        <f t="shared" si="0"/>
        <v>229.80582256321793</v>
      </c>
      <c r="S8" s="59">
        <f ca="1">AVERAGE(OFFSET($R$3,0,0,'Données projet'!$E$9+1,1))-AVERAGE(OFFSET($H$3,0,0,'Données projet'!$E$9+1,1))</f>
        <v>473.88815717313474</v>
      </c>
      <c r="T8" s="59">
        <f t="shared" si="34"/>
        <v>287.19790203552895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59.234428258102191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3.65</v>
      </c>
      <c r="AI8" s="13">
        <f>IF('Données projet'!$A$62&gt;35,AI7+AH8-AQ7,IF(A8&lt;'Données projet'!$A$62,$AF$205^A8,IF(A8='Données projet'!$A$62,'Données projet'!$B$62,AI7+AH8-AQ7)))</f>
        <v>2.9230127856917649</v>
      </c>
      <c r="AJ8" s="13">
        <f>AI8*VLOOKUP('Données projet'!$B$10,Paramètres!$A$1:$I$89,3,0)*VLOOKUP('Données projet'!$B$10,Paramètres!$A$1:$I$89,5,0)</f>
        <v>2.462345970666743</v>
      </c>
      <c r="AK8" s="13">
        <f t="shared" si="35"/>
        <v>1.021758139251189</v>
      </c>
      <c r="AL8" s="20">
        <f t="shared" si="4"/>
        <v>6.068147991440398</v>
      </c>
      <c r="AM8" s="59">
        <f t="shared" si="5"/>
        <v>229.37216271559288</v>
      </c>
      <c r="AN8" s="59">
        <f ca="1">AVERAGE(OFFSET($AM$3,0,0,'Données projet'!$E$10+1,1))-AVERAGE(OFFSET($H$3,0,0,'Données projet'!$E$10+1,1))</f>
        <v>445.19118535527258</v>
      </c>
      <c r="AO8" s="59">
        <f t="shared" si="36"/>
        <v>270.93483242839363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59.234428258102191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3.65</v>
      </c>
      <c r="BD8" s="12">
        <f>IF('Données projet'!$A$88&gt;35,BD7+BC8-BL7,IF(A8&lt;'Données projet'!$A$88,$BA$205^A8,IF(A8='Données projet'!$A$88,'Données projet'!$B$88,BD7+BC8-BL7)))</f>
        <v>2.9230127856917649</v>
      </c>
      <c r="BE8" s="13">
        <f>BD8*VLOOKUP('Données projet'!$B$11,Paramètres!$A$1:$I$89,3,0)*VLOOKUP('Données projet'!$B$11,Paramètres!$A$1:$I$89,5,0)</f>
        <v>2.9639349646914495</v>
      </c>
      <c r="BF8" s="13">
        <f t="shared" si="37"/>
        <v>1.2036361467970902</v>
      </c>
      <c r="BG8" s="20">
        <f t="shared" si="7"/>
        <v>7.2585196858425398</v>
      </c>
      <c r="BH8" s="59">
        <f t="shared" si="8"/>
        <v>230.56253440999501</v>
      </c>
      <c r="BI8" s="59">
        <f ca="1">AVERAGE(OFFSET($BH$3,0,0,'Données projet'!$E$11+1,1))-AVERAGE(OFFSET($H$3,0,0,'Données projet'!$E$11+1,1))</f>
        <v>524.01140973345832</v>
      </c>
      <c r="BJ8" s="59">
        <f t="shared" si="38"/>
        <v>315.59942237999621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59.234428258102191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1.9</v>
      </c>
      <c r="BY8" s="12">
        <f>IF('Données projet'!$A$114&gt;35,BY7+BX8-CG7,IF(A8&lt;'Données projet'!$A$114,$BV$205^A8,IF(A8='Données projet'!$A$114,'Données projet'!$B$114,BY7+BX8-CG7)))</f>
        <v>4.3588989435406749</v>
      </c>
      <c r="BZ8" s="13">
        <f>BY8*VLOOKUP('Données projet'!$B$12,Paramètres!$A$1:$I$89,3,0)*VLOOKUP('Données projet'!$B$12,Paramètres!$A$1:$I$89,5,0)</f>
        <v>2.9239494113270847</v>
      </c>
      <c r="CA8" s="13">
        <f t="shared" si="39"/>
        <v>1.1892770227069605</v>
      </c>
      <c r="CB8" s="20">
        <f t="shared" si="10"/>
        <v>7.1638693726092955</v>
      </c>
      <c r="CC8" s="59">
        <f t="shared" si="11"/>
        <v>230.46788409676176</v>
      </c>
      <c r="CD8" s="59">
        <f ca="1">AVERAGE(OFFSET($CC$3,0,0,'Données projet'!$E$12+1,1))-AVERAGE(OFFSET($H$3,0,0,'Données projet'!$E$12+1,1))</f>
        <v>358.95222991910504</v>
      </c>
      <c r="CE8" s="59">
        <f t="shared" si="40"/>
        <v>347.37506646970905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59.234428258102191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1.9</v>
      </c>
      <c r="CT8" s="12">
        <f>IF('Données projet'!$A$140&gt;35,CT7+CS8-DB7,IF(A8&lt;'Données projet'!$A$140,$CQ$205^A8,IF(A8='Données projet'!$A$140,'Données projet'!$B$140,CT7+CS8-DB7)))</f>
        <v>4.3588989435406749</v>
      </c>
      <c r="CU8" s="17">
        <f>CT8*VLOOKUP('Données projet'!$B$13,Paramètres!$A$1:$I$89,3,0)*VLOOKUP('Données projet'!$B$13,Paramètres!$A$1:$I$89,5,0)</f>
        <v>2.8559505878078499</v>
      </c>
      <c r="CV8" s="13">
        <f t="shared" si="41"/>
        <v>1.1648053960395504</v>
      </c>
      <c r="CW8" s="20">
        <f t="shared" si="13"/>
        <v>7.0028166718675555</v>
      </c>
      <c r="CX8" s="59">
        <f t="shared" si="14"/>
        <v>230.30683139602002</v>
      </c>
      <c r="CY8" s="59">
        <f ca="1">AVERAGE(OFFSET($CX$3,0,0,'Données projet'!$E$13+1,1))-AVERAGE(OFFSET($H$3,0,0,'Données projet'!$E$13+1,1))</f>
        <v>351.7266381615546</v>
      </c>
      <c r="CZ8" s="59">
        <f t="shared" si="42"/>
        <v>340.52483243761799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59.234428258102191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2.8</v>
      </c>
      <c r="DO8" s="12">
        <f>IF('Données projet'!$A$166&gt;35,DO7+DN8-DW7,IF(A8&lt;'Données projet'!$A$166,$DL$205^A8,IF(A8='Données projet'!$A$166,'Données projet'!$B$166,DO7+DN8-DW7)))</f>
        <v>2.735564799734763</v>
      </c>
      <c r="DP8" s="17">
        <f>DO8*VLOOKUP('Données projet'!$B$14,Paramètres!$A$1:$I$89,3,0)*VLOOKUP('Données projet'!$B$14,Paramètres!$A$1:$I$89,5,0)</f>
        <v>2.3471145981724271</v>
      </c>
      <c r="DQ8" s="13">
        <f t="shared" si="43"/>
        <v>0.97939113254888255</v>
      </c>
      <c r="DR8" s="20">
        <f t="shared" si="16"/>
        <v>5.7936641476729482</v>
      </c>
      <c r="DS8" s="59">
        <f t="shared" si="17"/>
        <v>229.09767887182542</v>
      </c>
      <c r="DT8" s="59">
        <f ca="1">AVERAGE(OFFSET($DS$3,0,0,'Données projet'!$E$14+1,1))-AVERAGE(OFFSET($H$3,0,0,'Données projet'!$E$14+1,1))</f>
        <v>569.21675741362196</v>
      </c>
      <c r="DU8" s="59">
        <f t="shared" si="44"/>
        <v>321.12410801891679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59.234428258102191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1.9</v>
      </c>
      <c r="EJ8" s="12">
        <f>IF('Données projet'!$A$192&gt;35,EJ7+EI8-ER7,IF(A8&lt;'Données projet'!$A$192,$EG$205^A8,IF(A8='Données projet'!$A$192,'Données projet'!$B$192,EJ7+EI8-ER7)))</f>
        <v>4.3588989435406749</v>
      </c>
      <c r="EK8" s="17">
        <f>EJ8*VLOOKUP('Données projet'!$B$15,Paramètres!$A$1:$I$89,3,0)*VLOOKUP('Données projet'!$B$15,Paramètres!$A$1:$I$89,5,0)</f>
        <v>3.467939999480961</v>
      </c>
      <c r="EL8" s="13">
        <f t="shared" si="45"/>
        <v>1.382799801337496</v>
      </c>
      <c r="EM8" s="20">
        <f t="shared" si="19"/>
        <v>8.4483718197588118</v>
      </c>
      <c r="EN8" s="59">
        <f t="shared" si="20"/>
        <v>231.75238654391129</v>
      </c>
      <c r="EO8" s="59">
        <f ca="1">AVERAGE(OFFSET($EN$3,0,0,'Données projet'!$E$15+1,1))-AVERAGE(OFFSET($H$3,0,0,'Données projet'!$E$15+1,1))</f>
        <v>416.63597645452791</v>
      </c>
      <c r="EP8" s="59">
        <f t="shared" si="46"/>
        <v>402.05920382353497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59.234428258102191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1.1000000000000001</v>
      </c>
      <c r="FE8" s="12">
        <f>IF('Données projet'!$A$218&gt;35,FE7+FD8-FM7,IF(A8&lt;'Données projet'!$A$218,$FB$205^A8,IF(A8='Données projet'!$A$218,'Données projet'!$B$218,FE7+FD8-FM7)))</f>
        <v>3.3166247903554016</v>
      </c>
      <c r="FF8" s="17">
        <f>FE8*VLOOKUP('Données projet'!$B$16,Paramètres!$A$1:$I$89,3,0)*VLOOKUP('Données projet'!$B$16,Paramètres!$A$1:$I$89,5,0)</f>
        <v>2.8974034168544791</v>
      </c>
      <c r="FG8" s="13">
        <f t="shared" si="47"/>
        <v>1.1797315360649065</v>
      </c>
      <c r="FH8" s="20">
        <f t="shared" si="22"/>
        <v>7.1010100430012626</v>
      </c>
      <c r="FI8" s="59">
        <f t="shared" si="23"/>
        <v>230.40502476715372</v>
      </c>
      <c r="FJ8" s="59">
        <f ca="1">AVERAGE(OFFSET($FI$3,0,0,'Données projet'!$E$16+1,1))-AVERAGE(OFFSET($H$3,0,0,'Données projet'!$E$16+1,1))</f>
        <v>395.57130469647603</v>
      </c>
      <c r="FK8" s="59">
        <f t="shared" si="48"/>
        <v>383.97542781562674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59.234428258102191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2.6666666666666665</v>
      </c>
      <c r="FZ8" s="12">
        <f>IF('Données projet'!$A$244&gt;35,FZ7+FY8-GH7,IF(A8&lt;'Données projet'!$A$244,$FW$205^A8,IF(A8='Données projet'!$A$244,'Données projet'!$B$244,FZ7+FY8-GH7)))</f>
        <v>3.4199518933533928</v>
      </c>
      <c r="GA8" s="17">
        <f>FZ8*VLOOKUP('Données projet'!$B$17,Paramètres!$A$1:$I$89,3,0)*VLOOKUP('Données projet'!$B$17,Paramètres!$A$1:$I$89,5,0)</f>
        <v>2.6675624768156463</v>
      </c>
      <c r="GB8" s="13">
        <f t="shared" si="49"/>
        <v>1.0966471776471767</v>
      </c>
      <c r="GC8" s="20">
        <f t="shared" si="25"/>
        <v>6.5559984815227494</v>
      </c>
      <c r="GD8" s="59">
        <f t="shared" si="26"/>
        <v>229.86001320567522</v>
      </c>
      <c r="GE8" s="59">
        <f ca="1">AVERAGE(OFFSET($GD$3,0,0,'Données projet'!$E$17+1,1))-AVERAGE(OFFSET($H$3,0,0,'Données projet'!$E$17+1,1))</f>
        <v>301.74744407733351</v>
      </c>
      <c r="GF8" s="59">
        <f t="shared" si="50"/>
        <v>292.46787700966991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59.234428258102191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1.9</v>
      </c>
      <c r="GU8" s="12">
        <f>IF('Données projet'!$A$270&gt;35,GU7+GT8-HC7,IF(A8&lt;'Données projet'!$A$270,$GR$205^A8,IF(A8='Données projet'!$A$270,'Données projet'!$B$270,GU7+GT8-HC7)))</f>
        <v>4.3588989435406749</v>
      </c>
      <c r="GV8" s="17">
        <f>GU8*VLOOKUP('Données projet'!$B$18,Paramètres!$A$1:$I$89,3,0)*VLOOKUP('Données projet'!$B$18,Paramètres!$A$1:$I$89,5,0)</f>
        <v>2.583955293730912</v>
      </c>
      <c r="GW8" s="13">
        <f t="shared" si="51"/>
        <v>1.0662206435921218</v>
      </c>
      <c r="GX8" s="20">
        <f t="shared" si="28"/>
        <v>6.3573897575042828</v>
      </c>
      <c r="GY8" s="59">
        <f t="shared" si="29"/>
        <v>229.66140448165675</v>
      </c>
      <c r="GZ8" s="59">
        <f ca="1">AVERAGE(OFFSET($GY$3,0,0,'Données projet'!$E$18+1,1))-AVERAGE(OFFSET($H$3,0,0,'Données projet'!$E$18+1,1))</f>
        <v>322.78672881269978</v>
      </c>
      <c r="HA8" s="59">
        <f t="shared" si="52"/>
        <v>313.08736327626434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2.3499999999999996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8.6166666666666654</v>
      </c>
      <c r="H9" s="67">
        <f t="shared" si="1"/>
        <v>222.20000000000002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59.421186859611382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3.65</v>
      </c>
      <c r="N9" s="13">
        <f>IF('Données projet'!$A$36&gt;35,N8+M9-V8,IF(A9&lt;'Données projet'!$A$36,$K$205^A9,IF(A9='Données projet'!$A$36,'Données projet'!$B$36,N8+M9-V8)))</f>
        <v>3.6224037772879885</v>
      </c>
      <c r="O9" s="13">
        <f>N9*VLOOKUP('Données projet'!$B$9,Paramètres!$A$1:$I$89,3,0)*VLOOKUP('Données projet'!$B$9,Paramètres!$A$1:$I$89,5,0)</f>
        <v>3.2775509376901719</v>
      </c>
      <c r="P9" s="13">
        <f t="shared" si="33"/>
        <v>1.315502139804245</v>
      </c>
      <c r="Q9" s="20">
        <f t="shared" si="2"/>
        <v>7.9995674433027766</v>
      </c>
      <c r="R9" s="59">
        <f t="shared" si="0"/>
        <v>233.2105859285445</v>
      </c>
      <c r="S9" s="59">
        <f ca="1">AVERAGE(OFFSET($R$3,0,0,'Données projet'!$E$9+1,1))-AVERAGE(OFFSET($H$3,0,0,'Données projet'!$E$9+1,1))</f>
        <v>473.88815717313474</v>
      </c>
      <c r="T9" s="59">
        <f t="shared" si="34"/>
        <v>287.19790203552895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59.421186859611382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3.65</v>
      </c>
      <c r="AI9" s="13">
        <f>IF('Données projet'!$A$62&gt;35,AI8+AH9-AQ8,IF(A9&lt;'Données projet'!$A$62,$AF$205^A9,IF(A9='Données projet'!$A$62,'Données projet'!$B$62,AI8+AH9-AQ8)))</f>
        <v>3.6224037772879885</v>
      </c>
      <c r="AJ9" s="13">
        <f>AI9*VLOOKUP('Données projet'!$B$10,Paramètres!$A$1:$I$89,3,0)*VLOOKUP('Données projet'!$B$10,Paramètres!$A$1:$I$89,5,0)</f>
        <v>3.0515129419874016</v>
      </c>
      <c r="AK9" s="13">
        <f t="shared" si="35"/>
        <v>1.2350078267772846</v>
      </c>
      <c r="AL9" s="20">
        <f t="shared" si="4"/>
        <v>7.4656903389318279</v>
      </c>
      <c r="AM9" s="59">
        <f t="shared" si="5"/>
        <v>232.67670882417357</v>
      </c>
      <c r="AN9" s="59">
        <f ca="1">AVERAGE(OFFSET($AM$3,0,0,'Données projet'!$E$10+1,1))-AVERAGE(OFFSET($H$3,0,0,'Données projet'!$E$10+1,1))</f>
        <v>445.19118535527258</v>
      </c>
      <c r="AO9" s="59">
        <f t="shared" si="36"/>
        <v>270.93483242839363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59.421186859611382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3.65</v>
      </c>
      <c r="BD9" s="12">
        <f>IF('Données projet'!$A$88&gt;35,BD8+BC9-BL8,IF(A9&lt;'Données projet'!$A$88,$BA$205^A9,IF(A9='Données projet'!$A$88,'Données projet'!$B$88,BD8+BC9-BL8)))</f>
        <v>3.6224037772879885</v>
      </c>
      <c r="BE9" s="13">
        <f>BD9*VLOOKUP('Données projet'!$B$11,Paramètres!$A$1:$I$89,3,0)*VLOOKUP('Données projet'!$B$11,Paramètres!$A$1:$I$89,5,0)</f>
        <v>3.6731174301700205</v>
      </c>
      <c r="BF9" s="13">
        <f t="shared" si="37"/>
        <v>1.4548453345092642</v>
      </c>
      <c r="BG9" s="20">
        <f t="shared" si="7"/>
        <v>8.9312018151497536</v>
      </c>
      <c r="BH9" s="59">
        <f t="shared" si="8"/>
        <v>234.1422203003915</v>
      </c>
      <c r="BI9" s="59">
        <f ca="1">AVERAGE(OFFSET($BH$3,0,0,'Données projet'!$E$11+1,1))-AVERAGE(OFFSET($H$3,0,0,'Données projet'!$E$11+1,1))</f>
        <v>524.01140973345832</v>
      </c>
      <c r="BJ9" s="59">
        <f t="shared" si="38"/>
        <v>315.59942237999621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59.421186859611382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1.9</v>
      </c>
      <c r="BY9" s="12">
        <f>IF('Données projet'!$A$114&gt;35,BY8+BX9-CG8,IF(A9&lt;'Données projet'!$A$114,$BV$205^A9,IF(A9='Données projet'!$A$114,'Données projet'!$B$114,BY8+BX9-CG8)))</f>
        <v>5.8512972424092187</v>
      </c>
      <c r="BZ9" s="13">
        <f>BY9*VLOOKUP('Données projet'!$B$12,Paramètres!$A$1:$I$89,3,0)*VLOOKUP('Données projet'!$B$12,Paramètres!$A$1:$I$89,5,0)</f>
        <v>3.9250501902081041</v>
      </c>
      <c r="CA9" s="13">
        <f t="shared" si="39"/>
        <v>1.5426723530790381</v>
      </c>
      <c r="CB9" s="20">
        <f t="shared" si="10"/>
        <v>9.5229500962251041</v>
      </c>
      <c r="CC9" s="59">
        <f t="shared" si="11"/>
        <v>234.73396858146685</v>
      </c>
      <c r="CD9" s="59">
        <f ca="1">AVERAGE(OFFSET($CC$3,0,0,'Données projet'!$E$12+1,1))-AVERAGE(OFFSET($H$3,0,0,'Données projet'!$E$12+1,1))</f>
        <v>358.95222991910504</v>
      </c>
      <c r="CE9" s="59">
        <f t="shared" si="40"/>
        <v>347.37506646970905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59.421186859611382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1.9</v>
      </c>
      <c r="CT9" s="12">
        <f>IF('Données projet'!$A$140&gt;35,CT8+CS9-DB8,IF(A9&lt;'Données projet'!$A$140,$CQ$205^A9,IF(A9='Données projet'!$A$140,'Données projet'!$B$140,CT8+CS9-DB8)))</f>
        <v>5.8512972424092187</v>
      </c>
      <c r="CU9" s="17">
        <f>CT9*VLOOKUP('Données projet'!$B$13,Paramètres!$A$1:$I$89,3,0)*VLOOKUP('Données projet'!$B$13,Paramètres!$A$1:$I$89,5,0)</f>
        <v>3.8337699532265201</v>
      </c>
      <c r="CV9" s="13">
        <f t="shared" si="41"/>
        <v>1.510928948326496</v>
      </c>
      <c r="CW9" s="20">
        <f t="shared" si="13"/>
        <v>9.308683920204837</v>
      </c>
      <c r="CX9" s="59">
        <f t="shared" si="14"/>
        <v>234.51970240544657</v>
      </c>
      <c r="CY9" s="59">
        <f ca="1">AVERAGE(OFFSET($CX$3,0,0,'Données projet'!$E$13+1,1))-AVERAGE(OFFSET($H$3,0,0,'Données projet'!$E$13+1,1))</f>
        <v>351.7266381615546</v>
      </c>
      <c r="CZ9" s="59">
        <f t="shared" si="42"/>
        <v>340.52483243761799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59.421186859611382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2.8</v>
      </c>
      <c r="DO9" s="12">
        <f>IF('Données projet'!$A$166&gt;35,DO8+DN9-DW8,IF(A9&lt;'Données projet'!$A$166,$DL$205^A9,IF(A9='Données projet'!$A$166,'Données projet'!$B$166,DO8+DN9-DW8)))</f>
        <v>3.3454643638562565</v>
      </c>
      <c r="DP9" s="17">
        <f>DO9*VLOOKUP('Données projet'!$B$14,Paramètres!$A$1:$I$89,3,0)*VLOOKUP('Données projet'!$B$14,Paramètres!$A$1:$I$89,5,0)</f>
        <v>2.8704084241886685</v>
      </c>
      <c r="DQ9" s="13">
        <f t="shared" si="43"/>
        <v>1.170014151433729</v>
      </c>
      <c r="DR9" s="20">
        <f t="shared" si="16"/>
        <v>7.0370693192090075</v>
      </c>
      <c r="DS9" s="59">
        <f t="shared" si="17"/>
        <v>232.24808780445073</v>
      </c>
      <c r="DT9" s="59">
        <f ca="1">AVERAGE(OFFSET($DS$3,0,0,'Données projet'!$E$14+1,1))-AVERAGE(OFFSET($H$3,0,0,'Données projet'!$E$14+1,1))</f>
        <v>569.21675741362196</v>
      </c>
      <c r="DU9" s="59">
        <f t="shared" si="44"/>
        <v>321.12410801891679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59.421186859611382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1.9</v>
      </c>
      <c r="EJ9" s="12">
        <f>IF('Données projet'!$A$192&gt;35,EJ8+EI9-ER8,IF(A9&lt;'Données projet'!$A$192,$EG$205^A9,IF(A9='Données projet'!$A$192,'Données projet'!$B$192,EJ8+EI9-ER8)))</f>
        <v>5.8512972424092187</v>
      </c>
      <c r="EK9" s="17">
        <f>EJ9*VLOOKUP('Données projet'!$B$15,Paramètres!$A$1:$I$89,3,0)*VLOOKUP('Données projet'!$B$15,Paramètres!$A$1:$I$89,5,0)</f>
        <v>4.6552920860607747</v>
      </c>
      <c r="EL9" s="13">
        <f t="shared" si="45"/>
        <v>1.7937006960002178</v>
      </c>
      <c r="EM9" s="20">
        <f t="shared" si="19"/>
        <v>11.231995762089561</v>
      </c>
      <c r="EN9" s="59">
        <f t="shared" si="20"/>
        <v>236.44301424733129</v>
      </c>
      <c r="EO9" s="59">
        <f ca="1">AVERAGE(OFFSET($EN$3,0,0,'Données projet'!$E$15+1,1))-AVERAGE(OFFSET($H$3,0,0,'Données projet'!$E$15+1,1))</f>
        <v>416.63597645452791</v>
      </c>
      <c r="EP9" s="59">
        <f t="shared" si="46"/>
        <v>402.05920382353497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59.421186859611382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1.1000000000000001</v>
      </c>
      <c r="FE9" s="12">
        <f>IF('Données projet'!$A$218&gt;35,FE8+FD9-FM8,IF(A9&lt;'Données projet'!$A$218,$FB$205^A9,IF(A9='Données projet'!$A$218,'Données projet'!$B$218,FE8+FD9-FM8)))</f>
        <v>4.2153691330919028</v>
      </c>
      <c r="FF9" s="17">
        <f>FE9*VLOOKUP('Données projet'!$B$16,Paramètres!$A$1:$I$89,3,0)*VLOOKUP('Données projet'!$B$16,Paramètres!$A$1:$I$89,5,0)</f>
        <v>3.6825464746690866</v>
      </c>
      <c r="FG9" s="13">
        <f t="shared" si="47"/>
        <v>1.4581447771126821</v>
      </c>
      <c r="FH9" s="20">
        <f t="shared" si="22"/>
        <v>8.9533705968532473</v>
      </c>
      <c r="FI9" s="59">
        <f t="shared" si="23"/>
        <v>234.164389082095</v>
      </c>
      <c r="FJ9" s="59">
        <f ca="1">AVERAGE(OFFSET($FI$3,0,0,'Données projet'!$E$16+1,1))-AVERAGE(OFFSET($H$3,0,0,'Données projet'!$E$16+1,1))</f>
        <v>395.57130469647603</v>
      </c>
      <c r="FK9" s="59">
        <f t="shared" si="48"/>
        <v>383.97542781562674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59.421186859611382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2.6666666666666665</v>
      </c>
      <c r="FZ9" s="12">
        <f>IF('Données projet'!$A$244&gt;35,FZ8+FY9-GH8,IF(A9&lt;'Données projet'!$A$244,$FW$205^A9,IF(A9='Données projet'!$A$244,'Données projet'!$B$244,FZ8+FY9-GH8)))</f>
        <v>4.3734482957731098</v>
      </c>
      <c r="GA9" s="17">
        <f>FZ9*VLOOKUP('Données projet'!$B$17,Paramètres!$A$1:$I$89,3,0)*VLOOKUP('Données projet'!$B$17,Paramètres!$A$1:$I$89,5,0)</f>
        <v>3.4112896707030256</v>
      </c>
      <c r="GB9" s="13">
        <f t="shared" si="49"/>
        <v>1.3628213830192535</v>
      </c>
      <c r="GC9" s="20">
        <f t="shared" si="25"/>
        <v>8.3149100852329703</v>
      </c>
      <c r="GD9" s="59">
        <f t="shared" si="26"/>
        <v>233.52592857047472</v>
      </c>
      <c r="GE9" s="59">
        <f ca="1">AVERAGE(OFFSET($GD$3,0,0,'Données projet'!$E$17+1,1))-AVERAGE(OFFSET($H$3,0,0,'Données projet'!$E$17+1,1))</f>
        <v>301.74744407733351</v>
      </c>
      <c r="GF9" s="59">
        <f t="shared" si="50"/>
        <v>292.46787700966991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59.421186859611382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1.9</v>
      </c>
      <c r="GU9" s="12">
        <f>IF('Données projet'!$A$270&gt;35,GU8+GT9-HC8,IF(A9&lt;'Données projet'!$A$270,$GR$205^A9,IF(A9='Données projet'!$A$270,'Données projet'!$B$270,GU8+GT9-HC8)))</f>
        <v>5.8512972424092187</v>
      </c>
      <c r="GV9" s="17">
        <f>GU9*VLOOKUP('Données projet'!$B$18,Paramètres!$A$1:$I$89,3,0)*VLOOKUP('Données projet'!$B$18,Paramètres!$A$1:$I$89,5,0)</f>
        <v>3.4686490053001848</v>
      </c>
      <c r="GW9" s="13">
        <f t="shared" si="51"/>
        <v>1.3830495988292486</v>
      </c>
      <c r="GX9" s="20">
        <f t="shared" si="28"/>
        <v>8.4500417355254296</v>
      </c>
      <c r="GY9" s="59">
        <f t="shared" si="29"/>
        <v>233.66106022076715</v>
      </c>
      <c r="GZ9" s="59">
        <f ca="1">AVERAGE(OFFSET($GY$3,0,0,'Données projet'!$E$18+1,1))-AVERAGE(OFFSET($H$3,0,0,'Données projet'!$E$18+1,1))</f>
        <v>322.78672881269978</v>
      </c>
      <c r="HA9" s="59">
        <f t="shared" si="52"/>
        <v>313.08736327626434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2.3499999999999996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8.6166666666666654</v>
      </c>
      <c r="H10" s="67">
        <f t="shared" si="1"/>
        <v>222.20000000000002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59.604705616914067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3.65</v>
      </c>
      <c r="N10" s="13">
        <f>IF('Données projet'!$A$36&gt;35,N9+M10-V9,IF(A10&lt;'Données projet'!$A$36,$K$205^A10,IF(A10='Données projet'!$A$36,'Données projet'!$B$36,N9+M10-V9)))</f>
        <v>4.4891384635544309</v>
      </c>
      <c r="O10" s="13">
        <f>N10*VLOOKUP('Données projet'!$B$9,Paramètres!$A$1:$I$89,3,0)*VLOOKUP('Données projet'!$B$9,Paramètres!$A$1:$I$89,5,0)</f>
        <v>4.0617724818240486</v>
      </c>
      <c r="P10" s="13">
        <f t="shared" si="33"/>
        <v>1.590058719758437</v>
      </c>
      <c r="Q10" s="20">
        <f t="shared" si="2"/>
        <v>9.8436060094228282</v>
      </c>
      <c r="R10" s="59">
        <f t="shared" si="0"/>
        <v>236.94974882699665</v>
      </c>
      <c r="S10" s="59">
        <f ca="1">AVERAGE(OFFSET($R$3,0,0,'Données projet'!$E$9+1,1))-AVERAGE(OFFSET($H$3,0,0,'Données projet'!$E$9+1,1))</f>
        <v>473.88815717313474</v>
      </c>
      <c r="T10" s="59">
        <f t="shared" si="34"/>
        <v>287.19790203552895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59.604705616914067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3.65</v>
      </c>
      <c r="AI10" s="13">
        <f>IF('Données projet'!$A$62&gt;35,AI9+AH10-AQ9,IF(A10&lt;'Données projet'!$A$62,$AF$205^A10,IF(A10='Données projet'!$A$62,'Données projet'!$B$62,AI9+AH10-AQ9)))</f>
        <v>4.4891384635544309</v>
      </c>
      <c r="AJ10" s="13">
        <f>AI10*VLOOKUP('Données projet'!$B$10,Paramètres!$A$1:$I$89,3,0)*VLOOKUP('Données projet'!$B$10,Paramètres!$A$1:$I$89,5,0)</f>
        <v>3.7816502416982529</v>
      </c>
      <c r="AK10" s="13">
        <f t="shared" si="35"/>
        <v>1.492764553183741</v>
      </c>
      <c r="AL10" s="20">
        <f t="shared" si="4"/>
        <v>9.1862724344194735</v>
      </c>
      <c r="AM10" s="59">
        <f t="shared" si="5"/>
        <v>236.2924152519933</v>
      </c>
      <c r="AN10" s="59">
        <f ca="1">AVERAGE(OFFSET($AM$3,0,0,'Données projet'!$E$10+1,1))-AVERAGE(OFFSET($H$3,0,0,'Données projet'!$E$10+1,1))</f>
        <v>445.19118535527258</v>
      </c>
      <c r="AO10" s="59">
        <f t="shared" si="36"/>
        <v>270.93483242839363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59.604705616914067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3.65</v>
      </c>
      <c r="BD10" s="12">
        <f>IF('Données projet'!$A$88&gt;35,BD9+BC10-BL9,IF(A10&lt;'Données projet'!$A$88,$BA$205^A10,IF(A10='Données projet'!$A$88,'Données projet'!$B$88,BD9+BC10-BL9)))</f>
        <v>4.4891384635544309</v>
      </c>
      <c r="BE10" s="13">
        <f>BD10*VLOOKUP('Données projet'!$B$11,Paramètres!$A$1:$I$89,3,0)*VLOOKUP('Données projet'!$B$11,Paramètres!$A$1:$I$89,5,0)</f>
        <v>4.5519864020441929</v>
      </c>
      <c r="BF10" s="13">
        <f t="shared" si="37"/>
        <v>1.7584840343783612</v>
      </c>
      <c r="BG10" s="20">
        <f t="shared" si="7"/>
        <v>10.990736010102614</v>
      </c>
      <c r="BH10" s="59">
        <f t="shared" si="8"/>
        <v>238.09687882767645</v>
      </c>
      <c r="BI10" s="59">
        <f ca="1">AVERAGE(OFFSET($BH$3,0,0,'Données projet'!$E$11+1,1))-AVERAGE(OFFSET($H$3,0,0,'Données projet'!$E$11+1,1))</f>
        <v>524.01140973345832</v>
      </c>
      <c r="BJ10" s="59">
        <f t="shared" si="38"/>
        <v>315.59942237999621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59.604705616914067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1.9</v>
      </c>
      <c r="BY10" s="12">
        <f>IF('Données projet'!$A$114&gt;35,BY9+BX10-CG9,IF(A10&lt;'Données projet'!$A$114,$BV$205^A10,IF(A10='Données projet'!$A$114,'Données projet'!$B$114,BY9+BX10-CG9)))</f>
        <v>7.8546623499408135</v>
      </c>
      <c r="BZ10" s="13">
        <f>BY10*VLOOKUP('Données projet'!$B$12,Paramètres!$A$1:$I$89,3,0)*VLOOKUP('Données projet'!$B$12,Paramètres!$A$1:$I$89,5,0)</f>
        <v>5.268907504340298</v>
      </c>
      <c r="CA10" s="13">
        <f t="shared" si="39"/>
        <v>2.0010796000561526</v>
      </c>
      <c r="CB10" s="20">
        <f t="shared" si="10"/>
        <v>12.661894206823819</v>
      </c>
      <c r="CC10" s="59">
        <f t="shared" si="11"/>
        <v>239.76803702439767</v>
      </c>
      <c r="CD10" s="59">
        <f ca="1">AVERAGE(OFFSET($CC$3,0,0,'Données projet'!$E$12+1,1))-AVERAGE(OFFSET($H$3,0,0,'Données projet'!$E$12+1,1))</f>
        <v>358.95222991910504</v>
      </c>
      <c r="CE10" s="59">
        <f t="shared" si="40"/>
        <v>347.37506646970905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59.604705616914067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1.9</v>
      </c>
      <c r="CT10" s="12">
        <f>IF('Données projet'!$A$140&gt;35,CT9+CS10-DB9,IF(A10&lt;'Données projet'!$A$140,$CQ$205^A10,IF(A10='Données projet'!$A$140,'Données projet'!$B$140,CT9+CS10-DB9)))</f>
        <v>7.8546623499408135</v>
      </c>
      <c r="CU10" s="17">
        <f>CT10*VLOOKUP('Données projet'!$B$13,Paramètres!$A$1:$I$89,3,0)*VLOOKUP('Données projet'!$B$13,Paramètres!$A$1:$I$89,5,0)</f>
        <v>5.1463747716812209</v>
      </c>
      <c r="CV10" s="13">
        <f t="shared" si="41"/>
        <v>1.9599035981916897</v>
      </c>
      <c r="CW10" s="20">
        <f t="shared" si="13"/>
        <v>12.376768160861985</v>
      </c>
      <c r="CX10" s="59">
        <f t="shared" si="14"/>
        <v>239.48291097843583</v>
      </c>
      <c r="CY10" s="59">
        <f ca="1">AVERAGE(OFFSET($CX$3,0,0,'Données projet'!$E$13+1,1))-AVERAGE(OFFSET($H$3,0,0,'Données projet'!$E$13+1,1))</f>
        <v>351.7266381615546</v>
      </c>
      <c r="CZ10" s="59">
        <f t="shared" si="42"/>
        <v>340.52483243761799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59.604705616914067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2.8</v>
      </c>
      <c r="DO10" s="12">
        <f>IF('Données projet'!$A$166&gt;35,DO9+DN10-DW9,IF(A10&lt;'Données projet'!$A$166,$DL$205^A10,IF(A10='Données projet'!$A$166,'Données projet'!$B$166,DO9+DN10-DW9)))</f>
        <v>4.091342237960264</v>
      </c>
      <c r="DP10" s="17">
        <f>DO10*VLOOKUP('Données projet'!$B$14,Paramètres!$A$1:$I$89,3,0)*VLOOKUP('Données projet'!$B$14,Paramètres!$A$1:$I$89,5,0)</f>
        <v>3.510371640169907</v>
      </c>
      <c r="DQ10" s="13">
        <f t="shared" si="43"/>
        <v>1.3977389309136552</v>
      </c>
      <c r="DR10" s="20">
        <f t="shared" si="16"/>
        <v>8.5482925779705372</v>
      </c>
      <c r="DS10" s="59">
        <f t="shared" si="17"/>
        <v>235.65443539554437</v>
      </c>
      <c r="DT10" s="59">
        <f ca="1">AVERAGE(OFFSET($DS$3,0,0,'Données projet'!$E$14+1,1))-AVERAGE(OFFSET($H$3,0,0,'Données projet'!$E$14+1,1))</f>
        <v>569.21675741362196</v>
      </c>
      <c r="DU10" s="59">
        <f t="shared" si="44"/>
        <v>321.12410801891679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59.604705616914067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1.9</v>
      </c>
      <c r="EJ10" s="12">
        <f>IF('Données projet'!$A$192&gt;35,EJ9+EI10-ER9,IF(A10&lt;'Données projet'!$A$192,$EG$205^A10,IF(A10='Données projet'!$A$192,'Données projet'!$B$192,EJ9+EI10-ER9)))</f>
        <v>7.8546623499408135</v>
      </c>
      <c r="EK10" s="17">
        <f>EJ10*VLOOKUP('Données projet'!$B$15,Paramètres!$A$1:$I$89,3,0)*VLOOKUP('Données projet'!$B$15,Paramètres!$A$1:$I$89,5,0)</f>
        <v>6.2491693656129108</v>
      </c>
      <c r="EL10" s="13">
        <f t="shared" si="45"/>
        <v>2.326701366112224</v>
      </c>
      <c r="EM10" s="20">
        <f t="shared" si="19"/>
        <v>14.936308191087944</v>
      </c>
      <c r="EN10" s="59">
        <f t="shared" si="20"/>
        <v>242.04245100866177</v>
      </c>
      <c r="EO10" s="59">
        <f ca="1">AVERAGE(OFFSET($EN$3,0,0,'Données projet'!$E$15+1,1))-AVERAGE(OFFSET($H$3,0,0,'Données projet'!$E$15+1,1))</f>
        <v>416.63597645452791</v>
      </c>
      <c r="EP10" s="59">
        <f t="shared" si="46"/>
        <v>402.05920382353497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59.604705616914067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1.1000000000000001</v>
      </c>
      <c r="FE10" s="12">
        <f>IF('Données projet'!$A$218&gt;35,FE9+FD10-FM9,IF(A10&lt;'Données projet'!$A$218,$FB$205^A10,IF(A10='Données projet'!$A$218,'Données projet'!$B$218,FE9+FD10-FM9)))</f>
        <v>5.3576566694841175</v>
      </c>
      <c r="FF10" s="17">
        <f>FE10*VLOOKUP('Données projet'!$B$16,Paramètres!$A$1:$I$89,3,0)*VLOOKUP('Données projet'!$B$16,Paramètres!$A$1:$I$89,5,0)</f>
        <v>4.6804488664613251</v>
      </c>
      <c r="FG10" s="13">
        <f t="shared" si="47"/>
        <v>1.8022627403121443</v>
      </c>
      <c r="FH10" s="20">
        <f t="shared" si="22"/>
        <v>11.290722715130457</v>
      </c>
      <c r="FI10" s="59">
        <f t="shared" si="23"/>
        <v>238.39686553270428</v>
      </c>
      <c r="FJ10" s="59">
        <f ca="1">AVERAGE(OFFSET($FI$3,0,0,'Données projet'!$E$16+1,1))-AVERAGE(OFFSET($H$3,0,0,'Données projet'!$E$16+1,1))</f>
        <v>395.57130469647603</v>
      </c>
      <c r="FK10" s="59">
        <f t="shared" si="48"/>
        <v>383.97542781562674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59.604705616914067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2.6666666666666665</v>
      </c>
      <c r="FZ10" s="12">
        <f>IF('Données projet'!$A$244&gt;35,FZ9+FY10-GH9,IF(A10&lt;'Données projet'!$A$244,$FW$205^A10,IF(A10='Données projet'!$A$244,'Données projet'!$B$244,FZ9+FY10-GH9)))</f>
        <v>5.5927833467405659</v>
      </c>
      <c r="GA10" s="17">
        <f>FZ10*VLOOKUP('Données projet'!$B$17,Paramètres!$A$1:$I$89,3,0)*VLOOKUP('Données projet'!$B$17,Paramètres!$A$1:$I$89,5,0)</f>
        <v>4.3623710104576414</v>
      </c>
      <c r="GB10" s="13">
        <f t="shared" si="49"/>
        <v>1.6936004212396314</v>
      </c>
      <c r="GC10" s="20">
        <f t="shared" si="25"/>
        <v>10.54748357687275</v>
      </c>
      <c r="GD10" s="59">
        <f t="shared" si="26"/>
        <v>237.65362639444658</v>
      </c>
      <c r="GE10" s="59">
        <f ca="1">AVERAGE(OFFSET($GD$3,0,0,'Données projet'!$E$17+1,1))-AVERAGE(OFFSET($H$3,0,0,'Données projet'!$E$17+1,1))</f>
        <v>301.74744407733351</v>
      </c>
      <c r="GF10" s="59">
        <f t="shared" si="50"/>
        <v>292.46787700966991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59.604705616914067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1.9</v>
      </c>
      <c r="GU10" s="12">
        <f>IF('Données projet'!$A$270&gt;35,GU9+GT10-HC9,IF(A10&lt;'Données projet'!$A$270,$GR$205^A10,IF(A10='Données projet'!$A$270,'Données projet'!$B$270,GU9+GT10-HC9)))</f>
        <v>7.8546623499408135</v>
      </c>
      <c r="GV10" s="17">
        <f>GU10*VLOOKUP('Données projet'!$B$18,Paramètres!$A$1:$I$89,3,0)*VLOOKUP('Données projet'!$B$18,Paramètres!$A$1:$I$89,5,0)</f>
        <v>4.6562438410449145</v>
      </c>
      <c r="GW10" s="13">
        <f t="shared" si="51"/>
        <v>1.7940247211659588</v>
      </c>
      <c r="GX10" s="20">
        <f t="shared" si="28"/>
        <v>11.234217745850602</v>
      </c>
      <c r="GY10" s="59">
        <f t="shared" si="29"/>
        <v>238.34036056342444</v>
      </c>
      <c r="GZ10" s="59">
        <f ca="1">AVERAGE(OFFSET($GY$3,0,0,'Données projet'!$E$18+1,1))-AVERAGE(OFFSET($H$3,0,0,'Données projet'!$E$18+1,1))</f>
        <v>322.78672881269978</v>
      </c>
      <c r="HA10" s="59">
        <f t="shared" si="52"/>
        <v>313.08736327626434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2.3499999999999996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8.6166666666666654</v>
      </c>
      <c r="H11" s="67">
        <f t="shared" si="1"/>
        <v>222.20000000000002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59.785040734064033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3.65</v>
      </c>
      <c r="N11" s="13">
        <f>IF('Données projet'!$A$36&gt;35,N10+M11-V10,IF(A11&lt;'Données projet'!$A$36,$K$205^A11,IF(A11='Données projet'!$A$36,'Données projet'!$B$36,N10+M11-V10)))</f>
        <v>5.563257268920875</v>
      </c>
      <c r="O11" s="13">
        <f>N11*VLOOKUP('Données projet'!$B$9,Paramètres!$A$1:$I$89,3,0)*VLOOKUP('Données projet'!$B$9,Paramètres!$A$1:$I$89,5,0)</f>
        <v>5.0336351769196082</v>
      </c>
      <c r="P11" s="13">
        <f t="shared" si="33"/>
        <v>1.9219176128866391</v>
      </c>
      <c r="Q11" s="20">
        <f t="shared" si="2"/>
        <v>12.11425444224588</v>
      </c>
      <c r="R11" s="59">
        <f t="shared" si="0"/>
        <v>241.1038482449251</v>
      </c>
      <c r="S11" s="59">
        <f ca="1">AVERAGE(OFFSET($R$3,0,0,'Données projet'!$E$9+1,1))-AVERAGE(OFFSET($H$3,0,0,'Données projet'!$E$9+1,1))</f>
        <v>473.88815717313474</v>
      </c>
      <c r="T11" s="59">
        <f t="shared" si="34"/>
        <v>287.19790203552895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59.785040734064033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3.65</v>
      </c>
      <c r="AI11" s="13">
        <f>IF('Données projet'!$A$62&gt;35,AI10+AH11-AQ10,IF(A11&lt;'Données projet'!$A$62,$AF$205^A11,IF(A11='Données projet'!$A$62,'Données projet'!$B$62,AI10+AH11-AQ10)))</f>
        <v>5.563257268920875</v>
      </c>
      <c r="AJ11" s="13">
        <f>AI11*VLOOKUP('Données projet'!$B$10,Paramètres!$A$1:$I$89,3,0)*VLOOKUP('Données projet'!$B$10,Paramètres!$A$1:$I$89,5,0)</f>
        <v>4.6864879233389463</v>
      </c>
      <c r="AK11" s="13">
        <f t="shared" si="35"/>
        <v>1.8043173192324258</v>
      </c>
      <c r="AL11" s="20">
        <f t="shared" si="4"/>
        <v>11.304819130811806</v>
      </c>
      <c r="AM11" s="59">
        <f t="shared" si="5"/>
        <v>240.29441293349103</v>
      </c>
      <c r="AN11" s="59">
        <f ca="1">AVERAGE(OFFSET($AM$3,0,0,'Données projet'!$E$10+1,1))-AVERAGE(OFFSET($H$3,0,0,'Données projet'!$E$10+1,1))</f>
        <v>445.19118535527258</v>
      </c>
      <c r="AO11" s="59">
        <f t="shared" si="36"/>
        <v>270.93483242839363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59.785040734064033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3.65</v>
      </c>
      <c r="BD11" s="12">
        <f>IF('Données projet'!$A$88&gt;35,BD10+BC11-BL10,IF(A11&lt;'Données projet'!$A$88,$BA$205^A11,IF(A11='Données projet'!$A$88,'Données projet'!$B$88,BD10+BC11-BL10)))</f>
        <v>5.563257268920875</v>
      </c>
      <c r="BE11" s="13">
        <f>BD11*VLOOKUP('Données projet'!$B$11,Paramètres!$A$1:$I$89,3,0)*VLOOKUP('Données projet'!$B$11,Paramètres!$A$1:$I$89,5,0)</f>
        <v>5.6411428706857674</v>
      </c>
      <c r="BF11" s="13">
        <f t="shared" si="37"/>
        <v>2.125494735292019</v>
      </c>
      <c r="BG11" s="20">
        <f t="shared" si="7"/>
        <v>13.526893830411311</v>
      </c>
      <c r="BH11" s="59">
        <f t="shared" si="8"/>
        <v>242.51648763309055</v>
      </c>
      <c r="BI11" s="59">
        <f ca="1">AVERAGE(OFFSET($BH$3,0,0,'Données projet'!$E$11+1,1))-AVERAGE(OFFSET($H$3,0,0,'Données projet'!$E$11+1,1))</f>
        <v>524.01140973345832</v>
      </c>
      <c r="BJ11" s="59">
        <f t="shared" si="38"/>
        <v>315.59942237999621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59.785040734064033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1.9</v>
      </c>
      <c r="BY11" s="12">
        <f>IF('Données projet'!$A$114&gt;35,BY10+BX11-CG10,IF(A11&lt;'Données projet'!$A$114,$BV$205^A11,IF(A11='Données projet'!$A$114,'Données projet'!$B$114,BY10+BX11-CG10)))</f>
        <v>10.543938903738736</v>
      </c>
      <c r="BZ11" s="13">
        <f>BY11*VLOOKUP('Données projet'!$B$12,Paramètres!$A$1:$I$89,3,0)*VLOOKUP('Données projet'!$B$12,Paramètres!$A$1:$I$89,5,0)</f>
        <v>7.0728742166279446</v>
      </c>
      <c r="CA11" s="13">
        <f t="shared" si="39"/>
        <v>2.5957032015052466</v>
      </c>
      <c r="CB11" s="20">
        <f t="shared" si="10"/>
        <v>16.839439003248639</v>
      </c>
      <c r="CC11" s="59">
        <f t="shared" si="11"/>
        <v>245.82903280592785</v>
      </c>
      <c r="CD11" s="59">
        <f ca="1">AVERAGE(OFFSET($CC$3,0,0,'Données projet'!$E$12+1,1))-AVERAGE(OFFSET($H$3,0,0,'Données projet'!$E$12+1,1))</f>
        <v>358.95222991910504</v>
      </c>
      <c r="CE11" s="59">
        <f t="shared" si="40"/>
        <v>347.37506646970905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59.785040734064033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1.9</v>
      </c>
      <c r="CT11" s="12">
        <f>IF('Données projet'!$A$140&gt;35,CT10+CS11-DB10,IF(A11&lt;'Données projet'!$A$140,$CQ$205^A11,IF(A11='Données projet'!$A$140,'Données projet'!$B$140,CT10+CS11-DB10)))</f>
        <v>10.543938903738736</v>
      </c>
      <c r="CU11" s="17">
        <f>CT11*VLOOKUP('Données projet'!$B$13,Paramètres!$A$1:$I$89,3,0)*VLOOKUP('Données projet'!$B$13,Paramètres!$A$1:$I$89,5,0)</f>
        <v>6.90838876972962</v>
      </c>
      <c r="CV11" s="13">
        <f t="shared" si="41"/>
        <v>2.5422916931065935</v>
      </c>
      <c r="CW11" s="20">
        <f t="shared" si="13"/>
        <v>16.45993513943974</v>
      </c>
      <c r="CX11" s="59">
        <f t="shared" si="14"/>
        <v>245.44952894211897</v>
      </c>
      <c r="CY11" s="59">
        <f ca="1">AVERAGE(OFFSET($CX$3,0,0,'Données projet'!$E$13+1,1))-AVERAGE(OFFSET($H$3,0,0,'Données projet'!$E$13+1,1))</f>
        <v>351.7266381615546</v>
      </c>
      <c r="CZ11" s="59">
        <f t="shared" si="42"/>
        <v>340.52483243761799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59.785040734064033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2.8</v>
      </c>
      <c r="DO11" s="12">
        <f>IF('Données projet'!$A$166&gt;35,DO10+DN11-DW10,IF(A11&lt;'Données projet'!$A$166,$DL$205^A11,IF(A11='Données projet'!$A$166,'Données projet'!$B$166,DO10+DN11-DW10)))</f>
        <v>5.0035150542816931</v>
      </c>
      <c r="DP11" s="17">
        <f>DO11*VLOOKUP('Données projet'!$B$14,Paramètres!$A$1:$I$89,3,0)*VLOOKUP('Données projet'!$B$14,Paramètres!$A$1:$I$89,5,0)</f>
        <v>4.293015916573693</v>
      </c>
      <c r="DQ11" s="13">
        <f t="shared" si="43"/>
        <v>1.669786742833518</v>
      </c>
      <c r="DR11" s="20">
        <f t="shared" si="16"/>
        <v>10.385214631800892</v>
      </c>
      <c r="DS11" s="59">
        <f t="shared" si="17"/>
        <v>239.37480843448012</v>
      </c>
      <c r="DT11" s="59">
        <f ca="1">AVERAGE(OFFSET($DS$3,0,0,'Données projet'!$E$14+1,1))-AVERAGE(OFFSET($H$3,0,0,'Données projet'!$E$14+1,1))</f>
        <v>569.21675741362196</v>
      </c>
      <c r="DU11" s="59">
        <f t="shared" si="44"/>
        <v>321.12410801891679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59.785040734064033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1.9</v>
      </c>
      <c r="EJ11" s="12">
        <f>IF('Données projet'!$A$192&gt;35,EJ10+EI11-ER10,IF(A11&lt;'Données projet'!$A$192,$EG$205^A11,IF(A11='Données projet'!$A$192,'Données projet'!$B$192,EJ10+EI11-ER10)))</f>
        <v>10.543938903738736</v>
      </c>
      <c r="EK11" s="17">
        <f>EJ11*VLOOKUP('Données projet'!$B$15,Paramètres!$A$1:$I$89,3,0)*VLOOKUP('Données projet'!$B$15,Paramètres!$A$1:$I$89,5,0)</f>
        <v>8.3887577918145393</v>
      </c>
      <c r="EL11" s="13">
        <f t="shared" si="45"/>
        <v>3.0180839306915423</v>
      </c>
      <c r="EM11" s="20">
        <f t="shared" si="19"/>
        <v>19.866916000031427</v>
      </c>
      <c r="EN11" s="59">
        <f t="shared" si="20"/>
        <v>248.85650980271066</v>
      </c>
      <c r="EO11" s="59">
        <f ca="1">AVERAGE(OFFSET($EN$3,0,0,'Données projet'!$E$15+1,1))-AVERAGE(OFFSET($H$3,0,0,'Données projet'!$E$15+1,1))</f>
        <v>416.63597645452791</v>
      </c>
      <c r="EP11" s="59">
        <f t="shared" si="46"/>
        <v>402.05920382353497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59.785040734064033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1.1000000000000001</v>
      </c>
      <c r="FE11" s="12">
        <f>IF('Données projet'!$A$218&gt;35,FE10+FD11-FM10,IF(A11&lt;'Données projet'!$A$218,$FB$205^A11,IF(A11='Données projet'!$A$218,'Données projet'!$B$218,FE10+FD11-FM10)))</f>
        <v>6.8094831275223076</v>
      </c>
      <c r="FF11" s="17">
        <f>FE11*VLOOKUP('Données projet'!$B$16,Paramètres!$A$1:$I$89,3,0)*VLOOKUP('Données projet'!$B$16,Paramètres!$A$1:$I$89,5,0)</f>
        <v>5.9487644602034884</v>
      </c>
      <c r="FG11" s="13">
        <f t="shared" si="47"/>
        <v>2.2275915506478068</v>
      </c>
      <c r="FH11" s="20">
        <f t="shared" si="22"/>
        <v>14.240486718899339</v>
      </c>
      <c r="FI11" s="59">
        <f t="shared" si="23"/>
        <v>243.23008052157857</v>
      </c>
      <c r="FJ11" s="59">
        <f ca="1">AVERAGE(OFFSET($FI$3,0,0,'Données projet'!$E$16+1,1))-AVERAGE(OFFSET($H$3,0,0,'Données projet'!$E$16+1,1))</f>
        <v>395.57130469647603</v>
      </c>
      <c r="FK11" s="59">
        <f t="shared" si="48"/>
        <v>383.97542781562674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59.785040734064033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2.6666666666666665</v>
      </c>
      <c r="FZ11" s="12">
        <f>IF('Données projet'!$A$244&gt;35,FZ10+FY11-GH10,IF(A11&lt;'Données projet'!$A$244,$FW$205^A11,IF(A11='Données projet'!$A$244,'Données projet'!$B$244,FZ10+FY11-GH10)))</f>
        <v>7.1520739352994367</v>
      </c>
      <c r="GA11" s="17">
        <f>FZ11*VLOOKUP('Données projet'!$B$17,Paramètres!$A$1:$I$89,3,0)*VLOOKUP('Données projet'!$B$17,Paramètres!$A$1:$I$89,5,0)</f>
        <v>5.5786176695335605</v>
      </c>
      <c r="GB11" s="13">
        <f t="shared" si="49"/>
        <v>2.1046649418345189</v>
      </c>
      <c r="GC11" s="20">
        <f t="shared" si="25"/>
        <v>13.381717214799407</v>
      </c>
      <c r="GD11" s="59">
        <f t="shared" si="26"/>
        <v>242.37131101747863</v>
      </c>
      <c r="GE11" s="59">
        <f ca="1">AVERAGE(OFFSET($GD$3,0,0,'Données projet'!$E$17+1,1))-AVERAGE(OFFSET($H$3,0,0,'Données projet'!$E$17+1,1))</f>
        <v>301.74744407733351</v>
      </c>
      <c r="GF11" s="59">
        <f t="shared" si="50"/>
        <v>292.46787700966991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59.785040734064033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1.9</v>
      </c>
      <c r="GU11" s="12">
        <f>IF('Données projet'!$A$270&gt;35,GU10+GT11-HC10,IF(A11&lt;'Données projet'!$A$270,$GR$205^A11,IF(A11='Données projet'!$A$270,'Données projet'!$B$270,GU10+GT11-HC10)))</f>
        <v>10.543938903738736</v>
      </c>
      <c r="GV11" s="17">
        <f>GU11*VLOOKUP('Données projet'!$B$18,Paramètres!$A$1:$I$89,3,0)*VLOOKUP('Données projet'!$B$18,Paramètres!$A$1:$I$89,5,0)</f>
        <v>6.2504469821363235</v>
      </c>
      <c r="GW11" s="13">
        <f t="shared" si="51"/>
        <v>2.3271216758090802</v>
      </c>
      <c r="GX11" s="20">
        <f t="shared" si="28"/>
        <v>14.939265412588243</v>
      </c>
      <c r="GY11" s="59">
        <f t="shared" si="29"/>
        <v>243.92885921526747</v>
      </c>
      <c r="GZ11" s="59">
        <f ca="1">AVERAGE(OFFSET($GY$3,0,0,'Données projet'!$E$18+1,1))-AVERAGE(OFFSET($H$3,0,0,'Données projet'!$E$18+1,1))</f>
        <v>322.78672881269978</v>
      </c>
      <c r="HA11" s="59">
        <f t="shared" si="52"/>
        <v>313.08736327626434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2.3499999999999996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8.6166666666666654</v>
      </c>
      <c r="H12" s="67">
        <f t="shared" si="1"/>
        <v>222.20000000000002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59.96224744010037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3.65</v>
      </c>
      <c r="N12" s="13">
        <f>IF('Données projet'!$A$36&gt;35,N11+M12-V11,IF(A12&lt;'Données projet'!$A$36,$K$205^A12,IF(A12='Données projet'!$A$36,'Données projet'!$B$36,N11+M12-V11)))</f>
        <v>6.8943811137639424</v>
      </c>
      <c r="O12" s="13">
        <f>N12*VLOOKUP('Données projet'!$B$9,Paramètres!$A$1:$I$89,3,0)*VLOOKUP('Données projet'!$B$9,Paramètres!$A$1:$I$89,5,0)</f>
        <v>6.2380360317336141</v>
      </c>
      <c r="P12" s="13">
        <f t="shared" si="33"/>
        <v>2.3230383034439352</v>
      </c>
      <c r="Q12" s="20">
        <f t="shared" si="2"/>
        <v>14.910537800434229</v>
      </c>
      <c r="R12" s="59">
        <f t="shared" si="0"/>
        <v>245.77211174746893</v>
      </c>
      <c r="S12" s="59">
        <f ca="1">AVERAGE(OFFSET($R$3,0,0,'Données projet'!$E$9+1,1))-AVERAGE(OFFSET($H$3,0,0,'Données projet'!$E$9+1,1))</f>
        <v>473.88815717313474</v>
      </c>
      <c r="T12" s="59">
        <f t="shared" si="34"/>
        <v>287.19790203552895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59.96224744010037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3.65</v>
      </c>
      <c r="AI12" s="13">
        <f>IF('Données projet'!$A$62&gt;35,AI11+AH12-AQ11,IF(A12&lt;'Données projet'!$A$62,$AF$205^A12,IF(A12='Données projet'!$A$62,'Données projet'!$B$62,AI11+AH12-AQ11)))</f>
        <v>6.8943811137639424</v>
      </c>
      <c r="AJ12" s="13">
        <f>AI12*VLOOKUP('Données projet'!$B$10,Paramètres!$A$1:$I$89,3,0)*VLOOKUP('Données projet'!$B$10,Paramètres!$A$1:$I$89,5,0)</f>
        <v>5.8078266502347455</v>
      </c>
      <c r="AK12" s="13">
        <f t="shared" si="35"/>
        <v>2.1808938198181922</v>
      </c>
      <c r="AL12" s="20">
        <f t="shared" si="4"/>
        <v>13.913688152008866</v>
      </c>
      <c r="AM12" s="59">
        <f t="shared" si="5"/>
        <v>244.77526209904354</v>
      </c>
      <c r="AN12" s="59">
        <f ca="1">AVERAGE(OFFSET($AM$3,0,0,'Données projet'!$E$10+1,1))-AVERAGE(OFFSET($H$3,0,0,'Données projet'!$E$10+1,1))</f>
        <v>445.19118535527258</v>
      </c>
      <c r="AO12" s="59">
        <f t="shared" si="36"/>
        <v>270.93483242839363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59.96224744010037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3.65</v>
      </c>
      <c r="BD12" s="12">
        <f>IF('Données projet'!$A$88&gt;35,BD11+BC12-BL11,IF(A12&lt;'Données projet'!$A$88,$BA$205^A12,IF(A12='Données projet'!$A$88,'Données projet'!$B$88,BD11+BC12-BL11)))</f>
        <v>6.8943811137639424</v>
      </c>
      <c r="BE12" s="13">
        <f>BD12*VLOOKUP('Données projet'!$B$11,Paramètres!$A$1:$I$89,3,0)*VLOOKUP('Données projet'!$B$11,Paramètres!$A$1:$I$89,5,0)</f>
        <v>6.9909024493566383</v>
      </c>
      <c r="BF12" s="13">
        <f t="shared" si="37"/>
        <v>2.5691037174250742</v>
      </c>
      <c r="BG12" s="20">
        <f t="shared" si="7"/>
        <v>16.650344073811482</v>
      </c>
      <c r="BH12" s="59">
        <f t="shared" si="8"/>
        <v>247.51191802084617</v>
      </c>
      <c r="BI12" s="59">
        <f ca="1">AVERAGE(OFFSET($BH$3,0,0,'Données projet'!$E$11+1,1))-AVERAGE(OFFSET($H$3,0,0,'Données projet'!$E$11+1,1))</f>
        <v>524.01140973345832</v>
      </c>
      <c r="BJ12" s="59">
        <f t="shared" si="38"/>
        <v>315.59942237999621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59.96224744010037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1.9</v>
      </c>
      <c r="BY12" s="12">
        <f>IF('Données projet'!$A$114&gt;35,BY11+BX12-CG11,IF(A12&lt;'Données projet'!$A$114,$BV$205^A12,IF(A12='Données projet'!$A$114,'Données projet'!$B$114,BY11+BX12-CG11)))</f>
        <v>14.153969025366564</v>
      </c>
      <c r="BZ12" s="13">
        <f>BY12*VLOOKUP('Données projet'!$B$12,Paramètres!$A$1:$I$89,3,0)*VLOOKUP('Données projet'!$B$12,Paramètres!$A$1:$I$89,5,0)</f>
        <v>9.4944824222158921</v>
      </c>
      <c r="CA12" s="13">
        <f t="shared" si="39"/>
        <v>3.3670200376414416</v>
      </c>
      <c r="CB12" s="20">
        <f t="shared" si="10"/>
        <v>22.400450117584857</v>
      </c>
      <c r="CC12" s="59">
        <f t="shared" si="11"/>
        <v>253.26202406461954</v>
      </c>
      <c r="CD12" s="59">
        <f ca="1">AVERAGE(OFFSET($CC$3,0,0,'Données projet'!$E$12+1,1))-AVERAGE(OFFSET($H$3,0,0,'Données projet'!$E$12+1,1))</f>
        <v>358.95222991910504</v>
      </c>
      <c r="CE12" s="59">
        <f t="shared" si="40"/>
        <v>347.37506646970905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59.96224744010037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1.9</v>
      </c>
      <c r="CT12" s="12">
        <f>IF('Données projet'!$A$140&gt;35,CT11+CS12-DB11,IF(A12&lt;'Données projet'!$A$140,$CQ$205^A12,IF(A12='Données projet'!$A$140,'Données projet'!$B$140,CT11+CS12-DB11)))</f>
        <v>14.153969025366564</v>
      </c>
      <c r="CU12" s="17">
        <f>CT12*VLOOKUP('Données projet'!$B$13,Paramètres!$A$1:$I$89,3,0)*VLOOKUP('Données projet'!$B$13,Paramètres!$A$1:$I$89,5,0)</f>
        <v>9.2736805054201739</v>
      </c>
      <c r="CV12" s="13">
        <f t="shared" si="41"/>
        <v>3.2977372248319372</v>
      </c>
      <c r="CW12" s="20">
        <f t="shared" si="13"/>
        <v>21.895219213522427</v>
      </c>
      <c r="CX12" s="59">
        <f t="shared" si="14"/>
        <v>252.75679316055712</v>
      </c>
      <c r="CY12" s="59">
        <f ca="1">AVERAGE(OFFSET($CX$3,0,0,'Données projet'!$E$13+1,1))-AVERAGE(OFFSET($H$3,0,0,'Données projet'!$E$13+1,1))</f>
        <v>351.7266381615546</v>
      </c>
      <c r="CZ12" s="59">
        <f t="shared" si="42"/>
        <v>340.52483243761799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59.96224744010037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2.8</v>
      </c>
      <c r="DO12" s="12">
        <f>IF('Données projet'!$A$166&gt;35,DO11+DN12-DW11,IF(A12&lt;'Données projet'!$A$166,$DL$205^A12,IF(A12='Données projet'!$A$166,'Données projet'!$B$166,DO11+DN12-DW11)))</f>
        <v>6.1190585979687659</v>
      </c>
      <c r="DP12" s="17">
        <f>DO12*VLOOKUP('Données projet'!$B$14,Paramètres!$A$1:$I$89,3,0)*VLOOKUP('Données projet'!$B$14,Paramètres!$A$1:$I$89,5,0)</f>
        <v>5.250152277057202</v>
      </c>
      <c r="DQ12" s="13">
        <f t="shared" si="43"/>
        <v>1.9947843655753528</v>
      </c>
      <c r="DR12" s="20">
        <f t="shared" si="16"/>
        <v>12.618264652585031</v>
      </c>
      <c r="DS12" s="59">
        <f t="shared" si="17"/>
        <v>243.47983859961971</v>
      </c>
      <c r="DT12" s="59">
        <f ca="1">AVERAGE(OFFSET($DS$3,0,0,'Données projet'!$E$14+1,1))-AVERAGE(OFFSET($H$3,0,0,'Données projet'!$E$14+1,1))</f>
        <v>569.21675741362196</v>
      </c>
      <c r="DU12" s="59">
        <f t="shared" si="44"/>
        <v>321.12410801891679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59.96224744010037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1.9</v>
      </c>
      <c r="EJ12" s="12">
        <f>IF('Données projet'!$A$192&gt;35,EJ11+EI12-ER11,IF(A12&lt;'Données projet'!$A$192,$EG$205^A12,IF(A12='Données projet'!$A$192,'Données projet'!$B$192,EJ11+EI12-ER11)))</f>
        <v>14.153969025366564</v>
      </c>
      <c r="EK12" s="17">
        <f>EJ12*VLOOKUP('Données projet'!$B$15,Paramètres!$A$1:$I$89,3,0)*VLOOKUP('Données projet'!$B$15,Paramètres!$A$1:$I$89,5,0)</f>
        <v>11.260897756581638</v>
      </c>
      <c r="EL12" s="13">
        <f t="shared" si="45"/>
        <v>3.9149117911590028</v>
      </c>
      <c r="EM12" s="20">
        <f t="shared" si="19"/>
        <v>26.431201628981615</v>
      </c>
      <c r="EN12" s="59">
        <f t="shared" si="20"/>
        <v>257.29277557601631</v>
      </c>
      <c r="EO12" s="59">
        <f ca="1">AVERAGE(OFFSET($EN$3,0,0,'Données projet'!$E$15+1,1))-AVERAGE(OFFSET($H$3,0,0,'Données projet'!$E$15+1,1))</f>
        <v>416.63597645452791</v>
      </c>
      <c r="EP12" s="59">
        <f t="shared" si="46"/>
        <v>402.05920382353497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59.96224744010037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1.1000000000000001</v>
      </c>
      <c r="FE12" s="12">
        <f>IF('Données projet'!$A$218&gt;35,FE11+FD12-FM11,IF(A12&lt;'Données projet'!$A$218,$FB$205^A12,IF(A12='Données projet'!$A$218,'Données projet'!$B$218,FE11+FD12-FM11)))</f>
        <v>8.6547278641645029</v>
      </c>
      <c r="FF12" s="17">
        <f>FE12*VLOOKUP('Données projet'!$B$16,Paramètres!$A$1:$I$89,3,0)*VLOOKUP('Données projet'!$B$16,Paramètres!$A$1:$I$89,5,0)</f>
        <v>7.5607702621341106</v>
      </c>
      <c r="FG12" s="13">
        <f t="shared" si="47"/>
        <v>2.7532967338924581</v>
      </c>
      <c r="FH12" s="20">
        <f t="shared" si="22"/>
        <v>17.963666684746272</v>
      </c>
      <c r="FI12" s="59">
        <f t="shared" si="23"/>
        <v>248.82524063178096</v>
      </c>
      <c r="FJ12" s="59">
        <f ca="1">AVERAGE(OFFSET($FI$3,0,0,'Données projet'!$E$16+1,1))-AVERAGE(OFFSET($H$3,0,0,'Données projet'!$E$16+1,1))</f>
        <v>395.57130469647603</v>
      </c>
      <c r="FK12" s="59">
        <f t="shared" si="48"/>
        <v>383.97542781562674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59.96224744010037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2.6666666666666665</v>
      </c>
      <c r="FZ12" s="12">
        <f>IF('Données projet'!$A$244&gt;35,FZ11+FY12-GH11,IF(A12&lt;'Données projet'!$A$244,$FW$205^A12,IF(A12='Données projet'!$A$244,'Données projet'!$B$244,FZ11+FY12-GH11)))</f>
        <v>9.1461010385465205</v>
      </c>
      <c r="GA12" s="17">
        <f>FZ12*VLOOKUP('Données projet'!$B$17,Paramètres!$A$1:$I$89,3,0)*VLOOKUP('Données projet'!$B$17,Paramètres!$A$1:$I$89,5,0)</f>
        <v>7.1339588100662858</v>
      </c>
      <c r="GB12" s="13">
        <f t="shared" si="49"/>
        <v>2.6155015444227643</v>
      </c>
      <c r="GC12" s="20">
        <f t="shared" si="25"/>
        <v>16.980310117401761</v>
      </c>
      <c r="GD12" s="59">
        <f t="shared" si="26"/>
        <v>247.84188406443644</v>
      </c>
      <c r="GE12" s="59">
        <f ca="1">AVERAGE(OFFSET($GD$3,0,0,'Données projet'!$E$17+1,1))-AVERAGE(OFFSET($H$3,0,0,'Données projet'!$E$17+1,1))</f>
        <v>301.74744407733351</v>
      </c>
      <c r="GF12" s="59">
        <f t="shared" si="50"/>
        <v>292.46787700966991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59.96224744010037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1.9</v>
      </c>
      <c r="GU12" s="12">
        <f>IF('Données projet'!$A$270&gt;35,GU11+GT12-HC11,IF(A12&lt;'Données projet'!$A$270,$GR$205^A12,IF(A12='Données projet'!$A$270,'Données projet'!$B$270,GU11+GT12-HC11)))</f>
        <v>14.153969025366564</v>
      </c>
      <c r="GV12" s="17">
        <f>GU12*VLOOKUP('Données projet'!$B$18,Paramètres!$A$1:$I$89,3,0)*VLOOKUP('Données projet'!$B$18,Paramètres!$A$1:$I$89,5,0)</f>
        <v>8.3904728382372991</v>
      </c>
      <c r="GW12" s="13">
        <f t="shared" si="51"/>
        <v>3.0186291360025757</v>
      </c>
      <c r="GX12" s="20">
        <f t="shared" si="28"/>
        <v>19.870852605134449</v>
      </c>
      <c r="GY12" s="59">
        <f t="shared" si="29"/>
        <v>250.73242655216913</v>
      </c>
      <c r="GZ12" s="59">
        <f ca="1">AVERAGE(OFFSET($GY$3,0,0,'Données projet'!$E$18+1,1))-AVERAGE(OFFSET($H$3,0,0,'Données projet'!$E$18+1,1))</f>
        <v>322.78672881269978</v>
      </c>
      <c r="HA12" s="59">
        <f t="shared" si="52"/>
        <v>313.08736327626434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2.3499999999999996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8.6166666666666654</v>
      </c>
      <c r="H13" s="67">
        <f t="shared" si="1"/>
        <v>222.20000000000002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60.136380005961811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3.65</v>
      </c>
      <c r="N13" s="13">
        <f>IF('Données projet'!$A$36&gt;35,N12+M13-V12,IF(A13&lt;'Données projet'!$A$36,$K$205^A13,IF(A13='Données projet'!$A$36,'Données projet'!$B$36,N12+M13-V12)))</f>
        <v>8.5440037453175322</v>
      </c>
      <c r="O13" s="13">
        <f>N13*VLOOKUP('Données projet'!$B$9,Paramètres!$A$1:$I$89,3,0)*VLOOKUP('Données projet'!$B$9,Paramètres!$A$1:$I$89,5,0)</f>
        <v>7.7306145887633031</v>
      </c>
      <c r="P13" s="13">
        <f t="shared" si="33"/>
        <v>2.8078763226288115</v>
      </c>
      <c r="Q13" s="20">
        <f t="shared" si="2"/>
        <v>18.354538337341264</v>
      </c>
      <c r="R13" s="59">
        <f t="shared" si="0"/>
        <v>251.07682058142348</v>
      </c>
      <c r="S13" s="59">
        <f ca="1">AVERAGE(OFFSET($R$3,0,0,'Données projet'!$E$9+1,1))-AVERAGE(OFFSET($H$3,0,0,'Données projet'!$E$9+1,1))</f>
        <v>473.88815717313474</v>
      </c>
      <c r="T13" s="59">
        <f t="shared" si="34"/>
        <v>287.19790203552895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60.136380005961811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3.65</v>
      </c>
      <c r="AI13" s="13">
        <f>IF('Données projet'!$A$62&gt;35,AI12+AH13-AQ12,IF(A13&lt;'Données projet'!$A$62,$AF$205^A13,IF(A13='Données projet'!$A$62,'Données projet'!$B$62,AI12+AH13-AQ12)))</f>
        <v>8.5440037453175322</v>
      </c>
      <c r="AJ13" s="13">
        <f>AI13*VLOOKUP('Données projet'!$B$10,Paramètres!$A$1:$I$89,3,0)*VLOOKUP('Données projet'!$B$10,Paramètres!$A$1:$I$89,5,0)</f>
        <v>7.1974687550554899</v>
      </c>
      <c r="AK13" s="13">
        <f t="shared" si="35"/>
        <v>2.6360650660630816</v>
      </c>
      <c r="AL13" s="20">
        <f t="shared" si="4"/>
        <v>17.126738071781514</v>
      </c>
      <c r="AM13" s="59">
        <f t="shared" si="5"/>
        <v>249.84902031586373</v>
      </c>
      <c r="AN13" s="59">
        <f ca="1">AVERAGE(OFFSET($AM$3,0,0,'Données projet'!$E$10+1,1))-AVERAGE(OFFSET($H$3,0,0,'Données projet'!$E$10+1,1))</f>
        <v>445.19118535527258</v>
      </c>
      <c r="AO13" s="59">
        <f t="shared" si="36"/>
        <v>270.93483242839363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60.136380005961811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3.65</v>
      </c>
      <c r="BD13" s="12">
        <f>IF('Données projet'!$A$88&gt;35,BD12+BC13-BL12,IF(A13&lt;'Données projet'!$A$88,$BA$205^A13,IF(A13='Données projet'!$A$88,'Données projet'!$B$88,BD12+BC13-BL12)))</f>
        <v>8.5440037453175322</v>
      </c>
      <c r="BE13" s="13">
        <f>BD13*VLOOKUP('Données projet'!$B$11,Paramètres!$A$1:$I$89,3,0)*VLOOKUP('Données projet'!$B$11,Paramètres!$A$1:$I$89,5,0)</f>
        <v>8.6636197977519771</v>
      </c>
      <c r="BF13" s="13">
        <f t="shared" si="37"/>
        <v>3.1052976990698267</v>
      </c>
      <c r="BG13" s="20">
        <f t="shared" si="7"/>
        <v>20.497531306964643</v>
      </c>
      <c r="BH13" s="59">
        <f t="shared" si="8"/>
        <v>253.21981355104685</v>
      </c>
      <c r="BI13" s="59">
        <f ca="1">AVERAGE(OFFSET($BH$3,0,0,'Données projet'!$E$11+1,1))-AVERAGE(OFFSET($H$3,0,0,'Données projet'!$E$11+1,1))</f>
        <v>524.01140973345832</v>
      </c>
      <c r="BJ13" s="59">
        <f t="shared" si="38"/>
        <v>315.59942237999621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60.136380005961811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19</v>
      </c>
      <c r="BW13" s="12">
        <f>VLOOKUP(A13,'Données projet'!$A$113:$I$133,9,0)</f>
        <v>1.9</v>
      </c>
      <c r="BX13" s="12">
        <f t="array" ref="BX13">INDEX(BW:BW,MIN(IF(ISNUMBER(BW13:BW209),ROW(BW13:BW209),"")))</f>
        <v>1.9</v>
      </c>
      <c r="BY13" s="12">
        <f>IF('Données projet'!$A$114&gt;35,BY12+BX13-CG12,IF(A13&lt;'Données projet'!$A$114,$BV$205^A13,IF(A13='Données projet'!$A$114,'Données projet'!$B$114,BY12+BX13-CG12)))</f>
        <v>19</v>
      </c>
      <c r="BZ13" s="13">
        <f>BY13*VLOOKUP('Données projet'!$B$12,Paramètres!$A$1:$I$89,3,0)*VLOOKUP('Données projet'!$B$12,Paramètres!$A$1:$I$89,5,0)</f>
        <v>12.745200000000001</v>
      </c>
      <c r="CA13" s="13">
        <f t="shared" si="39"/>
        <v>4.3675347502382973</v>
      </c>
      <c r="CB13" s="20">
        <f t="shared" si="10"/>
        <v>29.804679689998366</v>
      </c>
      <c r="CC13" s="59">
        <f t="shared" si="11"/>
        <v>262.52696193408059</v>
      </c>
      <c r="CD13" s="59">
        <f ca="1">AVERAGE(OFFSET($CC$3,0,0,'Données projet'!$E$12+1,1))-AVERAGE(OFFSET($H$3,0,0,'Données projet'!$E$12+1,1))</f>
        <v>358.95222991910504</v>
      </c>
      <c r="CE13" s="59">
        <f t="shared" si="40"/>
        <v>347.37506646970905</v>
      </c>
      <c r="CF13" s="15">
        <f>IF(ISNA(VLOOKUP(A13,'Données projet'!$A$113:$I$133,3,0)),0,VLOOKUP(A13,'Données projet'!$A$113:$I$133,3,0))</f>
        <v>1</v>
      </c>
      <c r="CG13" s="15">
        <f>IF(ISNA(VLOOKUP(A13,'Données projet'!$A$113:$I$133,4,0)),0,VLOOKUP(A13,'Données projet'!$A$113:$I$133,4,0))</f>
        <v>7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60.136380005961811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>
        <f>VLOOKUP(A13,'Données projet'!$A$139:$I$159,2,0)</f>
        <v>19</v>
      </c>
      <c r="CR13" s="12">
        <f>VLOOKUP(A13,'Données projet'!$A$139:$I$159,9,0)</f>
        <v>1.9</v>
      </c>
      <c r="CS13" s="12">
        <f t="array" ref="CS13">INDEX(CR:CR,MIN(IF(ISNUMBER(CR13:CR209),ROW(CR13:CR209),"")))</f>
        <v>1.9</v>
      </c>
      <c r="CT13" s="12">
        <f>IF('Données projet'!$A$140&gt;35,CT12+CS13-DB12,IF(A13&lt;'Données projet'!$A$140,$CQ$205^A13,IF(A13='Données projet'!$A$140,'Données projet'!$B$140,CT12+CS13-DB12)))</f>
        <v>19</v>
      </c>
      <c r="CU13" s="17">
        <f>CT13*VLOOKUP('Données projet'!$B$13,Paramètres!$A$1:$I$89,3,0)*VLOOKUP('Données projet'!$B$13,Paramètres!$A$1:$I$89,5,0)</f>
        <v>12.4488</v>
      </c>
      <c r="CV13" s="13">
        <f t="shared" si="41"/>
        <v>4.2776644527179633</v>
      </c>
      <c r="CW13" s="20">
        <f t="shared" si="13"/>
        <v>29.131925588483782</v>
      </c>
      <c r="CX13" s="59">
        <f t="shared" si="14"/>
        <v>261.85420783256598</v>
      </c>
      <c r="CY13" s="59">
        <f ca="1">AVERAGE(OFFSET($CX$3,0,0,'Données projet'!$E$13+1,1))-AVERAGE(OFFSET($H$3,0,0,'Données projet'!$E$13+1,1))</f>
        <v>351.7266381615546</v>
      </c>
      <c r="CZ13" s="59">
        <f t="shared" si="42"/>
        <v>340.52483243761799</v>
      </c>
      <c r="DA13" s="15">
        <f>IF(ISNA(VLOOKUP(A13,'Données projet'!$A$139:$I$159,3,0)),0,VLOOKUP(A13,'Données projet'!$A$139:$I$159,3,0))</f>
        <v>1</v>
      </c>
      <c r="DB13" s="15">
        <f>IF(ISNA(VLOOKUP(A13,'Données projet'!$A$139:$I$159,4,0)),0,VLOOKUP(A13,'Données projet'!$A$139:$I$159,4,0))</f>
        <v>7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60.136380005961811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2.8</v>
      </c>
      <c r="DO13" s="12">
        <f>IF('Données projet'!$A$166&gt;35,DO12+DN13-DW12,IF(A13&lt;'Données projet'!$A$166,$DL$205^A13,IF(A13='Données projet'!$A$166,'Données projet'!$B$166,DO12+DN13-DW12)))</f>
        <v>7.4833147735478933</v>
      </c>
      <c r="DP13" s="17">
        <f>DO13*VLOOKUP('Données projet'!$B$14,Paramètres!$A$1:$I$89,3,0)*VLOOKUP('Données projet'!$B$14,Paramètres!$A$1:$I$89,5,0)</f>
        <v>6.4206840757040933</v>
      </c>
      <c r="DQ13" s="13">
        <f t="shared" si="43"/>
        <v>2.3830376437122043</v>
      </c>
      <c r="DR13" s="20">
        <f t="shared" si="16"/>
        <v>15.33314866131672</v>
      </c>
      <c r="DS13" s="59">
        <f t="shared" si="17"/>
        <v>248.05543090539894</v>
      </c>
      <c r="DT13" s="59">
        <f ca="1">AVERAGE(OFFSET($DS$3,0,0,'Données projet'!$E$14+1,1))-AVERAGE(OFFSET($H$3,0,0,'Données projet'!$E$14+1,1))</f>
        <v>569.21675741362196</v>
      </c>
      <c r="DU13" s="59">
        <f t="shared" si="44"/>
        <v>321.12410801891679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60.136380005961811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>
        <f>VLOOKUP(A13,'Données projet'!$A$191:$I$211,2,0)</f>
        <v>19</v>
      </c>
      <c r="EH13" s="12">
        <f>VLOOKUP(A13,'Données projet'!$A$191:$I$211,9,0)</f>
        <v>1.9</v>
      </c>
      <c r="EI13" s="12">
        <f t="array" ref="EI13">INDEX(EH:EH,MIN(IF(ISNUMBER(EH13:EH209),ROW(EH13:EH209),"")))</f>
        <v>1.9</v>
      </c>
      <c r="EJ13" s="12">
        <f>IF('Données projet'!$A$192&gt;35,EJ12+EI13-ER12,IF(A13&lt;'Données projet'!$A$192,$EG$205^A13,IF(A13='Données projet'!$A$192,'Données projet'!$B$192,EJ12+EI13-ER12)))</f>
        <v>19</v>
      </c>
      <c r="EK13" s="17">
        <f>EJ13*VLOOKUP('Données projet'!$B$15,Paramètres!$A$1:$I$89,3,0)*VLOOKUP('Données projet'!$B$15,Paramètres!$A$1:$I$89,5,0)</f>
        <v>15.116400000000001</v>
      </c>
      <c r="EL13" s="13">
        <f t="shared" si="45"/>
        <v>5.0782333044806913</v>
      </c>
      <c r="EM13" s="20">
        <f t="shared" si="19"/>
        <v>35.172319671970541</v>
      </c>
      <c r="EN13" s="59">
        <f t="shared" si="20"/>
        <v>267.89460191605275</v>
      </c>
      <c r="EO13" s="59">
        <f ca="1">AVERAGE(OFFSET($EN$3,0,0,'Données projet'!$E$15+1,1))-AVERAGE(OFFSET($H$3,0,0,'Données projet'!$E$15+1,1))</f>
        <v>416.63597645452791</v>
      </c>
      <c r="EP13" s="59">
        <f t="shared" si="46"/>
        <v>402.05920382353497</v>
      </c>
      <c r="EQ13" s="15">
        <f>IF(ISNA(VLOOKUP(A13,'Données projet'!$A$191:$I$211,3,0)),0,VLOOKUP(A13,'Données projet'!$A$191:$I$211,3,0))</f>
        <v>1</v>
      </c>
      <c r="ER13" s="15">
        <f>IF(ISNA(VLOOKUP(A13,'Données projet'!$A$191:$I$211,4,0)),0,VLOOKUP(A13,'Données projet'!$A$191:$I$211,4,0))</f>
        <v>7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60.136380005961811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>
        <f>VLOOKUP(A13,'Données projet'!$A$217:$I$237,2,0)</f>
        <v>11</v>
      </c>
      <c r="FC13" s="12">
        <f>VLOOKUP(A13,'Données projet'!$A$217:$I$237,9,0)</f>
        <v>1.1000000000000001</v>
      </c>
      <c r="FD13" s="12">
        <f t="array" ref="FD13">INDEX(FC:FC,MIN(IF(ISNUMBER(FC13:FC209),ROW(FC13:FC209),"")))</f>
        <v>1.1000000000000001</v>
      </c>
      <c r="FE13" s="12">
        <f>IF('Données projet'!$A$218&gt;35,FE12+FD13-FM12,IF(A13&lt;'Données projet'!$A$218,$FB$205^A13,IF(A13='Données projet'!$A$218,'Données projet'!$B$218,FE12+FD13-FM12)))</f>
        <v>11</v>
      </c>
      <c r="FF13" s="17">
        <f>FE13*VLOOKUP('Données projet'!$B$16,Paramètres!$A$1:$I$89,3,0)*VLOOKUP('Données projet'!$B$16,Paramètres!$A$1:$I$89,5,0)</f>
        <v>9.6096000000000004</v>
      </c>
      <c r="FG13" s="13">
        <f t="shared" si="47"/>
        <v>3.4030668246422207</v>
      </c>
      <c r="FH13" s="20">
        <f t="shared" si="22"/>
        <v>22.663728052918533</v>
      </c>
      <c r="FI13" s="59">
        <f t="shared" si="23"/>
        <v>255.38601029700075</v>
      </c>
      <c r="FJ13" s="59">
        <f ca="1">AVERAGE(OFFSET($FI$3,0,0,'Données projet'!$E$16+1,1))-AVERAGE(OFFSET($H$3,0,0,'Données projet'!$E$16+1,1))</f>
        <v>395.57130469647603</v>
      </c>
      <c r="FK13" s="59">
        <f t="shared" si="48"/>
        <v>383.97542781562674</v>
      </c>
      <c r="FL13" s="15">
        <f>IF(ISNA(VLOOKUP(A13,'Données projet'!$A$217:$I$237,3,0)),0,VLOOKUP(A13,'Données projet'!$A$217:$I$237,3,0))</f>
        <v>1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60.136380005961811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2.6666666666666665</v>
      </c>
      <c r="FZ13" s="12">
        <f>IF('Données projet'!$A$244&gt;35,FZ12+FY13-GH12,IF(A13&lt;'Données projet'!$A$244,$FW$205^A13,IF(A13='Données projet'!$A$244,'Données projet'!$B$244,FZ12+FY13-GH12)))</f>
        <v>11.696070952851455</v>
      </c>
      <c r="GA13" s="17">
        <f>FZ13*VLOOKUP('Données projet'!$B$17,Paramètres!$A$1:$I$89,3,0)*VLOOKUP('Données projet'!$B$17,Paramètres!$A$1:$I$89,5,0)</f>
        <v>9.1229353432241354</v>
      </c>
      <c r="GB13" s="13">
        <f t="shared" si="49"/>
        <v>3.2503265450485803</v>
      </c>
      <c r="GC13" s="20">
        <f t="shared" si="25"/>
        <v>21.550097788741649</v>
      </c>
      <c r="GD13" s="59">
        <f t="shared" si="26"/>
        <v>254.27238003282386</v>
      </c>
      <c r="GE13" s="59">
        <f ca="1">AVERAGE(OFFSET($GD$3,0,0,'Données projet'!$E$17+1,1))-AVERAGE(OFFSET($H$3,0,0,'Données projet'!$E$17+1,1))</f>
        <v>301.74744407733351</v>
      </c>
      <c r="GF13" s="59">
        <f t="shared" si="50"/>
        <v>292.46787700966991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60.136380005961811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>
        <f>VLOOKUP(A13,'Données projet'!$A$269:$I$289,2,0)</f>
        <v>19</v>
      </c>
      <c r="GS13" s="12">
        <f>VLOOKUP(A13,'Données projet'!$A$269:$I$289,9,0)</f>
        <v>1.9</v>
      </c>
      <c r="GT13" s="12">
        <f t="array" ref="GT13">INDEX(GS:GS,MIN(IF(ISNUMBER(GS13:GS209),ROW(GS13:GS209),"")))</f>
        <v>1.9</v>
      </c>
      <c r="GU13" s="12">
        <f>IF('Données projet'!$A$270&gt;35,GU12+GT13-HC12,IF(A13&lt;'Données projet'!$A$270,$GR$205^A13,IF(A13='Données projet'!$A$270,'Données projet'!$B$270,GU12+GT13-HC12)))</f>
        <v>19</v>
      </c>
      <c r="GV13" s="17">
        <f>GU13*VLOOKUP('Données projet'!$B$18,Paramètres!$A$1:$I$89,3,0)*VLOOKUP('Données projet'!$B$18,Paramètres!$A$1:$I$89,5,0)</f>
        <v>11.263199999999999</v>
      </c>
      <c r="GW13" s="13">
        <f t="shared" si="51"/>
        <v>3.9156190049906177</v>
      </c>
      <c r="GX13" s="20">
        <f t="shared" si="28"/>
        <v>26.436443100358655</v>
      </c>
      <c r="GY13" s="59">
        <f t="shared" si="29"/>
        <v>259.15872534444088</v>
      </c>
      <c r="GZ13" s="59">
        <f ca="1">AVERAGE(OFFSET($GY$3,0,0,'Données projet'!$E$18+1,1))-AVERAGE(OFFSET($H$3,0,0,'Données projet'!$E$18+1,1))</f>
        <v>322.78672881269978</v>
      </c>
      <c r="HA13" s="59">
        <f t="shared" si="52"/>
        <v>313.08736327626434</v>
      </c>
      <c r="HB13" s="15">
        <f>IF(ISNA(VLOOKUP(A13,'Données projet'!$A$269:$I$289,3,0)),0,VLOOKUP(A13,'Données projet'!$A$269:$I$289,3,0))</f>
        <v>1</v>
      </c>
      <c r="HC13" s="15">
        <f>IF(ISNA(VLOOKUP(A13,'Données projet'!$A$269:$I$289,4,0)),0,VLOOKUP(A13,'Données projet'!$A$269:$I$289,4,0))</f>
        <v>7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2.3499999999999996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8.6166666666666654</v>
      </c>
      <c r="H14" s="67">
        <f t="shared" si="1"/>
        <v>222.20000000000002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60.307491761107663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3.65</v>
      </c>
      <c r="N14" s="13">
        <f>IF('Données projet'!$A$36&gt;35,N13+M14-V13,IF(A14&lt;'Données projet'!$A$36,$K$205^A14,IF(A14='Données projet'!$A$36,'Données projet'!$B$36,N13+M14-V13)))</f>
        <v>10.588332555950936</v>
      </c>
      <c r="O14" s="13">
        <f>N14*VLOOKUP('Données projet'!$B$9,Paramètres!$A$1:$I$89,3,0)*VLOOKUP('Données projet'!$B$9,Paramètres!$A$1:$I$89,5,0)</f>
        <v>9.5803232966244067</v>
      </c>
      <c r="P14" s="13">
        <f t="shared" si="33"/>
        <v>3.3939041949894282</v>
      </c>
      <c r="Q14" s="20">
        <f t="shared" si="2"/>
        <v>22.596779547894098</v>
      </c>
      <c r="R14" s="59">
        <f t="shared" si="0"/>
        <v>257.16869378306666</v>
      </c>
      <c r="S14" s="59">
        <f ca="1">AVERAGE(OFFSET($R$3,0,0,'Données projet'!$E$9+1,1))-AVERAGE(OFFSET($H$3,0,0,'Données projet'!$E$9+1,1))</f>
        <v>473.88815717313474</v>
      </c>
      <c r="T14" s="59">
        <f t="shared" si="34"/>
        <v>287.19790203552895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60.307491761107663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3.65</v>
      </c>
      <c r="AI14" s="13">
        <f>IF('Données projet'!$A$62&gt;35,AI13+AH14-AQ13,IF(A14&lt;'Données projet'!$A$62,$AF$205^A14,IF(A14='Données projet'!$A$62,'Données projet'!$B$62,AI13+AH14-AQ13)))</f>
        <v>10.588332555950936</v>
      </c>
      <c r="AJ14" s="13">
        <f>AI14*VLOOKUP('Données projet'!$B$10,Paramètres!$A$1:$I$89,3,0)*VLOOKUP('Données projet'!$B$10,Paramètres!$A$1:$I$89,5,0)</f>
        <v>8.9196113451330703</v>
      </c>
      <c r="AK14" s="13">
        <f t="shared" si="35"/>
        <v>3.186234455512118</v>
      </c>
      <c r="AL14" s="20">
        <f t="shared" si="4"/>
        <v>21.084348102790369</v>
      </c>
      <c r="AM14" s="59">
        <f t="shared" si="5"/>
        <v>255.65626233796291</v>
      </c>
      <c r="AN14" s="59">
        <f ca="1">AVERAGE(OFFSET($AM$3,0,0,'Données projet'!$E$10+1,1))-AVERAGE(OFFSET($H$3,0,0,'Données projet'!$E$10+1,1))</f>
        <v>445.19118535527258</v>
      </c>
      <c r="AO14" s="59">
        <f t="shared" si="36"/>
        <v>270.93483242839363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60.307491761107663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3.65</v>
      </c>
      <c r="BD14" s="12">
        <f>IF('Données projet'!$A$88&gt;35,BD13+BC14-BL13,IF(A14&lt;'Données projet'!$A$88,$BA$205^A14,IF(A14='Données projet'!$A$88,'Données projet'!$B$88,BD13+BC14-BL13)))</f>
        <v>10.588332555950936</v>
      </c>
      <c r="BE14" s="13">
        <f>BD14*VLOOKUP('Données projet'!$B$11,Paramètres!$A$1:$I$89,3,0)*VLOOKUP('Données projet'!$B$11,Paramètres!$A$1:$I$89,5,0)</f>
        <v>10.736569211734251</v>
      </c>
      <c r="BF14" s="13">
        <f t="shared" si="37"/>
        <v>3.7533999637480915</v>
      </c>
      <c r="BG14" s="20">
        <f t="shared" si="7"/>
        <v>25.23669631396508</v>
      </c>
      <c r="BH14" s="59">
        <f t="shared" si="8"/>
        <v>259.80861054913765</v>
      </c>
      <c r="BI14" s="59">
        <f ca="1">AVERAGE(OFFSET($BH$3,0,0,'Données projet'!$E$11+1,1))-AVERAGE(OFFSET($H$3,0,0,'Données projet'!$E$11+1,1))</f>
        <v>524.01140973345832</v>
      </c>
      <c r="BJ14" s="59">
        <f t="shared" si="38"/>
        <v>315.59942237999621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60.307491761107663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14.6</v>
      </c>
      <c r="BY14" s="12">
        <f>IF('Données projet'!$A$114&gt;35,BY13+BX14-CG13,IF(A14&lt;'Données projet'!$A$114,$BV$205^A14,IF(A14='Données projet'!$A$114,'Données projet'!$B$114,BY13+BX14-CG13)))</f>
        <v>26.6</v>
      </c>
      <c r="BZ14" s="13">
        <f>BY14*VLOOKUP('Données projet'!$B$12,Paramètres!$A$1:$I$89,3,0)*VLOOKUP('Données projet'!$B$12,Paramètres!$A$1:$I$89,5,0)</f>
        <v>17.84328</v>
      </c>
      <c r="CA14" s="13">
        <f t="shared" si="39"/>
        <v>5.8796991040722624</v>
      </c>
      <c r="CB14" s="20">
        <f t="shared" si="10"/>
        <v>41.317521939592524</v>
      </c>
      <c r="CC14" s="59">
        <f t="shared" si="11"/>
        <v>275.88943617476508</v>
      </c>
      <c r="CD14" s="59">
        <f ca="1">AVERAGE(OFFSET($CC$3,0,0,'Données projet'!$E$12+1,1))-AVERAGE(OFFSET($H$3,0,0,'Données projet'!$E$12+1,1))</f>
        <v>358.95222991910504</v>
      </c>
      <c r="CE14" s="59">
        <f t="shared" si="40"/>
        <v>347.37506646970905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60.307491761107663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14.6</v>
      </c>
      <c r="CT14" s="12">
        <f>IF('Données projet'!$A$140&gt;35,CT13+CS14-DB13,IF(A14&lt;'Données projet'!$A$140,$CQ$205^A14,IF(A14='Données projet'!$A$140,'Données projet'!$B$140,CT13+CS14-DB13)))</f>
        <v>26.6</v>
      </c>
      <c r="CU14" s="17">
        <f>CT14*VLOOKUP('Données projet'!$B$13,Paramètres!$A$1:$I$89,3,0)*VLOOKUP('Données projet'!$B$13,Paramètres!$A$1:$I$89,5,0)</f>
        <v>17.428320000000003</v>
      </c>
      <c r="CV14" s="13">
        <f t="shared" si="41"/>
        <v>5.7587131616514986</v>
      </c>
      <c r="CW14" s="20">
        <f t="shared" si="13"/>
        <v>40.38408275654303</v>
      </c>
      <c r="CX14" s="59">
        <f t="shared" si="14"/>
        <v>274.95599699171561</v>
      </c>
      <c r="CY14" s="59">
        <f ca="1">AVERAGE(OFFSET($CX$3,0,0,'Données projet'!$E$13+1,1))-AVERAGE(OFFSET($H$3,0,0,'Données projet'!$E$13+1,1))</f>
        <v>351.7266381615546</v>
      </c>
      <c r="CZ14" s="59">
        <f t="shared" si="42"/>
        <v>340.52483243761799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60.307491761107663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2.8</v>
      </c>
      <c r="DO14" s="12">
        <f>IF('Données projet'!$A$166&gt;35,DO13+DN14-DW13,IF(A14&lt;'Données projet'!$A$166,$DL$205^A14,IF(A14='Données projet'!$A$166,'Données projet'!$B$166,DO13+DN14-DW13)))</f>
        <v>9.1517345525322273</v>
      </c>
      <c r="DP14" s="17">
        <f>DO14*VLOOKUP('Données projet'!$B$14,Paramètres!$A$1:$I$89,3,0)*VLOOKUP('Données projet'!$B$14,Paramètres!$A$1:$I$89,5,0)</f>
        <v>7.8521882460726511</v>
      </c>
      <c r="DQ14" s="13">
        <f t="shared" si="43"/>
        <v>2.8468582917289242</v>
      </c>
      <c r="DR14" s="20">
        <f t="shared" si="16"/>
        <v>18.634172720004408</v>
      </c>
      <c r="DS14" s="59">
        <f t="shared" si="17"/>
        <v>253.20608695517697</v>
      </c>
      <c r="DT14" s="59">
        <f ca="1">AVERAGE(OFFSET($DS$3,0,0,'Données projet'!$E$14+1,1))-AVERAGE(OFFSET($H$3,0,0,'Données projet'!$E$14+1,1))</f>
        <v>569.21675741362196</v>
      </c>
      <c r="DU14" s="59">
        <f t="shared" si="44"/>
        <v>321.12410801891679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60.307491761107663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14.6</v>
      </c>
      <c r="EJ14" s="12">
        <f>IF('Données projet'!$A$192&gt;35,EJ13+EI14-ER13,IF(A14&lt;'Données projet'!$A$192,$EG$205^A14,IF(A14='Données projet'!$A$192,'Données projet'!$B$192,EJ13+EI14-ER13)))</f>
        <v>26.6</v>
      </c>
      <c r="EK14" s="17">
        <f>EJ14*VLOOKUP('Données projet'!$B$15,Paramètres!$A$1:$I$89,3,0)*VLOOKUP('Données projet'!$B$15,Paramètres!$A$1:$I$89,5,0)</f>
        <v>21.162960000000002</v>
      </c>
      <c r="EL14" s="13">
        <f t="shared" si="45"/>
        <v>6.8364616466980515</v>
      </c>
      <c r="EM14" s="20">
        <f t="shared" si="19"/>
        <v>48.765659367999113</v>
      </c>
      <c r="EN14" s="59">
        <f t="shared" si="20"/>
        <v>283.33757360317168</v>
      </c>
      <c r="EO14" s="59">
        <f ca="1">AVERAGE(OFFSET($EN$3,0,0,'Données projet'!$E$15+1,1))-AVERAGE(OFFSET($H$3,0,0,'Données projet'!$E$15+1,1))</f>
        <v>416.63597645452791</v>
      </c>
      <c r="EP14" s="59">
        <f t="shared" si="46"/>
        <v>402.05920382353497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60.307491761107663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10.8</v>
      </c>
      <c r="FE14" s="12">
        <f>IF('Données projet'!$A$218&gt;35,FE13+FD14-FM13,IF(A14&lt;'Données projet'!$A$218,$FB$205^A14,IF(A14='Données projet'!$A$218,'Données projet'!$B$218,FE13+FD14-FM13)))</f>
        <v>21.8</v>
      </c>
      <c r="FF14" s="17">
        <f>FE14*VLOOKUP('Données projet'!$B$16,Paramètres!$A$1:$I$89,3,0)*VLOOKUP('Données projet'!$B$16,Paramètres!$A$1:$I$89,5,0)</f>
        <v>19.044480000000004</v>
      </c>
      <c r="FG14" s="13">
        <f t="shared" si="47"/>
        <v>6.2281069020478963</v>
      </c>
      <c r="FH14" s="20">
        <f t="shared" si="22"/>
        <v>44.016422187733419</v>
      </c>
      <c r="FI14" s="59">
        <f t="shared" si="23"/>
        <v>278.58833642290597</v>
      </c>
      <c r="FJ14" s="59">
        <f ca="1">AVERAGE(OFFSET($FI$3,0,0,'Données projet'!$E$16+1,1))-AVERAGE(OFFSET($H$3,0,0,'Données projet'!$E$16+1,1))</f>
        <v>395.57130469647603</v>
      </c>
      <c r="FK14" s="59">
        <f t="shared" si="48"/>
        <v>383.97542781562674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60.307491761107663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2.6666666666666665</v>
      </c>
      <c r="FZ14" s="12">
        <f>IF('Données projet'!$A$244&gt;35,FZ13+FY14-GH13,IF(A14&lt;'Données projet'!$A$244,$FW$205^A14,IF(A14='Données projet'!$A$244,'Données projet'!$B$244,FZ13+FY14-GH13)))</f>
        <v>14.956982779612416</v>
      </c>
      <c r="GA14" s="17">
        <f>FZ14*VLOOKUP('Données projet'!$B$17,Paramètres!$A$1:$I$89,3,0)*VLOOKUP('Données projet'!$B$17,Paramètres!$A$1:$I$89,5,0)</f>
        <v>11.666446568097685</v>
      </c>
      <c r="GB14" s="13">
        <f t="shared" si="49"/>
        <v>4.0392339557111736</v>
      </c>
      <c r="GC14" s="20">
        <f t="shared" si="25"/>
        <v>27.354060245633761</v>
      </c>
      <c r="GD14" s="59">
        <f t="shared" si="26"/>
        <v>261.9259744808063</v>
      </c>
      <c r="GE14" s="59">
        <f ca="1">AVERAGE(OFFSET($GD$3,0,0,'Données projet'!$E$17+1,1))-AVERAGE(OFFSET($H$3,0,0,'Données projet'!$E$17+1,1))</f>
        <v>301.74744407733351</v>
      </c>
      <c r="GF14" s="59">
        <f t="shared" si="50"/>
        <v>292.46787700966991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60.307491761107663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14.6</v>
      </c>
      <c r="GU14" s="12">
        <f>IF('Données projet'!$A$270&gt;35,GU13+GT14-HC13,IF(A14&lt;'Données projet'!$A$270,$GR$205^A14,IF(A14='Données projet'!$A$270,'Données projet'!$B$270,GU13+GT14-HC13)))</f>
        <v>26.6</v>
      </c>
      <c r="GV14" s="17">
        <f>GU14*VLOOKUP('Données projet'!$B$18,Paramètres!$A$1:$I$89,3,0)*VLOOKUP('Données projet'!$B$18,Paramètres!$A$1:$I$89,5,0)</f>
        <v>15.768480000000002</v>
      </c>
      <c r="GW14" s="13">
        <f t="shared" si="51"/>
        <v>5.2713173156265167</v>
      </c>
      <c r="GX14" s="20">
        <f t="shared" si="28"/>
        <v>36.644313658049519</v>
      </c>
      <c r="GY14" s="59">
        <f t="shared" si="29"/>
        <v>271.21622789322208</v>
      </c>
      <c r="GZ14" s="59">
        <f ca="1">AVERAGE(OFFSET($GY$3,0,0,'Données projet'!$E$18+1,1))-AVERAGE(OFFSET($H$3,0,0,'Données projet'!$E$18+1,1))</f>
        <v>322.78672881269978</v>
      </c>
      <c r="HA14" s="59">
        <f t="shared" si="52"/>
        <v>313.08736327626434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2.3499999999999996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8.6166666666666654</v>
      </c>
      <c r="H15" s="67">
        <f t="shared" si="1"/>
        <v>222.20000000000002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60.475635109850302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3.65</v>
      </c>
      <c r="N15" s="13">
        <f>IF('Données projet'!$A$36&gt;35,N14+M15-V14,IF(A15&lt;'Données projet'!$A$36,$K$205^A15,IF(A15='Données projet'!$A$36,'Données projet'!$B$36,N14+M15-V14)))</f>
        <v>13.121809125710287</v>
      </c>
      <c r="O15" s="13">
        <f>N15*VLOOKUP('Données projet'!$B$9,Paramètres!$A$1:$I$89,3,0)*VLOOKUP('Données projet'!$B$9,Paramètres!$A$1:$I$89,5,0)</f>
        <v>11.872612896942668</v>
      </c>
      <c r="P15" s="13">
        <f t="shared" si="33"/>
        <v>4.1022411108131784</v>
      </c>
      <c r="Q15" s="20">
        <f t="shared" si="2"/>
        <v>27.822870730174767</v>
      </c>
      <c r="R15" s="59">
        <f t="shared" si="0"/>
        <v>264.23353279962583</v>
      </c>
      <c r="S15" s="59">
        <f ca="1">AVERAGE(OFFSET($R$3,0,0,'Données projet'!$E$9+1,1))-AVERAGE(OFFSET($H$3,0,0,'Données projet'!$E$9+1,1))</f>
        <v>473.88815717313474</v>
      </c>
      <c r="T15" s="59">
        <f t="shared" si="34"/>
        <v>287.19790203552895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60.475635109850302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3.65</v>
      </c>
      <c r="AI15" s="13">
        <f>IF('Données projet'!$A$62&gt;35,AI14+AH15-AQ14,IF(A15&lt;'Données projet'!$A$62,$AF$205^A15,IF(A15='Données projet'!$A$62,'Données projet'!$B$62,AI14+AH15-AQ14)))</f>
        <v>13.121809125710287</v>
      </c>
      <c r="AJ15" s="13">
        <f>AI15*VLOOKUP('Données projet'!$B$10,Paramètres!$A$1:$I$89,3,0)*VLOOKUP('Données projet'!$B$10,Paramètres!$A$1:$I$89,5,0)</f>
        <v>11.053812007498347</v>
      </c>
      <c r="AK15" s="13">
        <f t="shared" si="35"/>
        <v>3.8512289154738402</v>
      </c>
      <c r="AL15" s="20">
        <f t="shared" si="4"/>
        <v>25.959612940843225</v>
      </c>
      <c r="AM15" s="59">
        <f t="shared" si="5"/>
        <v>262.37027501029434</v>
      </c>
      <c r="AN15" s="59">
        <f ca="1">AVERAGE(OFFSET($AM$3,0,0,'Données projet'!$E$10+1,1))-AVERAGE(OFFSET($H$3,0,0,'Données projet'!$E$10+1,1))</f>
        <v>445.19118535527258</v>
      </c>
      <c r="AO15" s="59">
        <f t="shared" si="36"/>
        <v>270.93483242839363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60.475635109850302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3.65</v>
      </c>
      <c r="BD15" s="12">
        <f>IF('Données projet'!$A$88&gt;35,BD14+BC15-BL14,IF(A15&lt;'Données projet'!$A$88,$BA$205^A15,IF(A15='Données projet'!$A$88,'Données projet'!$B$88,BD14+BC15-BL14)))</f>
        <v>13.121809125710287</v>
      </c>
      <c r="BE15" s="13">
        <f>BD15*VLOOKUP('Données projet'!$B$11,Paramètres!$A$1:$I$89,3,0)*VLOOKUP('Données projet'!$B$11,Paramètres!$A$1:$I$89,5,0)</f>
        <v>13.305514453470233</v>
      </c>
      <c r="BF15" s="13">
        <f t="shared" si="37"/>
        <v>4.5367667299931158</v>
      </c>
      <c r="BG15" s="20">
        <f t="shared" si="7"/>
        <v>31.075306394532003</v>
      </c>
      <c r="BH15" s="59">
        <f t="shared" si="8"/>
        <v>267.48596846398311</v>
      </c>
      <c r="BI15" s="59">
        <f ca="1">AVERAGE(OFFSET($BH$3,0,0,'Données projet'!$E$11+1,1))-AVERAGE(OFFSET($H$3,0,0,'Données projet'!$E$11+1,1))</f>
        <v>524.01140973345832</v>
      </c>
      <c r="BJ15" s="59">
        <f t="shared" si="38"/>
        <v>315.59942237999621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60.475635109850302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14.6</v>
      </c>
      <c r="BY15" s="12">
        <f>IF('Données projet'!$A$114&gt;35,BY14+BX15-CG14,IF(A15&lt;'Données projet'!$A$114,$BV$205^A15,IF(A15='Données projet'!$A$114,'Données projet'!$B$114,BY14+BX15-CG14)))</f>
        <v>41.2</v>
      </c>
      <c r="BZ15" s="13">
        <f>BY15*VLOOKUP('Données projet'!$B$12,Paramètres!$A$1:$I$89,3,0)*VLOOKUP('Données projet'!$B$12,Paramètres!$A$1:$I$89,5,0)</f>
        <v>27.636960000000002</v>
      </c>
      <c r="CA15" s="13">
        <f t="shared" si="39"/>
        <v>8.654716918983123</v>
      </c>
      <c r="CB15" s="20">
        <f t="shared" si="10"/>
        <v>63.20800396722894</v>
      </c>
      <c r="CC15" s="59">
        <f t="shared" si="11"/>
        <v>299.61866603668005</v>
      </c>
      <c r="CD15" s="59">
        <f ca="1">AVERAGE(OFFSET($CC$3,0,0,'Données projet'!$E$12+1,1))-AVERAGE(OFFSET($H$3,0,0,'Données projet'!$E$12+1,1))</f>
        <v>358.95222991910504</v>
      </c>
      <c r="CE15" s="59">
        <f t="shared" si="40"/>
        <v>347.37506646970905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60.475635109850302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14.6</v>
      </c>
      <c r="CT15" s="12">
        <f>IF('Données projet'!$A$140&gt;35,CT14+CS15-DB14,IF(A15&lt;'Données projet'!$A$140,$CQ$205^A15,IF(A15='Données projet'!$A$140,'Données projet'!$B$140,CT14+CS15-DB14)))</f>
        <v>41.2</v>
      </c>
      <c r="CU15" s="17">
        <f>CT15*VLOOKUP('Données projet'!$B$13,Paramètres!$A$1:$I$89,3,0)*VLOOKUP('Données projet'!$B$13,Paramètres!$A$1:$I$89,5,0)</f>
        <v>26.994240000000005</v>
      </c>
      <c r="CV15" s="13">
        <f t="shared" si="41"/>
        <v>8.4766297304562706</v>
      </c>
      <c r="CW15" s="20">
        <f t="shared" si="13"/>
        <v>61.778431447211325</v>
      </c>
      <c r="CX15" s="59">
        <f t="shared" si="14"/>
        <v>298.18909351666241</v>
      </c>
      <c r="CY15" s="59">
        <f ca="1">AVERAGE(OFFSET($CX$3,0,0,'Données projet'!$E$13+1,1))-AVERAGE(OFFSET($H$3,0,0,'Données projet'!$E$13+1,1))</f>
        <v>351.7266381615546</v>
      </c>
      <c r="CZ15" s="59">
        <f t="shared" si="42"/>
        <v>340.52483243761799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60.475635109850302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2.8</v>
      </c>
      <c r="DO15" s="12">
        <f>IF('Données projet'!$A$166&gt;35,DO14+DN15-DW14,IF(A15&lt;'Données projet'!$A$166,$DL$205^A15,IF(A15='Données projet'!$A$166,'Données projet'!$B$166,DO14+DN15-DW14)))</f>
        <v>11.19213180983215</v>
      </c>
      <c r="DP15" s="17">
        <f>DO15*VLOOKUP('Données projet'!$B$14,Paramètres!$A$1:$I$89,3,0)*VLOOKUP('Données projet'!$B$14,Paramètres!$A$1:$I$89,5,0)</f>
        <v>9.6028490928359851</v>
      </c>
      <c r="DQ15" s="13">
        <f t="shared" si="43"/>
        <v>3.4009543049268385</v>
      </c>
      <c r="DR15" s="20">
        <f t="shared" si="16"/>
        <v>22.64829091777025</v>
      </c>
      <c r="DS15" s="59">
        <f t="shared" si="17"/>
        <v>259.05895298722135</v>
      </c>
      <c r="DT15" s="59">
        <f ca="1">AVERAGE(OFFSET($DS$3,0,0,'Données projet'!$E$14+1,1))-AVERAGE(OFFSET($H$3,0,0,'Données projet'!$E$14+1,1))</f>
        <v>569.21675741362196</v>
      </c>
      <c r="DU15" s="59">
        <f t="shared" si="44"/>
        <v>321.12410801891679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60.475635109850302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14.6</v>
      </c>
      <c r="EJ15" s="12">
        <f>IF('Données projet'!$A$192&gt;35,EJ14+EI15-ER14,IF(A15&lt;'Données projet'!$A$192,$EG$205^A15,IF(A15='Données projet'!$A$192,'Données projet'!$B$192,EJ14+EI15-ER14)))</f>
        <v>41.2</v>
      </c>
      <c r="EK15" s="17">
        <f>EJ15*VLOOKUP('Données projet'!$B$15,Paramètres!$A$1:$I$89,3,0)*VLOOKUP('Données projet'!$B$15,Paramètres!$A$1:$I$89,5,0)</f>
        <v>32.77872</v>
      </c>
      <c r="EL15" s="13">
        <f t="shared" si="45"/>
        <v>10.063038810723747</v>
      </c>
      <c r="EM15" s="20">
        <f t="shared" si="19"/>
        <v>74.616063262010528</v>
      </c>
      <c r="EN15" s="59">
        <f t="shared" si="20"/>
        <v>311.02672533146165</v>
      </c>
      <c r="EO15" s="59">
        <f ca="1">AVERAGE(OFFSET($EN$3,0,0,'Données projet'!$E$15+1,1))-AVERAGE(OFFSET($H$3,0,0,'Données projet'!$E$15+1,1))</f>
        <v>416.63597645452791</v>
      </c>
      <c r="EP15" s="59">
        <f t="shared" si="46"/>
        <v>402.05920382353497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60.475635109850302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10.8</v>
      </c>
      <c r="FE15" s="12">
        <f>IF('Données projet'!$A$218&gt;35,FE14+FD15-FM14,IF(A15&lt;'Données projet'!$A$218,$FB$205^A15,IF(A15='Données projet'!$A$218,'Données projet'!$B$218,FE14+FD15-FM14)))</f>
        <v>32.6</v>
      </c>
      <c r="FF15" s="17">
        <f>FE15*VLOOKUP('Données projet'!$B$16,Paramètres!$A$1:$I$89,3,0)*VLOOKUP('Données projet'!$B$16,Paramètres!$A$1:$I$89,5,0)</f>
        <v>28.479360000000007</v>
      </c>
      <c r="FG15" s="13">
        <f t="shared" si="47"/>
        <v>8.8874050121326551</v>
      </c>
      <c r="FH15" s="20">
        <f t="shared" si="22"/>
        <v>65.080449062797712</v>
      </c>
      <c r="FI15" s="59">
        <f t="shared" si="23"/>
        <v>301.49111113224882</v>
      </c>
      <c r="FJ15" s="59">
        <f ca="1">AVERAGE(OFFSET($FI$3,0,0,'Données projet'!$E$16+1,1))-AVERAGE(OFFSET($H$3,0,0,'Données projet'!$E$16+1,1))</f>
        <v>395.57130469647603</v>
      </c>
      <c r="FK15" s="59">
        <f t="shared" si="48"/>
        <v>383.97542781562674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60.475635109850302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2.6666666666666665</v>
      </c>
      <c r="FZ15" s="12">
        <f>IF('Données projet'!$A$244&gt;35,FZ14+FY15-GH14,IF(A15&lt;'Données projet'!$A$244,$FW$205^A15,IF(A15='Données projet'!$A$244,'Données projet'!$B$244,FZ14+FY15-GH14)))</f>
        <v>19.127049995800721</v>
      </c>
      <c r="GA15" s="17">
        <f>FZ15*VLOOKUP('Données projet'!$B$17,Paramètres!$A$1:$I$89,3,0)*VLOOKUP('Données projet'!$B$17,Paramètres!$A$1:$I$89,5,0)</f>
        <v>14.919098996724562</v>
      </c>
      <c r="GB15" s="13">
        <f t="shared" si="49"/>
        <v>5.019622097301081</v>
      </c>
      <c r="GC15" s="20">
        <f t="shared" si="25"/>
        <v>34.726605905427995</v>
      </c>
      <c r="GD15" s="59">
        <f t="shared" si="26"/>
        <v>271.13726797487908</v>
      </c>
      <c r="GE15" s="59">
        <f ca="1">AVERAGE(OFFSET($GD$3,0,0,'Données projet'!$E$17+1,1))-AVERAGE(OFFSET($H$3,0,0,'Données projet'!$E$17+1,1))</f>
        <v>301.74744407733351</v>
      </c>
      <c r="GF15" s="59">
        <f t="shared" si="50"/>
        <v>292.46787700966991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60.475635109850302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14.6</v>
      </c>
      <c r="GU15" s="12">
        <f>IF('Données projet'!$A$270&gt;35,GU14+GT15-HC14,IF(A15&lt;'Données projet'!$A$270,$GR$205^A15,IF(A15='Données projet'!$A$270,'Données projet'!$B$270,GU14+GT15-HC14)))</f>
        <v>41.2</v>
      </c>
      <c r="GV15" s="17">
        <f>GU15*VLOOKUP('Données projet'!$B$18,Paramètres!$A$1:$I$89,3,0)*VLOOKUP('Données projet'!$B$18,Paramètres!$A$1:$I$89,5,0)</f>
        <v>24.423360000000002</v>
      </c>
      <c r="GW15" s="13">
        <f t="shared" si="51"/>
        <v>7.7591996374923351</v>
      </c>
      <c r="GX15" s="20">
        <f t="shared" si="28"/>
        <v>56.051291368632491</v>
      </c>
      <c r="GY15" s="59">
        <f t="shared" si="29"/>
        <v>292.46195343808358</v>
      </c>
      <c r="GZ15" s="59">
        <f ca="1">AVERAGE(OFFSET($GY$3,0,0,'Données projet'!$E$18+1,1))-AVERAGE(OFFSET($H$3,0,0,'Données projet'!$E$18+1,1))</f>
        <v>322.78672881269978</v>
      </c>
      <c r="HA15" s="59">
        <f t="shared" si="52"/>
        <v>313.08736327626434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2.3499999999999996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8.6166666666666654</v>
      </c>
      <c r="H16" s="67">
        <f t="shared" si="1"/>
        <v>222.20000000000002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60.640861547404469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3.65</v>
      </c>
      <c r="N16" s="13">
        <f>IF('Données projet'!$A$36&gt;35,N15+M16-V15,IF(A16&lt;'Données projet'!$A$36,$K$205^A16,IF(A16='Données projet'!$A$36,'Données projet'!$B$36,N15+M16-V15)))</f>
        <v>16.261472127148366</v>
      </c>
      <c r="O16" s="13">
        <f>N16*VLOOKUP('Données projet'!$B$9,Paramètres!$A$1:$I$89,3,0)*VLOOKUP('Données projet'!$B$9,Paramètres!$A$1:$I$89,5,0)</f>
        <v>14.713379980643843</v>
      </c>
      <c r="P16" s="13">
        <f t="shared" si="33"/>
        <v>4.9584140165447881</v>
      </c>
      <c r="Q16" s="20">
        <f t="shared" si="2"/>
        <v>34.261707878436859</v>
      </c>
      <c r="R16" s="59">
        <f t="shared" si="0"/>
        <v>272.50042244114212</v>
      </c>
      <c r="S16" s="59">
        <f ca="1">AVERAGE(OFFSET($R$3,0,0,'Données projet'!$E$9+1,1))-AVERAGE(OFFSET($H$3,0,0,'Données projet'!$E$9+1,1))</f>
        <v>473.88815717313474</v>
      </c>
      <c r="T16" s="59">
        <f t="shared" si="34"/>
        <v>287.19790203552895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60.640861547404469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3.65</v>
      </c>
      <c r="AI16" s="13">
        <f>IF('Données projet'!$A$62&gt;35,AI15+AH16-AQ15,IF(A16&lt;'Données projet'!$A$62,$AF$205^A16,IF(A16='Données projet'!$A$62,'Données projet'!$B$62,AI15+AH16-AQ15)))</f>
        <v>16.261472127148366</v>
      </c>
      <c r="AJ16" s="13">
        <f>AI16*VLOOKUP('Données projet'!$B$10,Paramètres!$A$1:$I$89,3,0)*VLOOKUP('Données projet'!$B$10,Paramètres!$A$1:$I$89,5,0)</f>
        <v>13.698664119909786</v>
      </c>
      <c r="AK16" s="13">
        <f t="shared" si="35"/>
        <v>4.6550134230463893</v>
      </c>
      <c r="AL16" s="20">
        <f t="shared" si="4"/>
        <v>31.965988387315338</v>
      </c>
      <c r="AM16" s="59">
        <f t="shared" si="5"/>
        <v>270.20470295002059</v>
      </c>
      <c r="AN16" s="59">
        <f ca="1">AVERAGE(OFFSET($AM$3,0,0,'Données projet'!$E$10+1,1))-AVERAGE(OFFSET($H$3,0,0,'Données projet'!$E$10+1,1))</f>
        <v>445.19118535527258</v>
      </c>
      <c r="AO16" s="59">
        <f t="shared" si="36"/>
        <v>270.93483242839363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60.640861547404469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3.65</v>
      </c>
      <c r="BD16" s="12">
        <f>IF('Données projet'!$A$88&gt;35,BD15+BC16-BL15,IF(A16&lt;'Données projet'!$A$88,$BA$205^A16,IF(A16='Données projet'!$A$88,'Données projet'!$B$88,BD15+BC16-BL15)))</f>
        <v>16.261472127148366</v>
      </c>
      <c r="BE16" s="13">
        <f>BD16*VLOOKUP('Données projet'!$B$11,Paramètres!$A$1:$I$89,3,0)*VLOOKUP('Données projet'!$B$11,Paramètres!$A$1:$I$89,5,0)</f>
        <v>16.489132736928447</v>
      </c>
      <c r="BF16" s="13">
        <f t="shared" si="37"/>
        <v>5.4836288594779292</v>
      </c>
      <c r="BG16" s="20">
        <f t="shared" si="7"/>
        <v>38.269226447074438</v>
      </c>
      <c r="BH16" s="59">
        <f t="shared" si="8"/>
        <v>276.5079410097797</v>
      </c>
      <c r="BI16" s="59">
        <f ca="1">AVERAGE(OFFSET($BH$3,0,0,'Données projet'!$E$11+1,1))-AVERAGE(OFFSET($H$3,0,0,'Données projet'!$E$11+1,1))</f>
        <v>524.01140973345832</v>
      </c>
      <c r="BJ16" s="59">
        <f t="shared" si="38"/>
        <v>315.59942237999621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60.640861547404469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14.6</v>
      </c>
      <c r="BY16" s="12">
        <f>IF('Données projet'!$A$114&gt;35,BY15+BX16-CG15,IF(A16&lt;'Données projet'!$A$114,$BV$205^A16,IF(A16='Données projet'!$A$114,'Données projet'!$B$114,BY15+BX16-CG15)))</f>
        <v>55.800000000000004</v>
      </c>
      <c r="BZ16" s="13">
        <f>BY16*VLOOKUP('Données projet'!$B$12,Paramètres!$A$1:$I$89,3,0)*VLOOKUP('Données projet'!$B$12,Paramètres!$A$1:$I$89,5,0)</f>
        <v>37.430640000000004</v>
      </c>
      <c r="CA16" s="13">
        <f t="shared" si="39"/>
        <v>11.315028847170499</v>
      </c>
      <c r="CB16" s="20">
        <f t="shared" si="10"/>
        <v>84.898706575488632</v>
      </c>
      <c r="CC16" s="59">
        <f t="shared" si="11"/>
        <v>323.13742113819387</v>
      </c>
      <c r="CD16" s="59">
        <f ca="1">AVERAGE(OFFSET($CC$3,0,0,'Données projet'!$E$12+1,1))-AVERAGE(OFFSET($H$3,0,0,'Données projet'!$E$12+1,1))</f>
        <v>358.95222991910504</v>
      </c>
      <c r="CE16" s="59">
        <f t="shared" si="40"/>
        <v>347.37506646970905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60.640861547404469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14.6</v>
      </c>
      <c r="CT16" s="12">
        <f>IF('Données projet'!$A$140&gt;35,CT15+CS16-DB15,IF(A16&lt;'Données projet'!$A$140,$CQ$205^A16,IF(A16='Données projet'!$A$140,'Données projet'!$B$140,CT15+CS16-DB15)))</f>
        <v>55.800000000000004</v>
      </c>
      <c r="CU16" s="17">
        <f>CT16*VLOOKUP('Données projet'!$B$13,Paramètres!$A$1:$I$89,3,0)*VLOOKUP('Données projet'!$B$13,Paramètres!$A$1:$I$89,5,0)</f>
        <v>36.560160000000003</v>
      </c>
      <c r="CV16" s="13">
        <f t="shared" si="41"/>
        <v>11.082200703355301</v>
      </c>
      <c r="CW16" s="20">
        <f t="shared" si="13"/>
        <v>82.977111558343836</v>
      </c>
      <c r="CX16" s="59">
        <f t="shared" si="14"/>
        <v>321.21582612104908</v>
      </c>
      <c r="CY16" s="59">
        <f ca="1">AVERAGE(OFFSET($CX$3,0,0,'Données projet'!$E$13+1,1))-AVERAGE(OFFSET($H$3,0,0,'Données projet'!$E$13+1,1))</f>
        <v>351.7266381615546</v>
      </c>
      <c r="CZ16" s="59">
        <f t="shared" si="42"/>
        <v>340.52483243761799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60.640861547404469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2.8</v>
      </c>
      <c r="DO16" s="12">
        <f>IF('Données projet'!$A$166&gt;35,DO15+DN16-DW15,IF(A16&lt;'Données projet'!$A$166,$DL$205^A16,IF(A16='Données projet'!$A$166,'Données projet'!$B$166,DO15+DN16-DW15)))</f>
        <v>13.687439657435972</v>
      </c>
      <c r="DP16" s="17">
        <f>DO16*VLOOKUP('Données projet'!$B$14,Paramètres!$A$1:$I$89,3,0)*VLOOKUP('Données projet'!$B$14,Paramètres!$A$1:$I$89,5,0)</f>
        <v>11.743823226080066</v>
      </c>
      <c r="DQ16" s="13">
        <f t="shared" si="43"/>
        <v>4.0628963576462231</v>
      </c>
      <c r="DR16" s="20">
        <f t="shared" si="16"/>
        <v>27.530036608323286</v>
      </c>
      <c r="DS16" s="59">
        <f t="shared" si="17"/>
        <v>265.76875117102855</v>
      </c>
      <c r="DT16" s="59">
        <f ca="1">AVERAGE(OFFSET($DS$3,0,0,'Données projet'!$E$14+1,1))-AVERAGE(OFFSET($H$3,0,0,'Données projet'!$E$14+1,1))</f>
        <v>569.21675741362196</v>
      </c>
      <c r="DU16" s="59">
        <f t="shared" si="44"/>
        <v>321.12410801891679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60.640861547404469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14.6</v>
      </c>
      <c r="EJ16" s="12">
        <f>IF('Données projet'!$A$192&gt;35,EJ15+EI16-ER15,IF(A16&lt;'Données projet'!$A$192,$EG$205^A16,IF(A16='Données projet'!$A$192,'Données projet'!$B$192,EJ15+EI16-ER15)))</f>
        <v>55.800000000000004</v>
      </c>
      <c r="EK16" s="17">
        <f>EJ16*VLOOKUP('Données projet'!$B$15,Paramètres!$A$1:$I$89,3,0)*VLOOKUP('Données projet'!$B$15,Paramètres!$A$1:$I$89,5,0)</f>
        <v>44.394480000000001</v>
      </c>
      <c r="EL16" s="13">
        <f t="shared" si="45"/>
        <v>13.1562447968447</v>
      </c>
      <c r="EM16" s="20">
        <f t="shared" si="19"/>
        <v>100.2341790211712</v>
      </c>
      <c r="EN16" s="59">
        <f t="shared" si="20"/>
        <v>338.4728935838765</v>
      </c>
      <c r="EO16" s="59">
        <f ca="1">AVERAGE(OFFSET($EN$3,0,0,'Données projet'!$E$15+1,1))-AVERAGE(OFFSET($H$3,0,0,'Données projet'!$E$15+1,1))</f>
        <v>416.63597645452791</v>
      </c>
      <c r="EP16" s="59">
        <f t="shared" si="46"/>
        <v>402.05920382353497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60.640861547404469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10.8</v>
      </c>
      <c r="FE16" s="12">
        <f>IF('Données projet'!$A$218&gt;35,FE15+FD16-FM15,IF(A16&lt;'Données projet'!$A$218,$FB$205^A16,IF(A16='Données projet'!$A$218,'Données projet'!$B$218,FE15+FD16-FM15)))</f>
        <v>43.400000000000006</v>
      </c>
      <c r="FF16" s="17">
        <f>FE16*VLOOKUP('Données projet'!$B$16,Paramètres!$A$1:$I$89,3,0)*VLOOKUP('Données projet'!$B$16,Paramètres!$A$1:$I$89,5,0)</f>
        <v>37.914240000000007</v>
      </c>
      <c r="FG16" s="13">
        <f t="shared" si="47"/>
        <v>11.444104784431099</v>
      </c>
      <c r="FH16" s="20">
        <f t="shared" si="22"/>
        <v>85.965783832884156</v>
      </c>
      <c r="FI16" s="59">
        <f t="shared" si="23"/>
        <v>324.20449839558944</v>
      </c>
      <c r="FJ16" s="59">
        <f ca="1">AVERAGE(OFFSET($FI$3,0,0,'Données projet'!$E$16+1,1))-AVERAGE(OFFSET($H$3,0,0,'Données projet'!$E$16+1,1))</f>
        <v>395.57130469647603</v>
      </c>
      <c r="FK16" s="59">
        <f t="shared" si="48"/>
        <v>383.97542781562674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60.640861547404469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2.6666666666666665</v>
      </c>
      <c r="FZ16" s="12">
        <f>IF('Données projet'!$A$244&gt;35,FZ15+FY16-GH15,IF(A16&lt;'Données projet'!$A$244,$FW$205^A16,IF(A16='Données projet'!$A$244,'Données projet'!$B$244,FZ15+FY16-GH15)))</f>
        <v>24.459748796430759</v>
      </c>
      <c r="GA16" s="17">
        <f>FZ16*VLOOKUP('Données projet'!$B$17,Paramètres!$A$1:$I$89,3,0)*VLOOKUP('Données projet'!$B$17,Paramètres!$A$1:$I$89,5,0)</f>
        <v>19.078604061215994</v>
      </c>
      <c r="GB16" s="13">
        <f t="shared" si="49"/>
        <v>6.2379664748280286</v>
      </c>
      <c r="GC16" s="20">
        <f t="shared" si="25"/>
        <v>44.093027016943331</v>
      </c>
      <c r="GD16" s="59">
        <f t="shared" si="26"/>
        <v>282.33174157964862</v>
      </c>
      <c r="GE16" s="59">
        <f ca="1">AVERAGE(OFFSET($GD$3,0,0,'Données projet'!$E$17+1,1))-AVERAGE(OFFSET($H$3,0,0,'Données projet'!$E$17+1,1))</f>
        <v>301.74744407733351</v>
      </c>
      <c r="GF16" s="59">
        <f t="shared" si="50"/>
        <v>292.46787700966991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60.640861547404469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14.6</v>
      </c>
      <c r="GU16" s="12">
        <f>IF('Données projet'!$A$270&gt;35,GU15+GT16-HC15,IF(A16&lt;'Données projet'!$A$270,$GR$205^A16,IF(A16='Données projet'!$A$270,'Données projet'!$B$270,GU15+GT16-HC15)))</f>
        <v>55.800000000000004</v>
      </c>
      <c r="GV16" s="17">
        <f>GU16*VLOOKUP('Données projet'!$B$18,Paramètres!$A$1:$I$89,3,0)*VLOOKUP('Données projet'!$B$18,Paramètres!$A$1:$I$89,5,0)</f>
        <v>33.078240000000001</v>
      </c>
      <c r="GW16" s="13">
        <f t="shared" si="51"/>
        <v>10.144244872597879</v>
      </c>
      <c r="GX16" s="20">
        <f t="shared" si="28"/>
        <v>75.279161153107964</v>
      </c>
      <c r="GY16" s="59">
        <f t="shared" si="29"/>
        <v>313.51787571581326</v>
      </c>
      <c r="GZ16" s="59">
        <f ca="1">AVERAGE(OFFSET($GY$3,0,0,'Données projet'!$E$18+1,1))-AVERAGE(OFFSET($H$3,0,0,'Données projet'!$E$18+1,1))</f>
        <v>322.78672881269978</v>
      </c>
      <c r="HA16" s="59">
        <f t="shared" si="52"/>
        <v>313.08736327626434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2.3499999999999996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8.6166666666666654</v>
      </c>
      <c r="H17" s="67">
        <f t="shared" si="1"/>
        <v>222.20000000000002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60.803221675658051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3.65</v>
      </c>
      <c r="N17" s="13">
        <f>IF('Données projet'!$A$36&gt;35,N16+M17-V16,IF(A17&lt;'Données projet'!$A$36,$K$205^A17,IF(A17='Données projet'!$A$36,'Données projet'!$B$36,N16+M17-V16)))</f>
        <v>20.152364144963837</v>
      </c>
      <c r="O17" s="13">
        <f>N17*VLOOKUP('Données projet'!$B$9,Paramètres!$A$1:$I$89,3,0)*VLOOKUP('Données projet'!$B$9,Paramètres!$A$1:$I$89,5,0)</f>
        <v>18.233859078363277</v>
      </c>
      <c r="P17" s="13">
        <f t="shared" si="33"/>
        <v>5.9932775513027368</v>
      </c>
      <c r="Q17" s="20">
        <f t="shared" si="2"/>
        <v>42.195596296668306</v>
      </c>
      <c r="R17" s="59">
        <f t="shared" si="0"/>
        <v>282.25185355185897</v>
      </c>
      <c r="S17" s="59">
        <f ca="1">AVERAGE(OFFSET($R$3,0,0,'Données projet'!$E$9+1,1))-AVERAGE(OFFSET($H$3,0,0,'Données projet'!$E$9+1,1))</f>
        <v>473.88815717313474</v>
      </c>
      <c r="T17" s="59">
        <f t="shared" si="34"/>
        <v>287.19790203552895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60.803221675658051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3.65</v>
      </c>
      <c r="AI17" s="13">
        <f>IF('Données projet'!$A$62&gt;35,AI16+AH17-AQ16,IF(A17&lt;'Données projet'!$A$62,$AF$205^A17,IF(A17='Données projet'!$A$62,'Données projet'!$B$62,AI16+AH17-AQ16)))</f>
        <v>20.152364144963837</v>
      </c>
      <c r="AJ17" s="13">
        <f>AI17*VLOOKUP('Données projet'!$B$10,Paramètres!$A$1:$I$89,3,0)*VLOOKUP('Données projet'!$B$10,Paramètres!$A$1:$I$89,5,0)</f>
        <v>16.976351555717539</v>
      </c>
      <c r="AK17" s="13">
        <f t="shared" si="35"/>
        <v>5.6265546516016363</v>
      </c>
      <c r="AL17" s="20">
        <f t="shared" si="4"/>
        <v>39.366728311080898</v>
      </c>
      <c r="AM17" s="59">
        <f t="shared" si="5"/>
        <v>279.42298556627156</v>
      </c>
      <c r="AN17" s="59">
        <f ca="1">AVERAGE(OFFSET($AM$3,0,0,'Données projet'!$E$10+1,1))-AVERAGE(OFFSET($H$3,0,0,'Données projet'!$E$10+1,1))</f>
        <v>445.19118535527258</v>
      </c>
      <c r="AO17" s="59">
        <f t="shared" si="36"/>
        <v>270.93483242839363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60.803221675658051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3.65</v>
      </c>
      <c r="BD17" s="12">
        <f>IF('Données projet'!$A$88&gt;35,BD16+BC17-BL16,IF(A17&lt;'Données projet'!$A$88,$BA$205^A17,IF(A17='Données projet'!$A$88,'Données projet'!$B$88,BD16+BC17-BL16)))</f>
        <v>20.152364144963837</v>
      </c>
      <c r="BE17" s="13">
        <f>BD17*VLOOKUP('Données projet'!$B$11,Paramètres!$A$1:$I$89,3,0)*VLOOKUP('Données projet'!$B$11,Paramètres!$A$1:$I$89,5,0)</f>
        <v>20.434497242993334</v>
      </c>
      <c r="BF17" s="13">
        <f t="shared" si="37"/>
        <v>6.6281092368495731</v>
      </c>
      <c r="BG17" s="20">
        <f t="shared" si="7"/>
        <v>47.134039619059727</v>
      </c>
      <c r="BH17" s="59">
        <f t="shared" si="8"/>
        <v>287.19029687425035</v>
      </c>
      <c r="BI17" s="59">
        <f ca="1">AVERAGE(OFFSET($BH$3,0,0,'Données projet'!$E$11+1,1))-AVERAGE(OFFSET($H$3,0,0,'Données projet'!$E$11+1,1))</f>
        <v>524.01140973345832</v>
      </c>
      <c r="BJ17" s="59">
        <f t="shared" si="38"/>
        <v>315.59942237999621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60.803221675658051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14.6</v>
      </c>
      <c r="BY17" s="12">
        <f>IF('Données projet'!$A$114&gt;35,BY16+BX17-CG16,IF(A17&lt;'Données projet'!$A$114,$BV$205^A17,IF(A17='Données projet'!$A$114,'Données projet'!$B$114,BY16+BX17-CG16)))</f>
        <v>70.400000000000006</v>
      </c>
      <c r="BZ17" s="13">
        <f>BY17*VLOOKUP('Données projet'!$B$12,Paramètres!$A$1:$I$89,3,0)*VLOOKUP('Données projet'!$B$12,Paramètres!$A$1:$I$89,5,0)</f>
        <v>47.224320000000006</v>
      </c>
      <c r="CA17" s="13">
        <f t="shared" si="39"/>
        <v>13.894562893680241</v>
      </c>
      <c r="CB17" s="20">
        <f t="shared" si="10"/>
        <v>106.44872103982642</v>
      </c>
      <c r="CC17" s="59">
        <f t="shared" si="11"/>
        <v>346.50497829501705</v>
      </c>
      <c r="CD17" s="59">
        <f ca="1">AVERAGE(OFFSET($CC$3,0,0,'Données projet'!$E$12+1,1))-AVERAGE(OFFSET($H$3,0,0,'Données projet'!$E$12+1,1))</f>
        <v>358.95222991910504</v>
      </c>
      <c r="CE17" s="59">
        <f t="shared" si="40"/>
        <v>347.37506646970905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60.803221675658051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14.6</v>
      </c>
      <c r="CT17" s="12">
        <f>IF('Données projet'!$A$140&gt;35,CT16+CS17-DB16,IF(A17&lt;'Données projet'!$A$140,$CQ$205^A17,IF(A17='Données projet'!$A$140,'Données projet'!$B$140,CT16+CS17-DB16)))</f>
        <v>70.400000000000006</v>
      </c>
      <c r="CU17" s="17">
        <f>CT17*VLOOKUP('Données projet'!$B$13,Paramètres!$A$1:$I$89,3,0)*VLOOKUP('Données projet'!$B$13,Paramètres!$A$1:$I$89,5,0)</f>
        <v>46.126080000000002</v>
      </c>
      <c r="CV17" s="13">
        <f t="shared" si="41"/>
        <v>13.608655952447116</v>
      </c>
      <c r="CW17" s="20">
        <f t="shared" si="13"/>
        <v>104.03799845051206</v>
      </c>
      <c r="CX17" s="59">
        <f t="shared" si="14"/>
        <v>344.09425570570272</v>
      </c>
      <c r="CY17" s="59">
        <f ca="1">AVERAGE(OFFSET($CX$3,0,0,'Données projet'!$E$13+1,1))-AVERAGE(OFFSET($H$3,0,0,'Données projet'!$E$13+1,1))</f>
        <v>351.7266381615546</v>
      </c>
      <c r="CZ17" s="59">
        <f t="shared" si="42"/>
        <v>340.52483243761799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60.803221675658051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2.8</v>
      </c>
      <c r="DO17" s="12">
        <f>IF('Données projet'!$A$166&gt;35,DO16+DN17-DW16,IF(A17&lt;'Données projet'!$A$166,$DL$205^A17,IF(A17='Données projet'!$A$166,'Données projet'!$B$166,DO16+DN17-DW16)))</f>
        <v>16.739081308117708</v>
      </c>
      <c r="DP17" s="17">
        <f>DO17*VLOOKUP('Données projet'!$B$14,Paramètres!$A$1:$I$89,3,0)*VLOOKUP('Données projet'!$B$14,Paramètres!$A$1:$I$89,5,0)</f>
        <v>14.362131762364994</v>
      </c>
      <c r="DQ17" s="13">
        <f t="shared" si="43"/>
        <v>4.8536749785381312</v>
      </c>
      <c r="DR17" s="20">
        <f t="shared" si="16"/>
        <v>33.46753007373961</v>
      </c>
      <c r="DS17" s="59">
        <f t="shared" si="17"/>
        <v>273.52378732893027</v>
      </c>
      <c r="DT17" s="59">
        <f ca="1">AVERAGE(OFFSET($DS$3,0,0,'Données projet'!$E$14+1,1))-AVERAGE(OFFSET($H$3,0,0,'Données projet'!$E$14+1,1))</f>
        <v>569.21675741362196</v>
      </c>
      <c r="DU17" s="59">
        <f t="shared" si="44"/>
        <v>321.12410801891679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60.803221675658051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14.6</v>
      </c>
      <c r="EJ17" s="12">
        <f>IF('Données projet'!$A$192&gt;35,EJ16+EI17-ER16,IF(A17&lt;'Données projet'!$A$192,$EG$205^A17,IF(A17='Données projet'!$A$192,'Données projet'!$B$192,EJ16+EI17-ER16)))</f>
        <v>70.400000000000006</v>
      </c>
      <c r="EK17" s="17">
        <f>EJ17*VLOOKUP('Données projet'!$B$15,Paramètres!$A$1:$I$89,3,0)*VLOOKUP('Données projet'!$B$15,Paramètres!$A$1:$I$89,5,0)</f>
        <v>56.01024000000001</v>
      </c>
      <c r="EL17" s="13">
        <f t="shared" si="45"/>
        <v>16.155528478402793</v>
      </c>
      <c r="EM17" s="20">
        <f t="shared" si="19"/>
        <v>125.68871343321821</v>
      </c>
      <c r="EN17" s="59">
        <f t="shared" si="20"/>
        <v>365.74497068840884</v>
      </c>
      <c r="EO17" s="59">
        <f ca="1">AVERAGE(OFFSET($EN$3,0,0,'Données projet'!$E$15+1,1))-AVERAGE(OFFSET($H$3,0,0,'Données projet'!$E$15+1,1))</f>
        <v>416.63597645452791</v>
      </c>
      <c r="EP17" s="59">
        <f t="shared" si="46"/>
        <v>402.05920382353497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60.803221675658051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10.8</v>
      </c>
      <c r="FE17" s="12">
        <f>IF('Données projet'!$A$218&gt;35,FE16+FD17-FM16,IF(A17&lt;'Données projet'!$A$218,$FB$205^A17,IF(A17='Données projet'!$A$218,'Données projet'!$B$218,FE16+FD17-FM16)))</f>
        <v>54.2</v>
      </c>
      <c r="FF17" s="17">
        <f>FE17*VLOOKUP('Données projet'!$B$16,Paramètres!$A$1:$I$89,3,0)*VLOOKUP('Données projet'!$B$16,Paramètres!$A$1:$I$89,5,0)</f>
        <v>47.349120000000006</v>
      </c>
      <c r="FG17" s="13">
        <f t="shared" si="47"/>
        <v>13.927003034591849</v>
      </c>
      <c r="FH17" s="20">
        <f t="shared" si="22"/>
        <v>106.72258095191415</v>
      </c>
      <c r="FI17" s="59">
        <f t="shared" si="23"/>
        <v>346.7788382071048</v>
      </c>
      <c r="FJ17" s="59">
        <f ca="1">AVERAGE(OFFSET($FI$3,0,0,'Données projet'!$E$16+1,1))-AVERAGE(OFFSET($H$3,0,0,'Données projet'!$E$16+1,1))</f>
        <v>395.57130469647603</v>
      </c>
      <c r="FK17" s="59">
        <f t="shared" si="48"/>
        <v>383.97542781562674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60.803221675658051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2.6666666666666665</v>
      </c>
      <c r="FZ17" s="12">
        <f>IF('Données projet'!$A$244&gt;35,FZ16+FY17-GH16,IF(A17&lt;'Données projet'!$A$244,$FW$205^A17,IF(A17='Données projet'!$A$244,'Données projet'!$B$244,FZ16+FY17-GH16)))</f>
        <v>31.279225563578599</v>
      </c>
      <c r="GA17" s="17">
        <f>FZ17*VLOOKUP('Données projet'!$B$17,Paramètres!$A$1:$I$89,3,0)*VLOOKUP('Données projet'!$B$17,Paramètres!$A$1:$I$89,5,0)</f>
        <v>24.397795939591308</v>
      </c>
      <c r="GB17" s="13">
        <f t="shared" si="49"/>
        <v>7.75202295846145</v>
      </c>
      <c r="GC17" s="20">
        <f t="shared" si="25"/>
        <v>55.994267914108548</v>
      </c>
      <c r="GD17" s="59">
        <f t="shared" si="26"/>
        <v>296.05052516929919</v>
      </c>
      <c r="GE17" s="59">
        <f ca="1">AVERAGE(OFFSET($GD$3,0,0,'Données projet'!$E$17+1,1))-AVERAGE(OFFSET($H$3,0,0,'Données projet'!$E$17+1,1))</f>
        <v>301.74744407733351</v>
      </c>
      <c r="GF17" s="59">
        <f t="shared" si="50"/>
        <v>292.46787700966991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60.803221675658051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14.6</v>
      </c>
      <c r="GU17" s="12">
        <f>IF('Données projet'!$A$270&gt;35,GU16+GT17-HC16,IF(A17&lt;'Données projet'!$A$270,$GR$205^A17,IF(A17='Données projet'!$A$270,'Données projet'!$B$270,GU16+GT17-HC16)))</f>
        <v>70.400000000000006</v>
      </c>
      <c r="GV17" s="17">
        <f>GU17*VLOOKUP('Données projet'!$B$18,Paramètres!$A$1:$I$89,3,0)*VLOOKUP('Données projet'!$B$18,Paramètres!$A$1:$I$89,5,0)</f>
        <v>41.733120000000007</v>
      </c>
      <c r="GW17" s="13">
        <f t="shared" si="51"/>
        <v>12.456870441514717</v>
      </c>
      <c r="GX17" s="20">
        <f t="shared" si="28"/>
        <v>94.380900018971474</v>
      </c>
      <c r="GY17" s="59">
        <f t="shared" si="29"/>
        <v>334.43715727416213</v>
      </c>
      <c r="GZ17" s="59">
        <f ca="1">AVERAGE(OFFSET($GY$3,0,0,'Données projet'!$E$18+1,1))-AVERAGE(OFFSET($H$3,0,0,'Données projet'!$E$18+1,1))</f>
        <v>322.78672881269978</v>
      </c>
      <c r="HA17" s="59">
        <f t="shared" si="52"/>
        <v>313.08736327626434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2.3499999999999996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8.6166666666666654</v>
      </c>
      <c r="H18" s="67">
        <f t="shared" si="1"/>
        <v>222.20000000000002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60.962765218669297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3.65</v>
      </c>
      <c r="N18" s="13">
        <f>IF('Données projet'!$A$36&gt;35,N17+M18-V17,IF(A18&lt;'Données projet'!$A$36,$K$205^A18,IF(A18='Données projet'!$A$36,'Données projet'!$B$36,N17+M18-V17)))</f>
        <v>24.974232188561476</v>
      </c>
      <c r="O18" s="13">
        <f>N18*VLOOKUP('Données projet'!$B$9,Paramètres!$A$1:$I$89,3,0)*VLOOKUP('Données projet'!$B$9,Paramètres!$A$1:$I$89,5,0)</f>
        <v>22.596685284210423</v>
      </c>
      <c r="P18" s="13">
        <f t="shared" si="33"/>
        <v>7.2441259820371586</v>
      </c>
      <c r="Q18" s="20">
        <f t="shared" si="2"/>
        <v>51.972746288714539</v>
      </c>
      <c r="R18" s="59">
        <f t="shared" si="0"/>
        <v>293.83621875716858</v>
      </c>
      <c r="S18" s="59">
        <f ca="1">AVERAGE(OFFSET($R$3,0,0,'Données projet'!$E$9+1,1))-AVERAGE(OFFSET($H$3,0,0,'Données projet'!$E$9+1,1))</f>
        <v>473.88815717313474</v>
      </c>
      <c r="T18" s="59">
        <f t="shared" si="34"/>
        <v>287.19790203552895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60.962765218669297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3.65</v>
      </c>
      <c r="AI18" s="13">
        <f>IF('Données projet'!$A$62&gt;35,AI17+AH18-AQ17,IF(A18&lt;'Données projet'!$A$62,$AF$205^A18,IF(A18='Données projet'!$A$62,'Données projet'!$B$62,AI17+AH18-AQ17)))</f>
        <v>24.974232188561476</v>
      </c>
      <c r="AJ18" s="13">
        <f>AI18*VLOOKUP('Données projet'!$B$10,Paramètres!$A$1:$I$89,3,0)*VLOOKUP('Données projet'!$B$10,Paramètres!$A$1:$I$89,5,0)</f>
        <v>21.03829319564419</v>
      </c>
      <c r="AK18" s="13">
        <f t="shared" si="35"/>
        <v>6.8008648676982615</v>
      </c>
      <c r="AL18" s="20">
        <f t="shared" si="4"/>
        <v>48.486533626988098</v>
      </c>
      <c r="AM18" s="59">
        <f t="shared" si="5"/>
        <v>290.35000609544215</v>
      </c>
      <c r="AN18" s="59">
        <f ca="1">AVERAGE(OFFSET($AM$3,0,0,'Données projet'!$E$10+1,1))-AVERAGE(OFFSET($H$3,0,0,'Données projet'!$E$10+1,1))</f>
        <v>445.19118535527258</v>
      </c>
      <c r="AO18" s="59">
        <f t="shared" si="36"/>
        <v>270.93483242839363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60.962765218669297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3.65</v>
      </c>
      <c r="BD18" s="12">
        <f>IF('Données projet'!$A$88&gt;35,BD17+BC18-BL17,IF(A18&lt;'Données projet'!$A$88,$BA$205^A18,IF(A18='Données projet'!$A$88,'Données projet'!$B$88,BD17+BC18-BL17)))</f>
        <v>24.974232188561476</v>
      </c>
      <c r="BE18" s="13">
        <f>BD18*VLOOKUP('Données projet'!$B$11,Paramètres!$A$1:$I$89,3,0)*VLOOKUP('Données projet'!$B$11,Paramètres!$A$1:$I$89,5,0)</f>
        <v>25.323871439201337</v>
      </c>
      <c r="BF18" s="13">
        <f t="shared" si="37"/>
        <v>8.0114524854610902</v>
      </c>
      <c r="BG18" s="20">
        <f t="shared" si="7"/>
        <v>58.059022502120392</v>
      </c>
      <c r="BH18" s="59">
        <f t="shared" si="8"/>
        <v>299.92249497057441</v>
      </c>
      <c r="BI18" s="59">
        <f ca="1">AVERAGE(OFFSET($BH$3,0,0,'Données projet'!$E$11+1,1))-AVERAGE(OFFSET($H$3,0,0,'Données projet'!$E$11+1,1))</f>
        <v>524.01140973345832</v>
      </c>
      <c r="BJ18" s="59">
        <f t="shared" si="38"/>
        <v>315.59942237999621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60.962765218669297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85</v>
      </c>
      <c r="BW18" s="12">
        <f>VLOOKUP(A18,'Données projet'!$A$113:$I$133,9,0)</f>
        <v>14.6</v>
      </c>
      <c r="BX18" s="12">
        <f t="array" ref="BX18">INDEX(BW:BW,MIN(IF(ISNUMBER(BW18:BW214),ROW(BW18:BW214),"")))</f>
        <v>14.6</v>
      </c>
      <c r="BY18" s="12">
        <f>IF('Données projet'!$A$114&gt;35,BY17+BX18-CG17,IF(A18&lt;'Données projet'!$A$114,$BV$205^A18,IF(A18='Données projet'!$A$114,'Données projet'!$B$114,BY17+BX18-CG17)))</f>
        <v>85</v>
      </c>
      <c r="BZ18" s="13">
        <f>BY18*VLOOKUP('Données projet'!$B$12,Paramètres!$A$1:$I$89,3,0)*VLOOKUP('Données projet'!$B$12,Paramètres!$A$1:$I$89,5,0)</f>
        <v>57.018000000000001</v>
      </c>
      <c r="CA18" s="13">
        <f t="shared" si="39"/>
        <v>16.412103612717626</v>
      </c>
      <c r="CB18" s="20">
        <f t="shared" si="10"/>
        <v>127.89076379214985</v>
      </c>
      <c r="CC18" s="59">
        <f t="shared" si="11"/>
        <v>369.75423626060388</v>
      </c>
      <c r="CD18" s="59">
        <f ca="1">AVERAGE(OFFSET($CC$3,0,0,'Données projet'!$E$12+1,1))-AVERAGE(OFFSET($H$3,0,0,'Données projet'!$E$12+1,1))</f>
        <v>358.95222991910504</v>
      </c>
      <c r="CE18" s="59">
        <f t="shared" si="40"/>
        <v>347.37506646970905</v>
      </c>
      <c r="CF18" s="15">
        <f>IF(ISNA(VLOOKUP(A18,'Données projet'!$A$113:$I$133,3,0)),0,VLOOKUP(A18,'Données projet'!$A$113:$I$133,3,0))</f>
        <v>2</v>
      </c>
      <c r="CG18" s="15">
        <f>IF(ISNA(VLOOKUP(A18,'Données projet'!$A$113:$I$133,4,0)),0,VLOOKUP(A18,'Données projet'!$A$113:$I$133,4,0))</f>
        <v>42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60.962765218669297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85</v>
      </c>
      <c r="CR18" s="12">
        <f>VLOOKUP(A18,'Données projet'!$A$139:$I$159,9,0)</f>
        <v>14.6</v>
      </c>
      <c r="CS18" s="12">
        <f t="array" ref="CS18">INDEX(CR:CR,MIN(IF(ISNUMBER(CR18:CR214),ROW(CR18:CR214),"")))</f>
        <v>14.6</v>
      </c>
      <c r="CT18" s="12">
        <f>IF('Données projet'!$A$140&gt;35,CT17+CS18-DB17,IF(A18&lt;'Données projet'!$A$140,$CQ$205^A18,IF(A18='Données projet'!$A$140,'Données projet'!$B$140,CT17+CS18-DB17)))</f>
        <v>85</v>
      </c>
      <c r="CU18" s="17">
        <f>CT18*VLOOKUP('Données projet'!$B$13,Paramètres!$A$1:$I$89,3,0)*VLOOKUP('Données projet'!$B$13,Paramètres!$A$1:$I$89,5,0)</f>
        <v>55.691999999999993</v>
      </c>
      <c r="CV18" s="13">
        <f t="shared" si="41"/>
        <v>16.074393504165204</v>
      </c>
      <c r="CW18" s="20">
        <f t="shared" si="13"/>
        <v>124.99313535308771</v>
      </c>
      <c r="CX18" s="59">
        <f t="shared" si="14"/>
        <v>366.85660782154173</v>
      </c>
      <c r="CY18" s="59">
        <f ca="1">AVERAGE(OFFSET($CX$3,0,0,'Données projet'!$E$13+1,1))-AVERAGE(OFFSET($H$3,0,0,'Données projet'!$E$13+1,1))</f>
        <v>351.7266381615546</v>
      </c>
      <c r="CZ18" s="59">
        <f t="shared" si="42"/>
        <v>340.52483243761799</v>
      </c>
      <c r="DA18" s="15">
        <f>IF(ISNA(VLOOKUP(A18,'Données projet'!$A$139:$I$159,3,0)),0,VLOOKUP(A18,'Données projet'!$A$139:$I$159,3,0))</f>
        <v>2</v>
      </c>
      <c r="DB18" s="15">
        <f>IF(ISNA(VLOOKUP(A18,'Données projet'!$A$139:$I$159,4,0)),0,VLOOKUP(A18,'Données projet'!$A$139:$I$159,4,0))</f>
        <v>42</v>
      </c>
      <c r="DC18" s="16">
        <f>IF(ISNA(VLOOKUP(A18,'Données projet'!$A$139:$I$159,5,0)),0%,VLOOKUP(A18,'Données projet'!$A$139:$I$159,5,0)*VLOOKUP('Données projet'!$B$13,Paramètres!$A$1:$I$89,7,0))</f>
        <v>8.6000000000000007E-2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2.6161867439240005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2.6161867439240005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60.962765218669297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2.8</v>
      </c>
      <c r="DO18" s="12">
        <f>IF('Données projet'!$A$166&gt;35,DO17+DN18-DW17,IF(A18&lt;'Données projet'!$A$166,$DL$205^A18,IF(A18='Données projet'!$A$166,'Données projet'!$B$166,DO17+DN18-DW17)))</f>
        <v>20.471092479852732</v>
      </c>
      <c r="DP18" s="17">
        <f>DO18*VLOOKUP('Données projet'!$B$14,Paramètres!$A$1:$I$89,3,0)*VLOOKUP('Données projet'!$B$14,Paramètres!$A$1:$I$89,5,0)</f>
        <v>17.564197347713648</v>
      </c>
      <c r="DQ18" s="13">
        <f t="shared" si="43"/>
        <v>5.7983661712048189</v>
      </c>
      <c r="DR18" s="20">
        <f t="shared" si="16"/>
        <v>40.689798128782996</v>
      </c>
      <c r="DS18" s="59">
        <f t="shared" si="17"/>
        <v>282.55327059723703</v>
      </c>
      <c r="DT18" s="59">
        <f ca="1">AVERAGE(OFFSET($DS$3,0,0,'Données projet'!$E$14+1,1))-AVERAGE(OFFSET($H$3,0,0,'Données projet'!$E$14+1,1))</f>
        <v>569.21675741362196</v>
      </c>
      <c r="DU18" s="59">
        <f t="shared" si="44"/>
        <v>321.12410801891679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60.962765218669297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>
        <f>VLOOKUP(A18,'Données projet'!$A$191:$I$211,2,0)</f>
        <v>85</v>
      </c>
      <c r="EH18" s="12">
        <f>VLOOKUP(A18,'Données projet'!$A$191:$I$211,9,0)</f>
        <v>14.6</v>
      </c>
      <c r="EI18" s="12">
        <f t="array" ref="EI18">INDEX(EH:EH,MIN(IF(ISNUMBER(EH18:EH214),ROW(EH18:EH214),"")))</f>
        <v>14.6</v>
      </c>
      <c r="EJ18" s="12">
        <f>IF('Données projet'!$A$192&gt;35,EJ17+EI18-ER17,IF(A18&lt;'Données projet'!$A$192,$EG$205^A18,IF(A18='Données projet'!$A$192,'Données projet'!$B$192,EJ17+EI18-ER17)))</f>
        <v>85</v>
      </c>
      <c r="EK18" s="17">
        <f>EJ18*VLOOKUP('Données projet'!$B$15,Paramètres!$A$1:$I$89,3,0)*VLOOKUP('Données projet'!$B$15,Paramètres!$A$1:$I$89,5,0)</f>
        <v>67.626000000000005</v>
      </c>
      <c r="EL18" s="13">
        <f t="shared" si="45"/>
        <v>19.082731089464875</v>
      </c>
      <c r="EM18" s="20">
        <f t="shared" si="19"/>
        <v>151.01770664748466</v>
      </c>
      <c r="EN18" s="59">
        <f t="shared" si="20"/>
        <v>392.88117911593872</v>
      </c>
      <c r="EO18" s="59">
        <f ca="1">AVERAGE(OFFSET($EN$3,0,0,'Données projet'!$E$15+1,1))-AVERAGE(OFFSET($H$3,0,0,'Données projet'!$E$15+1,1))</f>
        <v>416.63597645452791</v>
      </c>
      <c r="EP18" s="59">
        <f t="shared" si="46"/>
        <v>402.05920382353497</v>
      </c>
      <c r="EQ18" s="15">
        <f>IF(ISNA(VLOOKUP(A18,'Données projet'!$A$191:$I$211,3,0)),0,VLOOKUP(A18,'Données projet'!$A$191:$I$211,3,0))</f>
        <v>2</v>
      </c>
      <c r="ER18" s="15">
        <f>IF(ISNA(VLOOKUP(A18,'Données projet'!$A$191:$I$211,4,0)),0,VLOOKUP(A18,'Données projet'!$A$191:$I$211,4,0))</f>
        <v>42</v>
      </c>
      <c r="ES18" s="16">
        <f>IF(ISNA(VLOOKUP(A18,'Données projet'!$A$191:$I$211,5,0)),0%,VLOOKUP(A18,'Données projet'!$A$191:$I$211,5,0)*VLOOKUP('Données projet'!$B$15,Paramètres!$A$1:$I$89,7,0))</f>
        <v>0.10600000000000001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3.9155884655739612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3.9155884655739612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60.962765218669297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>
        <f>VLOOKUP(A18,'Données projet'!$A$217:$I$237,2,0)</f>
        <v>65</v>
      </c>
      <c r="FC18" s="12">
        <f>VLOOKUP(A18,'Données projet'!$A$217:$I$237,9,0)</f>
        <v>10.8</v>
      </c>
      <c r="FD18" s="12">
        <f t="array" ref="FD18">INDEX(FC:FC,MIN(IF(ISNUMBER(FC18:FC214),ROW(FC18:FC214),"")))</f>
        <v>10.8</v>
      </c>
      <c r="FE18" s="12">
        <f>IF('Données projet'!$A$218&gt;35,FE17+FD18-FM17,IF(A18&lt;'Données projet'!$A$218,$FB$205^A18,IF(A18='Données projet'!$A$218,'Données projet'!$B$218,FE17+FD18-FM17)))</f>
        <v>65</v>
      </c>
      <c r="FF18" s="17">
        <f>FE18*VLOOKUP('Données projet'!$B$16,Paramètres!$A$1:$I$89,3,0)*VLOOKUP('Données projet'!$B$16,Paramètres!$A$1:$I$89,5,0)</f>
        <v>56.784000000000013</v>
      </c>
      <c r="FG18" s="13">
        <f t="shared" si="47"/>
        <v>16.352574732529362</v>
      </c>
      <c r="FH18" s="20">
        <f t="shared" si="22"/>
        <v>127.37953432582198</v>
      </c>
      <c r="FI18" s="59">
        <f t="shared" si="23"/>
        <v>369.24300679427603</v>
      </c>
      <c r="FJ18" s="59">
        <f ca="1">AVERAGE(OFFSET($FI$3,0,0,'Données projet'!$E$16+1,1))-AVERAGE(OFFSET($H$3,0,0,'Données projet'!$E$16+1,1))</f>
        <v>395.57130469647603</v>
      </c>
      <c r="FK18" s="59">
        <f t="shared" si="48"/>
        <v>383.97542781562674</v>
      </c>
      <c r="FL18" s="15">
        <f>IF(ISNA(VLOOKUP(A18,'Données projet'!$A$217:$I$237,3,0)),0,VLOOKUP(A18,'Données projet'!$A$217:$I$237,3,0))</f>
        <v>2</v>
      </c>
      <c r="FM18" s="15">
        <f>IF(ISNA(VLOOKUP(A18,'Données projet'!$A$217:$I$237,4,0)),0,VLOOKUP(A18,'Données projet'!$A$217:$I$237,4,0))</f>
        <v>32</v>
      </c>
      <c r="FN18" s="16">
        <f>IF(ISNA(VLOOKUP(A18,'Données projet'!$A$217:$I$237,5,0)),0%,VLOOKUP(A18,'Données projet'!$A$217:$I$237,5,0)*VLOOKUP('Données projet'!$B$16,Paramètres!$A$1:$I$89,7,0))</f>
        <v>0.10600000000000001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3.2757864287154703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3.2757864287154703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60.962765218669297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>
        <f>VLOOKUP(A18,'Données projet'!$A$243:$I$263,2,0)</f>
        <v>40</v>
      </c>
      <c r="FX18" s="12">
        <f>VLOOKUP(A18,'Données projet'!$A$243:$I$263,9,0)</f>
        <v>2.6666666666666665</v>
      </c>
      <c r="FY18" s="12">
        <f t="array" ref="FY18">INDEX(FX:FX,MIN(IF(ISNUMBER(FX18:FX214),ROW(FX18:FX214),"")))</f>
        <v>2.6666666666666665</v>
      </c>
      <c r="FZ18" s="12">
        <f>IF('Données projet'!$A$244&gt;35,FZ17+FY18-GH17,IF(A18&lt;'Données projet'!$A$244,$FW$205^A18,IF(A18='Données projet'!$A$244,'Données projet'!$B$244,FZ17+FY18-GH17)))</f>
        <v>40</v>
      </c>
      <c r="GA18" s="17">
        <f>FZ18*VLOOKUP('Données projet'!$B$17,Paramètres!$A$1:$I$89,3,0)*VLOOKUP('Données projet'!$B$17,Paramètres!$A$1:$I$89,5,0)</f>
        <v>31.200000000000003</v>
      </c>
      <c r="GB18" s="13">
        <f t="shared" si="49"/>
        <v>9.6335657126419925</v>
      </c>
      <c r="GC18" s="20">
        <f t="shared" si="25"/>
        <v>71.118460282851473</v>
      </c>
      <c r="GD18" s="59">
        <f t="shared" si="26"/>
        <v>312.98193275130552</v>
      </c>
      <c r="GE18" s="59">
        <f ca="1">AVERAGE(OFFSET($GD$3,0,0,'Données projet'!$E$17+1,1))-AVERAGE(OFFSET($H$3,0,0,'Données projet'!$E$17+1,1))</f>
        <v>301.74744407733351</v>
      </c>
      <c r="GF18" s="59">
        <f t="shared" si="50"/>
        <v>292.46787700966991</v>
      </c>
      <c r="GG18" s="15">
        <f>IF(ISNA(VLOOKUP(A18,'Données projet'!$A$243:$I$263,3,0)),0,VLOOKUP(A18,'Données projet'!$A$243:$I$263,3,0))</f>
        <v>1</v>
      </c>
      <c r="GH18" s="15">
        <f>IF(ISNA(VLOOKUP(A18,'Données projet'!$A$243:$I$263,4,0)),0,VLOOKUP(A18,'Données projet'!$A$243:$I$263,4,0))</f>
        <v>3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60.962765218669297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>
        <f>VLOOKUP(A18,'Données projet'!$A$269:$I$289,2,0)</f>
        <v>85</v>
      </c>
      <c r="GS18" s="12">
        <f>VLOOKUP(A18,'Données projet'!$A$269:$I$289,9,0)</f>
        <v>14.6</v>
      </c>
      <c r="GT18" s="12">
        <f t="array" ref="GT18">INDEX(GS:GS,MIN(IF(ISNUMBER(GS18:GS214),ROW(GS18:GS214),"")))</f>
        <v>14.6</v>
      </c>
      <c r="GU18" s="12">
        <f>IF('Données projet'!$A$270&gt;35,GU17+GT18-HC17,IF(A18&lt;'Données projet'!$A$270,$GR$205^A18,IF(A18='Données projet'!$A$270,'Données projet'!$B$270,GU17+GT18-HC17)))</f>
        <v>85</v>
      </c>
      <c r="GV18" s="17">
        <f>GU18*VLOOKUP('Données projet'!$B$18,Paramètres!$A$1:$I$89,3,0)*VLOOKUP('Données projet'!$B$18,Paramètres!$A$1:$I$89,5,0)</f>
        <v>50.387999999999998</v>
      </c>
      <c r="GW18" s="13">
        <f t="shared" si="51"/>
        <v>14.713917230841966</v>
      </c>
      <c r="GX18" s="20">
        <f t="shared" si="28"/>
        <v>113.38583917704973</v>
      </c>
      <c r="GY18" s="59">
        <f t="shared" si="29"/>
        <v>355.24931164550378</v>
      </c>
      <c r="GZ18" s="59">
        <f ca="1">AVERAGE(OFFSET($GY$3,0,0,'Données projet'!$E$18+1,1))-AVERAGE(OFFSET($H$3,0,0,'Données projet'!$E$18+1,1))</f>
        <v>322.78672881269978</v>
      </c>
      <c r="HA18" s="59">
        <f t="shared" si="52"/>
        <v>313.08736327626434</v>
      </c>
      <c r="HB18" s="15">
        <f>IF(ISNA(VLOOKUP(A18,'Données projet'!$A$269:$I$289,3,0)),0,VLOOKUP(A18,'Données projet'!$A$269:$I$289,3,0))</f>
        <v>2</v>
      </c>
      <c r="HC18" s="15">
        <f>IF(ISNA(VLOOKUP(A18,'Données projet'!$A$269:$I$289,4,0)),0,VLOOKUP(A18,'Données projet'!$A$269:$I$289,4,0))</f>
        <v>42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2.3499999999999996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8.6166666666666654</v>
      </c>
      <c r="H19" s="67">
        <f t="shared" si="1"/>
        <v>222.20000000000002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61.119541037895225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3.65</v>
      </c>
      <c r="N19" s="13">
        <f>IF('Données projet'!$A$36&gt;35,N18+M19-V18,IF(A19&lt;'Données projet'!$A$36,$K$205^A19,IF(A19='Données projet'!$A$36,'Données projet'!$B$36,N18+M19-V18)))</f>
        <v>30.949831440200953</v>
      </c>
      <c r="O19" s="13">
        <f>N19*VLOOKUP('Données projet'!$B$9,Paramètres!$A$1:$I$89,3,0)*VLOOKUP('Données projet'!$B$9,Paramètres!$A$1:$I$89,5,0)</f>
        <v>28.003407487093821</v>
      </c>
      <c r="P19" s="13">
        <f t="shared" si="33"/>
        <v>8.7560372090925433</v>
      </c>
      <c r="Q19" s="20">
        <f t="shared" si="2"/>
        <v>64.022699512524582</v>
      </c>
      <c r="R19" s="59">
        <f t="shared" si="0"/>
        <v>307.68323887369593</v>
      </c>
      <c r="S19" s="59">
        <f ca="1">AVERAGE(OFFSET($R$3,0,0,'Données projet'!$E$9+1,1))-AVERAGE(OFFSET($H$3,0,0,'Données projet'!$E$9+1,1))</f>
        <v>473.88815717313474</v>
      </c>
      <c r="T19" s="59">
        <f t="shared" si="34"/>
        <v>287.19790203552895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61.119541037895225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3.65</v>
      </c>
      <c r="AI19" s="13">
        <f>IF('Données projet'!$A$62&gt;35,AI18+AH19-AQ18,IF(A19&lt;'Données projet'!$A$62,$AF$205^A19,IF(A19='Données projet'!$A$62,'Données projet'!$B$62,AI18+AH19-AQ18)))</f>
        <v>30.949831440200953</v>
      </c>
      <c r="AJ19" s="13">
        <f>AI19*VLOOKUP('Données projet'!$B$10,Paramètres!$A$1:$I$89,3,0)*VLOOKUP('Données projet'!$B$10,Paramètres!$A$1:$I$89,5,0)</f>
        <v>26.072138005225284</v>
      </c>
      <c r="AK19" s="13">
        <f t="shared" si="35"/>
        <v>8.2202636982343371</v>
      </c>
      <c r="AL19" s="20">
        <f t="shared" si="4"/>
        <v>59.725932966858835</v>
      </c>
      <c r="AM19" s="59">
        <f t="shared" si="5"/>
        <v>303.38647232803021</v>
      </c>
      <c r="AN19" s="59">
        <f ca="1">AVERAGE(OFFSET($AM$3,0,0,'Données projet'!$E$10+1,1))-AVERAGE(OFFSET($H$3,0,0,'Données projet'!$E$10+1,1))</f>
        <v>445.19118535527258</v>
      </c>
      <c r="AO19" s="59">
        <f t="shared" si="36"/>
        <v>270.93483242839363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61.119541037895225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3.65</v>
      </c>
      <c r="BD19" s="12">
        <f>IF('Données projet'!$A$88&gt;35,BD18+BC19-BL18,IF(A19&lt;'Données projet'!$A$88,$BA$205^A19,IF(A19='Données projet'!$A$88,'Données projet'!$B$88,BD18+BC19-BL18)))</f>
        <v>30.949831440200953</v>
      </c>
      <c r="BE19" s="13">
        <f>BD19*VLOOKUP('Données projet'!$B$11,Paramètres!$A$1:$I$89,3,0)*VLOOKUP('Données projet'!$B$11,Paramètres!$A$1:$I$89,5,0)</f>
        <v>31.383129080363769</v>
      </c>
      <c r="BF19" s="13">
        <f t="shared" si="37"/>
        <v>9.6835113353243223</v>
      </c>
      <c r="BG19" s="20">
        <f t="shared" si="7"/>
        <v>71.524398723990075</v>
      </c>
      <c r="BH19" s="59">
        <f t="shared" si="8"/>
        <v>315.18493808516143</v>
      </c>
      <c r="BI19" s="59">
        <f ca="1">AVERAGE(OFFSET($BH$3,0,0,'Données projet'!$E$11+1,1))-AVERAGE(OFFSET($H$3,0,0,'Données projet'!$E$11+1,1))</f>
        <v>524.01140973345832</v>
      </c>
      <c r="BJ19" s="59">
        <f t="shared" si="38"/>
        <v>315.59942237999621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61.119541037895225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16</v>
      </c>
      <c r="BY19" s="12">
        <f>IF('Données projet'!$A$114&gt;35,BY18+BX19-CG18,IF(A19&lt;'Données projet'!$A$114,$BV$205^A19,IF(A19='Données projet'!$A$114,'Données projet'!$B$114,BY18+BX19-CG18)))</f>
        <v>59</v>
      </c>
      <c r="BZ19" s="13">
        <f>BY19*VLOOKUP('Données projet'!$B$12,Paramètres!$A$1:$I$89,3,0)*VLOOKUP('Données projet'!$B$12,Paramètres!$A$1:$I$89,5,0)</f>
        <v>39.577200000000005</v>
      </c>
      <c r="CA19" s="13">
        <f t="shared" si="39"/>
        <v>11.886514509066235</v>
      </c>
      <c r="CB19" s="20">
        <f t="shared" si="10"/>
        <v>89.632636103290352</v>
      </c>
      <c r="CC19" s="59">
        <f t="shared" si="11"/>
        <v>333.29317546446174</v>
      </c>
      <c r="CD19" s="59">
        <f ca="1">AVERAGE(OFFSET($CC$3,0,0,'Données projet'!$E$12+1,1))-AVERAGE(OFFSET($H$3,0,0,'Données projet'!$E$12+1,1))</f>
        <v>358.95222991910504</v>
      </c>
      <c r="CE19" s="59">
        <f t="shared" si="40"/>
        <v>347.37506646970905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61.119541037895225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16</v>
      </c>
      <c r="CT19" s="12">
        <f>IF('Données projet'!$A$140&gt;35,CT18+CS19-DB18,IF(A19&lt;'Données projet'!$A$140,$CQ$205^A19,IF(A19='Données projet'!$A$140,'Données projet'!$B$140,CT18+CS19-DB18)))</f>
        <v>59</v>
      </c>
      <c r="CU19" s="17">
        <f>CT19*VLOOKUP('Données projet'!$B$13,Paramètres!$A$1:$I$89,3,0)*VLOOKUP('Données projet'!$B$13,Paramètres!$A$1:$I$89,5,0)</f>
        <v>38.656799999999997</v>
      </c>
      <c r="CV19" s="13">
        <f t="shared" si="41"/>
        <v>11.641926965635404</v>
      </c>
      <c r="CW19" s="20">
        <f t="shared" si="13"/>
        <v>87.603616131814988</v>
      </c>
      <c r="CX19" s="59">
        <f t="shared" si="14"/>
        <v>331.26415549298633</v>
      </c>
      <c r="CY19" s="59">
        <f ca="1">AVERAGE(OFFSET($CX$3,0,0,'Données projet'!$E$13+1,1))-AVERAGE(OFFSET($H$3,0,0,'Données projet'!$E$13+1,1))</f>
        <v>351.7266381615546</v>
      </c>
      <c r="CZ19" s="59">
        <f t="shared" si="42"/>
        <v>340.52483243761799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2.5648849175920008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2.5648849175920008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61.119541037895225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2.8</v>
      </c>
      <c r="DO19" s="12">
        <f>IF('Données projet'!$A$166&gt;35,DO18+DN19-DW18,IF(A19&lt;'Données projet'!$A$166,$DL$205^A19,IF(A19='Données projet'!$A$166,'Données projet'!$B$166,DO18+DN19-DW18)))</f>
        <v>25.035162898423533</v>
      </c>
      <c r="DP19" s="17">
        <f>DO19*VLOOKUP('Données projet'!$B$14,Paramètres!$A$1:$I$89,3,0)*VLOOKUP('Données projet'!$B$14,Paramètres!$A$1:$I$89,5,0)</f>
        <v>21.480169766847393</v>
      </c>
      <c r="DQ19" s="13">
        <f t="shared" si="43"/>
        <v>6.9269265873873334</v>
      </c>
      <c r="DR19" s="20">
        <f t="shared" si="16"/>
        <v>49.475692816958805</v>
      </c>
      <c r="DS19" s="59">
        <f t="shared" si="17"/>
        <v>293.13623217813017</v>
      </c>
      <c r="DT19" s="59">
        <f ca="1">AVERAGE(OFFSET($DS$3,0,0,'Données projet'!$E$14+1,1))-AVERAGE(OFFSET($H$3,0,0,'Données projet'!$E$14+1,1))</f>
        <v>569.21675741362196</v>
      </c>
      <c r="DU19" s="59">
        <f t="shared" si="44"/>
        <v>321.12410801891679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61.119541037895225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16</v>
      </c>
      <c r="EJ19" s="12">
        <f>IF('Données projet'!$A$192&gt;35,EJ18+EI19-ER18,IF(A19&lt;'Données projet'!$A$192,$EG$205^A19,IF(A19='Données projet'!$A$192,'Données projet'!$B$192,EJ18+EI19-ER18)))</f>
        <v>59</v>
      </c>
      <c r="EK19" s="17">
        <f>EJ19*VLOOKUP('Données projet'!$B$15,Paramètres!$A$1:$I$89,3,0)*VLOOKUP('Données projet'!$B$15,Paramètres!$A$1:$I$89,5,0)</f>
        <v>46.940400000000004</v>
      </c>
      <c r="EL19" s="13">
        <f t="shared" si="45"/>
        <v>13.82072434588865</v>
      </c>
      <c r="EM19" s="20">
        <f t="shared" si="19"/>
        <v>105.82562490242275</v>
      </c>
      <c r="EN19" s="59">
        <f t="shared" si="20"/>
        <v>349.48616426359411</v>
      </c>
      <c r="EO19" s="59">
        <f ca="1">AVERAGE(OFFSET($EN$3,0,0,'Données projet'!$E$15+1,1))-AVERAGE(OFFSET($H$3,0,0,'Données projet'!$E$15+1,1))</f>
        <v>416.63597645452791</v>
      </c>
      <c r="EP19" s="59">
        <f t="shared" si="46"/>
        <v>402.05920382353497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3.8388061640371975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3.8388061640371975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61.119541037895225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13.8</v>
      </c>
      <c r="FE19" s="12">
        <f>IF('Données projet'!$A$218&gt;35,FE18+FD19-FM18,IF(A19&lt;'Données projet'!$A$218,$FB$205^A19,IF(A19='Données projet'!$A$218,'Données projet'!$B$218,FE18+FD19-FM18)))</f>
        <v>46.8</v>
      </c>
      <c r="FF19" s="17">
        <f>FE19*VLOOKUP('Données projet'!$B$16,Paramètres!$A$1:$I$89,3,0)*VLOOKUP('Données projet'!$B$16,Paramètres!$A$1:$I$89,5,0)</f>
        <v>40.884480000000003</v>
      </c>
      <c r="FG19" s="13">
        <f t="shared" si="47"/>
        <v>12.23277918777527</v>
      </c>
      <c r="FH19" s="20">
        <f t="shared" si="22"/>
        <v>92.512559752041952</v>
      </c>
      <c r="FI19" s="59">
        <f t="shared" si="23"/>
        <v>336.17309911321331</v>
      </c>
      <c r="FJ19" s="59">
        <f ca="1">AVERAGE(OFFSET($FI$3,0,0,'Données projet'!$E$16+1,1))-AVERAGE(OFFSET($H$3,0,0,'Données projet'!$E$16+1,1))</f>
        <v>395.57130469647603</v>
      </c>
      <c r="FK19" s="59">
        <f t="shared" si="48"/>
        <v>383.97542781562674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3.2115502548807919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3.2115502548807919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61.119541037895225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9.6</v>
      </c>
      <c r="FZ19" s="12">
        <f>IF('Données projet'!$A$244&gt;35,FZ18+FY19-GH18,IF(A19&lt;'Données projet'!$A$244,$FW$205^A19,IF(A19='Données projet'!$A$244,'Données projet'!$B$244,FZ18+FY19-GH18)))</f>
        <v>46.6</v>
      </c>
      <c r="GA19" s="17">
        <f>FZ19*VLOOKUP('Données projet'!$B$17,Paramètres!$A$1:$I$89,3,0)*VLOOKUP('Données projet'!$B$17,Paramètres!$A$1:$I$89,5,0)</f>
        <v>36.347999999999999</v>
      </c>
      <c r="GB19" s="13">
        <f t="shared" si="49"/>
        <v>11.025356771848859</v>
      </c>
      <c r="GC19" s="20">
        <f t="shared" si="25"/>
        <v>82.508596377636763</v>
      </c>
      <c r="GD19" s="59">
        <f t="shared" si="26"/>
        <v>326.16913573880811</v>
      </c>
      <c r="GE19" s="59">
        <f ca="1">AVERAGE(OFFSET($GD$3,0,0,'Données projet'!$E$17+1,1))-AVERAGE(OFFSET($H$3,0,0,'Données projet'!$E$17+1,1))</f>
        <v>301.74744407733351</v>
      </c>
      <c r="GF19" s="59">
        <f t="shared" si="50"/>
        <v>292.46787700966991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61.119541037895225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16</v>
      </c>
      <c r="GU19" s="12">
        <f>IF('Données projet'!$A$270&gt;35,GU18+GT19-HC18,IF(A19&lt;'Données projet'!$A$270,$GR$205^A19,IF(A19='Données projet'!$A$270,'Données projet'!$B$270,GU18+GT19-HC18)))</f>
        <v>59</v>
      </c>
      <c r="GV19" s="17">
        <f>GU19*VLOOKUP('Données projet'!$B$18,Paramètres!$A$1:$I$89,3,0)*VLOOKUP('Données projet'!$B$18,Paramètres!$A$1:$I$89,5,0)</f>
        <v>34.975200000000001</v>
      </c>
      <c r="GW19" s="13">
        <f t="shared" si="51"/>
        <v>10.656598006977973</v>
      </c>
      <c r="GX19" s="20">
        <f t="shared" si="28"/>
        <v>79.475381528819966</v>
      </c>
      <c r="GY19" s="59">
        <f t="shared" si="29"/>
        <v>323.13592088999133</v>
      </c>
      <c r="GZ19" s="59">
        <f ca="1">AVERAGE(OFFSET($GY$3,0,0,'Données projet'!$E$18+1,1))-AVERAGE(OFFSET($H$3,0,0,'Données projet'!$E$18+1,1))</f>
        <v>322.78672881269978</v>
      </c>
      <c r="HA19" s="59">
        <f t="shared" si="52"/>
        <v>313.08736327626434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</v>
      </c>
      <c r="HI19" s="21">
        <f>EXP(-LN(2)/2)*HI18+(1-EXP(-LN(2)/2))/(LN(2)/2)*HC19*HF19*VLOOKUP('Données projet'!$B$18,Paramètres!$A$1:$I$89,3,0)*0.475*44/12</f>
        <v>0</v>
      </c>
      <c r="HJ19" s="22">
        <f t="shared" si="30"/>
        <v>0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2.3499999999999996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8.6166666666666654</v>
      </c>
      <c r="H20" s="67">
        <f t="shared" si="1"/>
        <v>222.20000000000002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61.273597147155812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3.65</v>
      </c>
      <c r="N20" s="13">
        <f>IF('Données projet'!$A$36&gt;35,N19+M20-V19,IF(A20&lt;'Données projet'!$A$36,$K$205^A20,IF(A20='Données projet'!$A$36,'Données projet'!$B$36,N19+M20-V19)))</f>
        <v>38.355215845858055</v>
      </c>
      <c r="O20" s="13">
        <f>N20*VLOOKUP('Données projet'!$B$9,Paramètres!$A$1:$I$89,3,0)*VLOOKUP('Données projet'!$B$9,Paramètres!$A$1:$I$89,5,0)</f>
        <v>34.703799297332367</v>
      </c>
      <c r="P20" s="13">
        <f t="shared" si="33"/>
        <v>10.583497277259243</v>
      </c>
      <c r="Q20" s="20">
        <f t="shared" si="2"/>
        <v>78.875374867413711</v>
      </c>
      <c r="R20" s="59">
        <f t="shared" si="0"/>
        <v>324.32300885142945</v>
      </c>
      <c r="S20" s="59">
        <f ca="1">AVERAGE(OFFSET($R$3,0,0,'Données projet'!$E$9+1,1))-AVERAGE(OFFSET($H$3,0,0,'Données projet'!$E$9+1,1))</f>
        <v>473.88815717313474</v>
      </c>
      <c r="T20" s="59">
        <f t="shared" si="34"/>
        <v>287.19790203552895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61.273597147155812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3.65</v>
      </c>
      <c r="AI20" s="13">
        <f>IF('Données projet'!$A$62&gt;35,AI19+AH20-AQ19,IF(A20&lt;'Données projet'!$A$62,$AF$205^A20,IF(A20='Données projet'!$A$62,'Données projet'!$B$62,AI19+AH20-AQ19)))</f>
        <v>38.355215845858055</v>
      </c>
      <c r="AJ20" s="13">
        <f>AI20*VLOOKUP('Données projet'!$B$10,Paramètres!$A$1:$I$89,3,0)*VLOOKUP('Données projet'!$B$10,Paramètres!$A$1:$I$89,5,0)</f>
        <v>32.310433828550828</v>
      </c>
      <c r="AK20" s="13">
        <f t="shared" si="35"/>
        <v>9.9359032392271498</v>
      </c>
      <c r="AL20" s="20">
        <f t="shared" si="4"/>
        <v>73.579037059713301</v>
      </c>
      <c r="AM20" s="59">
        <f t="shared" si="5"/>
        <v>319.02667104372904</v>
      </c>
      <c r="AN20" s="59">
        <f ca="1">AVERAGE(OFFSET($AM$3,0,0,'Données projet'!$E$10+1,1))-AVERAGE(OFFSET($H$3,0,0,'Données projet'!$E$10+1,1))</f>
        <v>445.19118535527258</v>
      </c>
      <c r="AO20" s="59">
        <f t="shared" si="36"/>
        <v>270.93483242839363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61.273597147155812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3.65</v>
      </c>
      <c r="BD20" s="12">
        <f>IF('Données projet'!$A$88&gt;35,BD19+BC20-BL19,IF(A20&lt;'Données projet'!$A$88,$BA$205^A20,IF(A20='Données projet'!$A$88,'Données projet'!$B$88,BD19+BC20-BL19)))</f>
        <v>38.355215845858055</v>
      </c>
      <c r="BE20" s="13">
        <f>BD20*VLOOKUP('Données projet'!$B$11,Paramètres!$A$1:$I$89,3,0)*VLOOKUP('Données projet'!$B$11,Paramètres!$A$1:$I$89,5,0)</f>
        <v>38.892188867700071</v>
      </c>
      <c r="BF20" s="13">
        <f t="shared" si="37"/>
        <v>11.704543208803392</v>
      </c>
      <c r="BG20" s="20">
        <f t="shared" si="7"/>
        <v>88.122641699910204</v>
      </c>
      <c r="BH20" s="59">
        <f t="shared" si="8"/>
        <v>333.57027568392596</v>
      </c>
      <c r="BI20" s="59">
        <f ca="1">AVERAGE(OFFSET($BH$3,0,0,'Données projet'!$E$11+1,1))-AVERAGE(OFFSET($H$3,0,0,'Données projet'!$E$11+1,1))</f>
        <v>524.01140973345832</v>
      </c>
      <c r="BJ20" s="59">
        <f t="shared" si="38"/>
        <v>315.59942237999621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61.273597147155812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16</v>
      </c>
      <c r="BY20" s="12">
        <f>IF('Données projet'!$A$114&gt;35,BY19+BX20-CG19,IF(A20&lt;'Données projet'!$A$114,$BV$205^A20,IF(A20='Données projet'!$A$114,'Données projet'!$B$114,BY19+BX20-CG19)))</f>
        <v>75</v>
      </c>
      <c r="BZ20" s="13">
        <f>BY20*VLOOKUP('Données projet'!$B$12,Paramètres!$A$1:$I$89,3,0)*VLOOKUP('Données projet'!$B$12,Paramètres!$A$1:$I$89,5,0)</f>
        <v>50.31</v>
      </c>
      <c r="CA20" s="13">
        <f t="shared" si="39"/>
        <v>14.693789693291551</v>
      </c>
      <c r="CB20" s="20">
        <f t="shared" si="10"/>
        <v>113.21493371581612</v>
      </c>
      <c r="CC20" s="59">
        <f t="shared" si="11"/>
        <v>358.66256769983187</v>
      </c>
      <c r="CD20" s="59">
        <f ca="1">AVERAGE(OFFSET($CC$3,0,0,'Données projet'!$E$12+1,1))-AVERAGE(OFFSET($H$3,0,0,'Données projet'!$E$12+1,1))</f>
        <v>358.95222991910504</v>
      </c>
      <c r="CE20" s="59">
        <f t="shared" si="40"/>
        <v>347.37506646970905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61.273597147155812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16</v>
      </c>
      <c r="CT20" s="12">
        <f>IF('Données projet'!$A$140&gt;35,CT19+CS20-DB19,IF(A20&lt;'Données projet'!$A$140,$CQ$205^A20,IF(A20='Données projet'!$A$140,'Données projet'!$B$140,CT19+CS20-DB19)))</f>
        <v>75</v>
      </c>
      <c r="CU20" s="17">
        <f>CT20*VLOOKUP('Données projet'!$B$13,Paramètres!$A$1:$I$89,3,0)*VLOOKUP('Données projet'!$B$13,Paramètres!$A$1:$I$89,5,0)</f>
        <v>49.14</v>
      </c>
      <c r="CV20" s="13">
        <f t="shared" si="41"/>
        <v>14.391437147300868</v>
      </c>
      <c r="CW20" s="20">
        <f t="shared" si="13"/>
        <v>110.65058636488233</v>
      </c>
      <c r="CX20" s="59">
        <f t="shared" si="14"/>
        <v>356.09822034889811</v>
      </c>
      <c r="CY20" s="59">
        <f ca="1">AVERAGE(OFFSET($CX$3,0,0,'Données projet'!$E$13+1,1))-AVERAGE(OFFSET($H$3,0,0,'Données projet'!$E$13+1,1))</f>
        <v>351.7266381615546</v>
      </c>
      <c r="CZ20" s="59">
        <f t="shared" si="42"/>
        <v>340.52483243761799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2.5145890887833473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2.5145890887833473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61.273597147155812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2.8</v>
      </c>
      <c r="DO20" s="12">
        <f>IF('Données projet'!$A$166&gt;35,DO19+DN20-DW19,IF(A20&lt;'Données projet'!$A$166,$DL$205^A20,IF(A20='Données projet'!$A$166,'Données projet'!$B$166,DO19+DN20-DW19)))</f>
        <v>30.61680181296855</v>
      </c>
      <c r="DP20" s="17">
        <f>DO20*VLOOKUP('Données projet'!$B$14,Paramètres!$A$1:$I$89,3,0)*VLOOKUP('Données projet'!$B$14,Paramètres!$A$1:$I$89,5,0)</f>
        <v>26.26921595552702</v>
      </c>
      <c r="DQ20" s="13">
        <f t="shared" si="43"/>
        <v>8.2751434680579159</v>
      </c>
      <c r="DR20" s="20">
        <f t="shared" si="16"/>
        <v>60.164759329410423</v>
      </c>
      <c r="DS20" s="59">
        <f t="shared" si="17"/>
        <v>305.6123933134262</v>
      </c>
      <c r="DT20" s="59">
        <f ca="1">AVERAGE(OFFSET($DS$3,0,0,'Données projet'!$E$14+1,1))-AVERAGE(OFFSET($H$3,0,0,'Données projet'!$E$14+1,1))</f>
        <v>569.21675741362196</v>
      </c>
      <c r="DU20" s="59">
        <f t="shared" si="44"/>
        <v>321.12410801891679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61.273597147155812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16</v>
      </c>
      <c r="EJ20" s="12">
        <f>IF('Données projet'!$A$192&gt;35,EJ19+EI20-ER19,IF(A20&lt;'Données projet'!$A$192,$EG$205^A20,IF(A20='Données projet'!$A$192,'Données projet'!$B$192,EJ19+EI20-ER19)))</f>
        <v>75</v>
      </c>
      <c r="EK20" s="17">
        <f>EJ20*VLOOKUP('Données projet'!$B$15,Paramètres!$A$1:$I$89,3,0)*VLOOKUP('Données projet'!$B$15,Paramètres!$A$1:$I$89,5,0)</f>
        <v>59.67</v>
      </c>
      <c r="EL20" s="13">
        <f t="shared" si="45"/>
        <v>17.084807896591332</v>
      </c>
      <c r="EM20" s="20">
        <f t="shared" si="19"/>
        <v>133.68129041989656</v>
      </c>
      <c r="EN20" s="59">
        <f t="shared" si="20"/>
        <v>379.12892440391232</v>
      </c>
      <c r="EO20" s="59">
        <f ca="1">AVERAGE(OFFSET($EN$3,0,0,'Données projet'!$E$15+1,1))-AVERAGE(OFFSET($H$3,0,0,'Données projet'!$E$15+1,1))</f>
        <v>416.63597645452791</v>
      </c>
      <c r="EP20" s="59">
        <f t="shared" si="46"/>
        <v>402.05920382353497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3.7635295166009901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3.7635295166009901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61.273597147155812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13.8</v>
      </c>
      <c r="FE20" s="12">
        <f>IF('Données projet'!$A$218&gt;35,FE19+FD20-FM19,IF(A20&lt;'Données projet'!$A$218,$FB$205^A20,IF(A20='Données projet'!$A$218,'Données projet'!$B$218,FE19+FD20-FM19)))</f>
        <v>60.599999999999994</v>
      </c>
      <c r="FF20" s="17">
        <f>FE20*VLOOKUP('Données projet'!$B$16,Paramètres!$A$1:$I$89,3,0)*VLOOKUP('Données projet'!$B$16,Paramètres!$A$1:$I$89,5,0)</f>
        <v>52.940159999999999</v>
      </c>
      <c r="FG20" s="13">
        <f t="shared" si="47"/>
        <v>15.37052534377243</v>
      </c>
      <c r="FH20" s="20">
        <f t="shared" si="22"/>
        <v>118.97444364040366</v>
      </c>
      <c r="FI20" s="59">
        <f t="shared" si="23"/>
        <v>364.42207762441944</v>
      </c>
      <c r="FJ20" s="59">
        <f ca="1">AVERAGE(OFFSET($FI$3,0,0,'Données projet'!$E$16+1,1))-AVERAGE(OFFSET($H$3,0,0,'Données projet'!$E$16+1,1))</f>
        <v>395.57130469647603</v>
      </c>
      <c r="FK20" s="59">
        <f t="shared" si="48"/>
        <v>383.97542781562674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3.1485737132348146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3.1485737132348146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61.273597147155812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9.6</v>
      </c>
      <c r="FZ20" s="12">
        <f>IF('Données projet'!$A$244&gt;35,FZ19+FY20-GH19,IF(A20&lt;'Données projet'!$A$244,$FW$205^A20,IF(A20='Données projet'!$A$244,'Données projet'!$B$244,FZ19+FY20-GH19)))</f>
        <v>56.2</v>
      </c>
      <c r="GA20" s="17">
        <f>FZ20*VLOOKUP('Données projet'!$B$17,Paramètres!$A$1:$I$89,3,0)*VLOOKUP('Données projet'!$B$17,Paramètres!$A$1:$I$89,5,0)</f>
        <v>43.836000000000006</v>
      </c>
      <c r="GB20" s="13">
        <f t="shared" si="49"/>
        <v>13.009897179721728</v>
      </c>
      <c r="GC20" s="20">
        <f t="shared" si="25"/>
        <v>99.006604254682017</v>
      </c>
      <c r="GD20" s="59">
        <f t="shared" si="26"/>
        <v>344.45423823869777</v>
      </c>
      <c r="GE20" s="59">
        <f ca="1">AVERAGE(OFFSET($GD$3,0,0,'Données projet'!$E$17+1,1))-AVERAGE(OFFSET($H$3,0,0,'Données projet'!$E$17+1,1))</f>
        <v>301.74744407733351</v>
      </c>
      <c r="GF20" s="59">
        <f t="shared" si="50"/>
        <v>292.46787700966991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61.273597147155812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16</v>
      </c>
      <c r="GU20" s="12">
        <f>IF('Données projet'!$A$270&gt;35,GU19+GT20-HC19,IF(A20&lt;'Données projet'!$A$270,$GR$205^A20,IF(A20='Données projet'!$A$270,'Données projet'!$B$270,GU19+GT20-HC19)))</f>
        <v>75</v>
      </c>
      <c r="GV20" s="17">
        <f>GU20*VLOOKUP('Données projet'!$B$18,Paramètres!$A$1:$I$89,3,0)*VLOOKUP('Données projet'!$B$18,Paramètres!$A$1:$I$89,5,0)</f>
        <v>44.46</v>
      </c>
      <c r="GW20" s="13">
        <f t="shared" si="51"/>
        <v>13.17339997701186</v>
      </c>
      <c r="GX20" s="20">
        <f t="shared" si="28"/>
        <v>100.378171626629</v>
      </c>
      <c r="GY20" s="59">
        <f t="shared" si="29"/>
        <v>345.82580561064475</v>
      </c>
      <c r="GZ20" s="59">
        <f ca="1">AVERAGE(OFFSET($GY$3,0,0,'Données projet'!$E$18+1,1))-AVERAGE(OFFSET($H$3,0,0,'Données projet'!$E$18+1,1))</f>
        <v>322.78672881269978</v>
      </c>
      <c r="HA20" s="59">
        <f t="shared" si="52"/>
        <v>313.08736327626434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0</v>
      </c>
      <c r="HI20" s="21">
        <f>EXP(-LN(2)/2)*HI19+(1-EXP(-LN(2)/2))/(LN(2)/2)*HC20*HF20*VLOOKUP('Données projet'!$B$18,Paramètres!$A$1:$I$89,3,0)*0.475*44/12</f>
        <v>0</v>
      </c>
      <c r="HJ20" s="22">
        <f t="shared" si="30"/>
        <v>0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2.3499999999999996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8.6166666666666654</v>
      </c>
      <c r="H21" s="67">
        <f t="shared" si="1"/>
        <v>222.20000000000002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61.424980727338578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3.65</v>
      </c>
      <c r="N21" s="13">
        <f>IF('Données projet'!$A$36&gt;35,N20+M21-V20,IF(A21&lt;'Données projet'!$A$36,$K$205^A21,IF(A21='Données projet'!$A$36,'Données projet'!$B$36,N20+M21-V20)))</f>
        <v>47.532490941824946</v>
      </c>
      <c r="O21" s="13">
        <f>N21*VLOOKUP('Données projet'!$B$9,Paramètres!$A$1:$I$89,3,0)*VLOOKUP('Données projet'!$B$9,Paramètres!$A$1:$I$89,5,0)</f>
        <v>43.007397804163212</v>
      </c>
      <c r="P21" s="13">
        <f t="shared" si="33"/>
        <v>12.792363936215189</v>
      </c>
      <c r="Q21" s="20">
        <f t="shared" si="2"/>
        <v>97.184585031159045</v>
      </c>
      <c r="R21" s="59">
        <f t="shared" si="0"/>
        <v>344.40951436473381</v>
      </c>
      <c r="S21" s="59">
        <f ca="1">AVERAGE(OFFSET($R$3,0,0,'Données projet'!$E$9+1,1))-AVERAGE(OFFSET($H$3,0,0,'Données projet'!$E$9+1,1))</f>
        <v>473.88815717313474</v>
      </c>
      <c r="T21" s="59">
        <f t="shared" si="34"/>
        <v>287.19790203552895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61.424980727338578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3.65</v>
      </c>
      <c r="AI21" s="13">
        <f>IF('Données projet'!$A$62&gt;35,AI20+AH21-AQ20,IF(A21&lt;'Données projet'!$A$62,$AF$205^A21,IF(A21='Données projet'!$A$62,'Données projet'!$B$62,AI20+AH21-AQ20)))</f>
        <v>47.532490941824946</v>
      </c>
      <c r="AJ21" s="13">
        <f>AI21*VLOOKUP('Données projet'!$B$10,Paramètres!$A$1:$I$89,3,0)*VLOOKUP('Données projet'!$B$10,Paramètres!$A$1:$I$89,5,0)</f>
        <v>40.041370369393334</v>
      </c>
      <c r="AK21" s="13">
        <f t="shared" si="35"/>
        <v>12.009611467876571</v>
      </c>
      <c r="AL21" s="20">
        <f t="shared" si="4"/>
        <v>90.655460033245092</v>
      </c>
      <c r="AM21" s="59">
        <f t="shared" si="5"/>
        <v>337.88038936681988</v>
      </c>
      <c r="AN21" s="59">
        <f ca="1">AVERAGE(OFFSET($AM$3,0,0,'Données projet'!$E$10+1,1))-AVERAGE(OFFSET($H$3,0,0,'Données projet'!$E$10+1,1))</f>
        <v>445.19118535527258</v>
      </c>
      <c r="AO21" s="59">
        <f t="shared" si="36"/>
        <v>270.93483242839363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61.424980727338578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3.65</v>
      </c>
      <c r="BD21" s="12">
        <f>IF('Données projet'!$A$88&gt;35,BD20+BC21-BL20,IF(A21&lt;'Données projet'!$A$88,$BA$205^A21,IF(A21='Données projet'!$A$88,'Données projet'!$B$88,BD20+BC21-BL20)))</f>
        <v>47.532490941824946</v>
      </c>
      <c r="BE21" s="13">
        <f>BD21*VLOOKUP('Données projet'!$B$11,Paramètres!$A$1:$I$89,3,0)*VLOOKUP('Données projet'!$B$11,Paramètres!$A$1:$I$89,5,0)</f>
        <v>48.197945815010499</v>
      </c>
      <c r="BF21" s="13">
        <f t="shared" si="37"/>
        <v>14.147381769152156</v>
      </c>
      <c r="BG21" s="20">
        <f t="shared" si="7"/>
        <v>108.58477887574996</v>
      </c>
      <c r="BH21" s="59">
        <f t="shared" si="8"/>
        <v>355.80970820932475</v>
      </c>
      <c r="BI21" s="59">
        <f ca="1">AVERAGE(OFFSET($BH$3,0,0,'Données projet'!$E$11+1,1))-AVERAGE(OFFSET($H$3,0,0,'Données projet'!$E$11+1,1))</f>
        <v>524.01140973345832</v>
      </c>
      <c r="BJ21" s="59">
        <f t="shared" si="38"/>
        <v>315.59942237999621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61.424980727338578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16</v>
      </c>
      <c r="BY21" s="12">
        <f>IF('Données projet'!$A$114&gt;35,BY20+BX21-CG20,IF(A21&lt;'Données projet'!$A$114,$BV$205^A21,IF(A21='Données projet'!$A$114,'Données projet'!$B$114,BY20+BX21-CG20)))</f>
        <v>91</v>
      </c>
      <c r="BZ21" s="13">
        <f>BY21*VLOOKUP('Données projet'!$B$12,Paramètres!$A$1:$I$89,3,0)*VLOOKUP('Données projet'!$B$12,Paramètres!$A$1:$I$89,5,0)</f>
        <v>61.042800000000007</v>
      </c>
      <c r="CA21" s="13">
        <f t="shared" si="39"/>
        <v>17.431656590722341</v>
      </c>
      <c r="CB21" s="20">
        <f t="shared" si="10"/>
        <v>136.67634522884143</v>
      </c>
      <c r="CC21" s="59">
        <f t="shared" si="11"/>
        <v>383.90127456241623</v>
      </c>
      <c r="CD21" s="59">
        <f ca="1">AVERAGE(OFFSET($CC$3,0,0,'Données projet'!$E$12+1,1))-AVERAGE(OFFSET($H$3,0,0,'Données projet'!$E$12+1,1))</f>
        <v>358.95222991910504</v>
      </c>
      <c r="CE21" s="59">
        <f t="shared" si="40"/>
        <v>347.37506646970905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61.424980727338578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16</v>
      </c>
      <c r="CT21" s="12">
        <f>IF('Données projet'!$A$140&gt;35,CT20+CS21-DB20,IF(A21&lt;'Données projet'!$A$140,$CQ$205^A21,IF(A21='Données projet'!$A$140,'Données projet'!$B$140,CT20+CS21-DB20)))</f>
        <v>91</v>
      </c>
      <c r="CU21" s="17">
        <f>CT21*VLOOKUP('Données projet'!$B$13,Paramètres!$A$1:$I$89,3,0)*VLOOKUP('Données projet'!$B$13,Paramètres!$A$1:$I$89,5,0)</f>
        <v>59.623199999999997</v>
      </c>
      <c r="CV21" s="13">
        <f t="shared" si="41"/>
        <v>17.072967249098898</v>
      </c>
      <c r="CW21" s="20">
        <f t="shared" si="13"/>
        <v>133.57915795884722</v>
      </c>
      <c r="CX21" s="59">
        <f t="shared" si="14"/>
        <v>380.80408729242197</v>
      </c>
      <c r="CY21" s="59">
        <f ca="1">AVERAGE(OFFSET($CX$3,0,0,'Données projet'!$E$13+1,1))-AVERAGE(OFFSET($H$3,0,0,'Données projet'!$E$13+1,1))</f>
        <v>351.7266381615546</v>
      </c>
      <c r="CZ21" s="59">
        <f t="shared" si="42"/>
        <v>340.52483243761799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2.4652795305002049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2.4652795305002049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61.424980727338578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2.8</v>
      </c>
      <c r="DO21" s="12">
        <f>IF('Données projet'!$A$166&gt;35,DO20+DN21-DW20,IF(A21&lt;'Données projet'!$A$166,$DL$205^A21,IF(A21='Données projet'!$A$166,'Données projet'!$B$166,DO20+DN21-DW20)))</f>
        <v>37.442878125375486</v>
      </c>
      <c r="DP21" s="17">
        <f>DO21*VLOOKUP('Données projet'!$B$14,Paramètres!$A$1:$I$89,3,0)*VLOOKUP('Données projet'!$B$14,Paramètres!$A$1:$I$89,5,0)</f>
        <v>32.125989431572172</v>
      </c>
      <c r="DQ21" s="13">
        <f t="shared" si="43"/>
        <v>9.8857694755459775</v>
      </c>
      <c r="DR21" s="20">
        <f t="shared" si="16"/>
        <v>73.170480096564106</v>
      </c>
      <c r="DS21" s="59">
        <f t="shared" si="17"/>
        <v>320.3954094301389</v>
      </c>
      <c r="DT21" s="59">
        <f ca="1">AVERAGE(OFFSET($DS$3,0,0,'Données projet'!$E$14+1,1))-AVERAGE(OFFSET($H$3,0,0,'Données projet'!$E$14+1,1))</f>
        <v>569.21675741362196</v>
      </c>
      <c r="DU21" s="59">
        <f t="shared" si="44"/>
        <v>321.12410801891679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61.424980727338578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16</v>
      </c>
      <c r="EJ21" s="12">
        <f>IF('Données projet'!$A$192&gt;35,EJ20+EI21-ER20,IF(A21&lt;'Données projet'!$A$192,$EG$205^A21,IF(A21='Données projet'!$A$192,'Données projet'!$B$192,EJ20+EI21-ER20)))</f>
        <v>91</v>
      </c>
      <c r="EK21" s="17">
        <f>EJ21*VLOOKUP('Données projet'!$B$15,Paramètres!$A$1:$I$89,3,0)*VLOOKUP('Données projet'!$B$15,Paramètres!$A$1:$I$89,5,0)</f>
        <v>72.399600000000007</v>
      </c>
      <c r="EL21" s="13">
        <f t="shared" si="45"/>
        <v>20.268188832715463</v>
      </c>
      <c r="EM21" s="20">
        <f t="shared" si="19"/>
        <v>161.39639888364613</v>
      </c>
      <c r="EN21" s="59">
        <f t="shared" si="20"/>
        <v>408.62132821722093</v>
      </c>
      <c r="EO21" s="59">
        <f ca="1">AVERAGE(OFFSET($EN$3,0,0,'Données projet'!$E$15+1,1))-AVERAGE(OFFSET($H$3,0,0,'Données projet'!$E$15+1,1))</f>
        <v>416.63597645452791</v>
      </c>
      <c r="EP21" s="59">
        <f t="shared" si="46"/>
        <v>402.05920382353497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3.6897289983067854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3.6897289983067854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61.424980727338578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13.8</v>
      </c>
      <c r="FE21" s="12">
        <f>IF('Données projet'!$A$218&gt;35,FE20+FD21-FM20,IF(A21&lt;'Données projet'!$A$218,$FB$205^A21,IF(A21='Données projet'!$A$218,'Données projet'!$B$218,FE20+FD21-FM20)))</f>
        <v>74.399999999999991</v>
      </c>
      <c r="FF21" s="17">
        <f>FE21*VLOOKUP('Données projet'!$B$16,Paramètres!$A$1:$I$89,3,0)*VLOOKUP('Données projet'!$B$16,Paramètres!$A$1:$I$89,5,0)</f>
        <v>64.995840000000001</v>
      </c>
      <c r="FG21" s="13">
        <f t="shared" si="47"/>
        <v>18.425434860828894</v>
      </c>
      <c r="FH21" s="20">
        <f t="shared" si="22"/>
        <v>145.29205371594367</v>
      </c>
      <c r="FI21" s="59">
        <f t="shared" si="23"/>
        <v>392.51698304951844</v>
      </c>
      <c r="FJ21" s="59">
        <f ca="1">AVERAGE(OFFSET($FI$3,0,0,'Données projet'!$E$16+1,1))-AVERAGE(OFFSET($H$3,0,0,'Données projet'!$E$16+1,1))</f>
        <v>395.57130469647603</v>
      </c>
      <c r="FK21" s="59">
        <f t="shared" si="48"/>
        <v>383.97542781562674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3.0868321031586174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3.0868321031586174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61.424980727338578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9.6</v>
      </c>
      <c r="FZ21" s="12">
        <f>IF('Données projet'!$A$244&gt;35,FZ20+FY21-GH20,IF(A21&lt;'Données projet'!$A$244,$FW$205^A21,IF(A21='Données projet'!$A$244,'Données projet'!$B$244,FZ20+FY21-GH20)))</f>
        <v>65.8</v>
      </c>
      <c r="GA21" s="17">
        <f>FZ21*VLOOKUP('Données projet'!$B$17,Paramètres!$A$1:$I$89,3,0)*VLOOKUP('Données projet'!$B$17,Paramètres!$A$1:$I$89,5,0)</f>
        <v>51.323999999999998</v>
      </c>
      <c r="GB21" s="13">
        <f t="shared" si="49"/>
        <v>14.95516659950003</v>
      </c>
      <c r="GC21" s="20">
        <f t="shared" si="25"/>
        <v>115.43621516079588</v>
      </c>
      <c r="GD21" s="59">
        <f t="shared" si="26"/>
        <v>362.66114449437066</v>
      </c>
      <c r="GE21" s="59">
        <f ca="1">AVERAGE(OFFSET($GD$3,0,0,'Données projet'!$E$17+1,1))-AVERAGE(OFFSET($H$3,0,0,'Données projet'!$E$17+1,1))</f>
        <v>301.74744407733351</v>
      </c>
      <c r="GF21" s="59">
        <f t="shared" si="50"/>
        <v>292.46787700966991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61.424980727338578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16</v>
      </c>
      <c r="GU21" s="12">
        <f>IF('Données projet'!$A$270&gt;35,GU20+GT21-HC20,IF(A21&lt;'Données projet'!$A$270,$GR$205^A21,IF(A21='Données projet'!$A$270,'Données projet'!$B$270,GU20+GT21-HC20)))</f>
        <v>91</v>
      </c>
      <c r="GV21" s="17">
        <f>GU21*VLOOKUP('Données projet'!$B$18,Paramètres!$A$1:$I$89,3,0)*VLOOKUP('Données projet'!$B$18,Paramètres!$A$1:$I$89,5,0)</f>
        <v>53.944800000000001</v>
      </c>
      <c r="GW21" s="13">
        <f t="shared" si="51"/>
        <v>15.627975445731321</v>
      </c>
      <c r="GX21" s="20">
        <f t="shared" si="28"/>
        <v>121.17258390131538</v>
      </c>
      <c r="GY21" s="59">
        <f t="shared" si="29"/>
        <v>368.39751323489014</v>
      </c>
      <c r="GZ21" s="59">
        <f ca="1">AVERAGE(OFFSET($GY$3,0,0,'Données projet'!$E$18+1,1))-AVERAGE(OFFSET($H$3,0,0,'Données projet'!$E$18+1,1))</f>
        <v>322.78672881269978</v>
      </c>
      <c r="HA21" s="59">
        <f t="shared" si="52"/>
        <v>313.08736327626434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0</v>
      </c>
      <c r="HI21" s="21">
        <f>EXP(-LN(2)/2)*HI20+(1-EXP(-LN(2)/2))/(LN(2)/2)*HC21*HF21*VLOOKUP('Données projet'!$B$18,Paramètres!$A$1:$I$89,3,0)*0.475*44/12</f>
        <v>0</v>
      </c>
      <c r="HJ21" s="22">
        <f t="shared" si="30"/>
        <v>0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2.3499999999999996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8.6166666666666654</v>
      </c>
      <c r="H22" s="67">
        <f t="shared" si="1"/>
        <v>222.20000000000002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61.573738140848171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3.65</v>
      </c>
      <c r="N22" s="13">
        <f>IF('Données projet'!$A$36&gt;35,N21+M22-V21,IF(A22&lt;'Données projet'!$A$36,$K$205^A22,IF(A22='Données projet'!$A$36,'Données projet'!$B$36,N21+M22-V21)))</f>
        <v>58.90561805764559</v>
      </c>
      <c r="O22" s="13">
        <f>N22*VLOOKUP('Données projet'!$B$9,Paramètres!$A$1:$I$89,3,0)*VLOOKUP('Données projet'!$B$9,Paramètres!$A$1:$I$89,5,0)</f>
        <v>53.297803218557732</v>
      </c>
      <c r="P22" s="13">
        <f t="shared" si="33"/>
        <v>15.462240012873817</v>
      </c>
      <c r="Q22" s="20">
        <f t="shared" si="2"/>
        <v>119.75707529474329</v>
      </c>
      <c r="R22" s="59">
        <f t="shared" si="0"/>
        <v>368.74967070007551</v>
      </c>
      <c r="S22" s="59">
        <f ca="1">AVERAGE(OFFSET($R$3,0,0,'Données projet'!$E$9+1,1))-AVERAGE(OFFSET($H$3,0,0,'Données projet'!$E$9+1,1))</f>
        <v>473.88815717313474</v>
      </c>
      <c r="T22" s="59">
        <f t="shared" si="34"/>
        <v>287.19790203552895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61.573738140848171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3.65</v>
      </c>
      <c r="AI22" s="13">
        <f>IF('Données projet'!$A$62&gt;35,AI21+AH22-AQ21,IF(A22&lt;'Données projet'!$A$62,$AF$205^A22,IF(A22='Données projet'!$A$62,'Données projet'!$B$62,AI21+AH22-AQ21)))</f>
        <v>58.90561805764559</v>
      </c>
      <c r="AJ22" s="13">
        <f>AI22*VLOOKUP('Données projet'!$B$10,Paramètres!$A$1:$I$89,3,0)*VLOOKUP('Données projet'!$B$10,Paramètres!$A$1:$I$89,5,0)</f>
        <v>49.622092651760646</v>
      </c>
      <c r="AK22" s="13">
        <f t="shared" si="35"/>
        <v>14.516120390537463</v>
      </c>
      <c r="AL22" s="20">
        <f t="shared" si="4"/>
        <v>111.70738771533587</v>
      </c>
      <c r="AM22" s="59">
        <f t="shared" si="5"/>
        <v>360.69998312066809</v>
      </c>
      <c r="AN22" s="59">
        <f ca="1">AVERAGE(OFFSET($AM$3,0,0,'Données projet'!$E$10+1,1))-AVERAGE(OFFSET($H$3,0,0,'Données projet'!$E$10+1,1))</f>
        <v>445.19118535527258</v>
      </c>
      <c r="AO22" s="59">
        <f t="shared" si="36"/>
        <v>270.93483242839363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61.573738140848171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3.65</v>
      </c>
      <c r="BD22" s="12">
        <f>IF('Données projet'!$A$88&gt;35,BD21+BC22-BL21,IF(A22&lt;'Données projet'!$A$88,$BA$205^A22,IF(A22='Données projet'!$A$88,'Données projet'!$B$88,BD21+BC22-BL21)))</f>
        <v>58.90561805764559</v>
      </c>
      <c r="BE22" s="13">
        <f>BD22*VLOOKUP('Données projet'!$B$11,Paramètres!$A$1:$I$89,3,0)*VLOOKUP('Données projet'!$B$11,Paramètres!$A$1:$I$89,5,0)</f>
        <v>59.730296710452635</v>
      </c>
      <c r="BF22" s="13">
        <f t="shared" si="37"/>
        <v>17.100061689857345</v>
      </c>
      <c r="BG22" s="20">
        <f t="shared" si="7"/>
        <v>133.81287421387319</v>
      </c>
      <c r="BH22" s="59">
        <f t="shared" si="8"/>
        <v>382.80546961920538</v>
      </c>
      <c r="BI22" s="59">
        <f ca="1">AVERAGE(OFFSET($BH$3,0,0,'Données projet'!$E$11+1,1))-AVERAGE(OFFSET($H$3,0,0,'Données projet'!$E$11+1,1))</f>
        <v>524.01140973345832</v>
      </c>
      <c r="BJ22" s="59">
        <f t="shared" si="38"/>
        <v>315.59942237999621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61.573738140848171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16</v>
      </c>
      <c r="BY22" s="12">
        <f>IF('Données projet'!$A$114&gt;35,BY21+BX22-CG21,IF(A22&lt;'Données projet'!$A$114,$BV$205^A22,IF(A22='Données projet'!$A$114,'Données projet'!$B$114,BY21+BX22-CG21)))</f>
        <v>107</v>
      </c>
      <c r="BZ22" s="13">
        <f>BY22*VLOOKUP('Données projet'!$B$12,Paramètres!$A$1:$I$89,3,0)*VLOOKUP('Données projet'!$B$12,Paramètres!$A$1:$I$89,5,0)</f>
        <v>71.775599999999997</v>
      </c>
      <c r="CA22" s="13">
        <f t="shared" si="39"/>
        <v>20.113756735968991</v>
      </c>
      <c r="CB22" s="20">
        <f t="shared" si="10"/>
        <v>160.04062964847932</v>
      </c>
      <c r="CC22" s="59">
        <f t="shared" si="11"/>
        <v>409.03322505381152</v>
      </c>
      <c r="CD22" s="59">
        <f ca="1">AVERAGE(OFFSET($CC$3,0,0,'Données projet'!$E$12+1,1))-AVERAGE(OFFSET($H$3,0,0,'Données projet'!$E$12+1,1))</f>
        <v>358.95222991910504</v>
      </c>
      <c r="CE22" s="59">
        <f t="shared" si="40"/>
        <v>347.37506646970905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61.573738140848171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16</v>
      </c>
      <c r="CT22" s="12">
        <f>IF('Données projet'!$A$140&gt;35,CT21+CS22-DB21,IF(A22&lt;'Données projet'!$A$140,$CQ$205^A22,IF(A22='Données projet'!$A$140,'Données projet'!$B$140,CT21+CS22-DB21)))</f>
        <v>107</v>
      </c>
      <c r="CU22" s="17">
        <f>CT22*VLOOKUP('Données projet'!$B$13,Paramètres!$A$1:$I$89,3,0)*VLOOKUP('Données projet'!$B$13,Paramètres!$A$1:$I$89,5,0)</f>
        <v>70.106399999999994</v>
      </c>
      <c r="CV22" s="13">
        <f t="shared" si="41"/>
        <v>19.699878105234674</v>
      </c>
      <c r="CW22" s="20">
        <f t="shared" si="13"/>
        <v>156.41260103328369</v>
      </c>
      <c r="CX22" s="59">
        <f t="shared" si="14"/>
        <v>405.40519643861592</v>
      </c>
      <c r="CY22" s="59">
        <f ca="1">AVERAGE(OFFSET($CX$3,0,0,'Données projet'!$E$13+1,1))-AVERAGE(OFFSET($H$3,0,0,'Données projet'!$E$13+1,1))</f>
        <v>351.7266381615546</v>
      </c>
      <c r="CZ22" s="59">
        <f t="shared" si="42"/>
        <v>340.52483243761799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2.4169369025791343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2.4169369025791343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61.573738140848171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2.8</v>
      </c>
      <c r="DO22" s="12">
        <f>IF('Données projet'!$A$166&gt;35,DO21+DN22-DW21,IF(A22&lt;'Données projet'!$A$166,$DL$205^A22,IF(A22='Données projet'!$A$166,'Données projet'!$B$166,DO21+DN22-DW21)))</f>
        <v>45.79084160638493</v>
      </c>
      <c r="DP22" s="17">
        <f>DO22*VLOOKUP('Données projet'!$B$14,Paramètres!$A$1:$I$89,3,0)*VLOOKUP('Données projet'!$B$14,Paramètres!$A$1:$I$89,5,0)</f>
        <v>39.28854209827827</v>
      </c>
      <c r="DQ22" s="13">
        <f t="shared" si="43"/>
        <v>11.809878402817876</v>
      </c>
      <c r="DR22" s="20">
        <f t="shared" si="16"/>
        <v>88.99641570607578</v>
      </c>
      <c r="DS22" s="59">
        <f t="shared" si="17"/>
        <v>337.98901111140799</v>
      </c>
      <c r="DT22" s="59">
        <f ca="1">AVERAGE(OFFSET($DS$3,0,0,'Données projet'!$E$14+1,1))-AVERAGE(OFFSET($H$3,0,0,'Données projet'!$E$14+1,1))</f>
        <v>569.21675741362196</v>
      </c>
      <c r="DU22" s="59">
        <f t="shared" si="44"/>
        <v>321.12410801891679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61.573738140848171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16</v>
      </c>
      <c r="EJ22" s="12">
        <f>IF('Données projet'!$A$192&gt;35,EJ21+EI22-ER21,IF(A22&lt;'Données projet'!$A$192,$EG$205^A22,IF(A22='Données projet'!$A$192,'Données projet'!$B$192,EJ21+EI22-ER21)))</f>
        <v>107</v>
      </c>
      <c r="EK22" s="17">
        <f>EJ22*VLOOKUP('Données projet'!$B$15,Paramètres!$A$1:$I$89,3,0)*VLOOKUP('Données projet'!$B$15,Paramètres!$A$1:$I$89,5,0)</f>
        <v>85.129199999999997</v>
      </c>
      <c r="EL22" s="13">
        <f t="shared" si="45"/>
        <v>23.386728480923388</v>
      </c>
      <c r="EM22" s="20">
        <f t="shared" si="19"/>
        <v>188.99857543760822</v>
      </c>
      <c r="EN22" s="59">
        <f t="shared" si="20"/>
        <v>437.99117084294039</v>
      </c>
      <c r="EO22" s="59">
        <f ca="1">AVERAGE(OFFSET($EN$3,0,0,'Données projet'!$E$15+1,1))-AVERAGE(OFFSET($H$3,0,0,'Données projet'!$E$15+1,1))</f>
        <v>416.63597645452791</v>
      </c>
      <c r="EP22" s="59">
        <f t="shared" si="46"/>
        <v>402.05920382353497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3.6173756631624587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3.6173756631624587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61.573738140848171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13.8</v>
      </c>
      <c r="FE22" s="12">
        <f>IF('Données projet'!$A$218&gt;35,FE21+FD22-FM21,IF(A22&lt;'Données projet'!$A$218,$FB$205^A22,IF(A22='Données projet'!$A$218,'Données projet'!$B$218,FE21+FD22-FM21)))</f>
        <v>88.199999999999989</v>
      </c>
      <c r="FF22" s="17">
        <f>FE22*VLOOKUP('Données projet'!$B$16,Paramètres!$A$1:$I$89,3,0)*VLOOKUP('Données projet'!$B$16,Paramètres!$A$1:$I$89,5,0)</f>
        <v>77.051519999999996</v>
      </c>
      <c r="FG22" s="13">
        <f t="shared" si="47"/>
        <v>21.414697423431697</v>
      </c>
      <c r="FH22" s="20">
        <f t="shared" si="22"/>
        <v>171.49532867914351</v>
      </c>
      <c r="FI22" s="59">
        <f t="shared" si="23"/>
        <v>420.48792408447571</v>
      </c>
      <c r="FJ22" s="59">
        <f ca="1">AVERAGE(OFFSET($FI$3,0,0,'Données projet'!$E$16+1,1))-AVERAGE(OFFSET($H$3,0,0,'Données projet'!$E$16+1,1))</f>
        <v>395.57130469647603</v>
      </c>
      <c r="FK22" s="59">
        <f t="shared" si="48"/>
        <v>383.97542781562674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3.0263012083973506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3.0263012083973506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61.573738140848171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9.6</v>
      </c>
      <c r="FZ22" s="12">
        <f>IF('Données projet'!$A$244&gt;35,FZ21+FY22-GH21,IF(A22&lt;'Données projet'!$A$244,$FW$205^A22,IF(A22='Données projet'!$A$244,'Données projet'!$B$244,FZ21+FY22-GH21)))</f>
        <v>75.399999999999991</v>
      </c>
      <c r="GA22" s="17">
        <f>FZ22*VLOOKUP('Données projet'!$B$17,Paramètres!$A$1:$I$89,3,0)*VLOOKUP('Données projet'!$B$17,Paramètres!$A$1:$I$89,5,0)</f>
        <v>58.811999999999998</v>
      </c>
      <c r="GB22" s="13">
        <f t="shared" si="49"/>
        <v>16.86755663452599</v>
      </c>
      <c r="GC22" s="20">
        <f t="shared" si="25"/>
        <v>131.8085611384661</v>
      </c>
      <c r="GD22" s="59">
        <f t="shared" si="26"/>
        <v>380.8011565437983</v>
      </c>
      <c r="GE22" s="59">
        <f ca="1">AVERAGE(OFFSET($GD$3,0,0,'Données projet'!$E$17+1,1))-AVERAGE(OFFSET($H$3,0,0,'Données projet'!$E$17+1,1))</f>
        <v>301.74744407733351</v>
      </c>
      <c r="GF22" s="59">
        <f t="shared" si="50"/>
        <v>292.46787700966991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61.573738140848171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16</v>
      </c>
      <c r="GU22" s="12">
        <f>IF('Données projet'!$A$270&gt;35,GU21+GT22-HC21,IF(A22&lt;'Données projet'!$A$270,$GR$205^A22,IF(A22='Données projet'!$A$270,'Données projet'!$B$270,GU21+GT22-HC21)))</f>
        <v>107</v>
      </c>
      <c r="GV22" s="17">
        <f>GU22*VLOOKUP('Données projet'!$B$18,Paramètres!$A$1:$I$89,3,0)*VLOOKUP('Données projet'!$B$18,Paramètres!$A$1:$I$89,5,0)</f>
        <v>63.429600000000008</v>
      </c>
      <c r="GW22" s="13">
        <f t="shared" si="51"/>
        <v>18.032554436532223</v>
      </c>
      <c r="GX22" s="20">
        <f t="shared" si="28"/>
        <v>141.87991897696028</v>
      </c>
      <c r="GY22" s="59">
        <f t="shared" si="29"/>
        <v>390.87251438229248</v>
      </c>
      <c r="GZ22" s="59">
        <f ca="1">AVERAGE(OFFSET($GY$3,0,0,'Données projet'!$E$18+1,1))-AVERAGE(OFFSET($H$3,0,0,'Données projet'!$E$18+1,1))</f>
        <v>322.78672881269978</v>
      </c>
      <c r="HA22" s="59">
        <f t="shared" si="52"/>
        <v>313.08736327626434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0</v>
      </c>
      <c r="HI22" s="21">
        <f>EXP(-LN(2)/2)*HI21+(1-EXP(-LN(2)/2))/(LN(2)/2)*HC22*HF22*VLOOKUP('Données projet'!$B$18,Paramètres!$A$1:$I$89,3,0)*0.475*44/12</f>
        <v>0</v>
      </c>
      <c r="HJ22" s="22">
        <f t="shared" si="30"/>
        <v>0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2.3499999999999996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8.6166666666666654</v>
      </c>
      <c r="H23" s="67">
        <f t="shared" si="1"/>
        <v>222.20000000000002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61.719914945805115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73</v>
      </c>
      <c r="L23" s="12">
        <f>VLOOKUP(A23,'Données projet'!$A$35:$I$55,9,0)</f>
        <v>3.65</v>
      </c>
      <c r="M23" s="12">
        <f t="array" ref="M23">INDEX(L:L,MIN(IF(ISNUMBER(L23:L219),ROW(L23:L219),"")))</f>
        <v>3.65</v>
      </c>
      <c r="N23" s="13">
        <f>IF('Données projet'!$A$36&gt;35,N22+M23-V22,IF(A23&lt;'Données projet'!$A$36,$K$205^A23,IF(A23='Données projet'!$A$36,'Données projet'!$B$36,N22+M23-V22)))</f>
        <v>73</v>
      </c>
      <c r="O23" s="13">
        <f>N23*VLOOKUP('Données projet'!$B$9,Paramètres!$A$1:$I$89,3,0)*VLOOKUP('Données projet'!$B$9,Paramètres!$A$1:$I$89,5,0)</f>
        <v>66.050399999999996</v>
      </c>
      <c r="P23" s="13">
        <f t="shared" si="33"/>
        <v>18.689342126897891</v>
      </c>
      <c r="Q23" s="20">
        <f t="shared" si="2"/>
        <v>147.58838420434714</v>
      </c>
      <c r="R23" s="59">
        <f t="shared" si="0"/>
        <v>398.33918345007703</v>
      </c>
      <c r="S23" s="59">
        <f ca="1">AVERAGE(OFFSET($R$3,0,0,'Données projet'!$E$9+1,1))-AVERAGE(OFFSET($H$3,0,0,'Données projet'!$E$9+1,1))</f>
        <v>473.88815717313474</v>
      </c>
      <c r="T23" s="59">
        <f t="shared" si="34"/>
        <v>287.19790203552895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61.719914945805115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73</v>
      </c>
      <c r="AG23" s="12">
        <f>VLOOKUP(A23,'Données projet'!$A$61:$I$81,9,0)</f>
        <v>3.65</v>
      </c>
      <c r="AH23" s="12">
        <f t="array" ref="AH23">INDEX(AG:AG,MIN(IF(ISNUMBER(AG23:AG219),ROW(AG23:AG219),"")))</f>
        <v>3.65</v>
      </c>
      <c r="AI23" s="13">
        <f>IF('Données projet'!$A$62&gt;35,AI22+AH23-AQ22,IF(A23&lt;'Données projet'!$A$62,$AF$205^A23,IF(A23='Données projet'!$A$62,'Données projet'!$B$62,AI22+AH23-AQ22)))</f>
        <v>73</v>
      </c>
      <c r="AJ23" s="13">
        <f>AI23*VLOOKUP('Données projet'!$B$10,Paramètres!$A$1:$I$89,3,0)*VLOOKUP('Données projet'!$B$10,Paramètres!$A$1:$I$89,5,0)</f>
        <v>61.495200000000004</v>
      </c>
      <c r="AK23" s="13">
        <f t="shared" si="35"/>
        <v>17.545759224285259</v>
      </c>
      <c r="AL23" s="20">
        <f t="shared" si="4"/>
        <v>137.66300398229683</v>
      </c>
      <c r="AM23" s="59">
        <f t="shared" si="5"/>
        <v>388.41380322802672</v>
      </c>
      <c r="AN23" s="59">
        <f ca="1">AVERAGE(OFFSET($AM$3,0,0,'Données projet'!$E$10+1,1))-AVERAGE(OFFSET($H$3,0,0,'Données projet'!$E$10+1,1))</f>
        <v>445.19118535527258</v>
      </c>
      <c r="AO23" s="59">
        <f t="shared" si="36"/>
        <v>270.93483242839363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61.719914945805115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73</v>
      </c>
      <c r="BB23" s="12">
        <f>VLOOKUP(A23,'Données projet'!$A$87:$I$107,9,0)</f>
        <v>3.65</v>
      </c>
      <c r="BC23" s="12">
        <f t="array" ref="BC23">INDEX(BB:BB,MIN(IF(ISNUMBER(BB23:BB219),ROW(BB23:BB219),"")))</f>
        <v>3.65</v>
      </c>
      <c r="BD23" s="12">
        <f>IF('Données projet'!$A$88&gt;35,BD22+BC23-BL22,IF(A23&lt;'Données projet'!$A$88,$BA$205^A23,IF(A23='Données projet'!$A$88,'Données projet'!$B$88,BD22+BC23-BL22)))</f>
        <v>73</v>
      </c>
      <c r="BE23" s="13">
        <f>BD23*VLOOKUP('Données projet'!$B$11,Paramètres!$A$1:$I$89,3,0)*VLOOKUP('Données projet'!$B$11,Paramètres!$A$1:$I$89,5,0)</f>
        <v>74.022000000000006</v>
      </c>
      <c r="BF23" s="13">
        <f t="shared" si="37"/>
        <v>20.668991235856851</v>
      </c>
      <c r="BG23" s="20">
        <f t="shared" si="7"/>
        <v>164.92014306911736</v>
      </c>
      <c r="BH23" s="59">
        <f t="shared" si="8"/>
        <v>415.67094231484725</v>
      </c>
      <c r="BI23" s="59">
        <f ca="1">AVERAGE(OFFSET($BH$3,0,0,'Données projet'!$E$11+1,1))-AVERAGE(OFFSET($H$3,0,0,'Données projet'!$E$11+1,1))</f>
        <v>524.01140973345832</v>
      </c>
      <c r="BJ23" s="59">
        <f t="shared" si="38"/>
        <v>315.59942237999621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61.719914945805115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123</v>
      </c>
      <c r="BW23" s="12">
        <f>VLOOKUP(A23,'Données projet'!$A$113:$I$133,9,0)</f>
        <v>16</v>
      </c>
      <c r="BX23" s="12">
        <f t="array" ref="BX23">INDEX(BW:BW,MIN(IF(ISNUMBER(BW23:BW219),ROW(BW23:BW219),"")))</f>
        <v>16</v>
      </c>
      <c r="BY23" s="12">
        <f>IF('Données projet'!$A$114&gt;35,BY22+BX23-CG22,IF(A23&lt;'Données projet'!$A$114,$BV$205^A23,IF(A23='Données projet'!$A$114,'Données projet'!$B$114,BY22+BX23-CG22)))</f>
        <v>123</v>
      </c>
      <c r="BZ23" s="13">
        <f>BY23*VLOOKUP('Données projet'!$B$12,Paramètres!$A$1:$I$89,3,0)*VLOOKUP('Données projet'!$B$12,Paramètres!$A$1:$I$89,5,0)</f>
        <v>82.508400000000009</v>
      </c>
      <c r="CA23" s="13">
        <f t="shared" si="39"/>
        <v>22.749394597897183</v>
      </c>
      <c r="CB23" s="20">
        <f t="shared" si="10"/>
        <v>183.32399225800427</v>
      </c>
      <c r="CC23" s="59">
        <f t="shared" si="11"/>
        <v>434.07479150373416</v>
      </c>
      <c r="CD23" s="59">
        <f ca="1">AVERAGE(OFFSET($CC$3,0,0,'Données projet'!$E$12+1,1))-AVERAGE(OFFSET($H$3,0,0,'Données projet'!$E$12+1,1))</f>
        <v>358.95222991910504</v>
      </c>
      <c r="CE23" s="59">
        <f t="shared" si="40"/>
        <v>347.37506646970905</v>
      </c>
      <c r="CF23" s="15">
        <f>IF(ISNA(VLOOKUP(A23,'Données projet'!$A$113:$I$133,3,0)),0,VLOOKUP(A23,'Données projet'!$A$113:$I$133,3,0))</f>
        <v>3</v>
      </c>
      <c r="CG23" s="15">
        <f>IF(ISNA(VLOOKUP(A23,'Données projet'!$A$113:$I$133,4,0)),0,VLOOKUP(A23,'Données projet'!$A$113:$I$133,4,0))</f>
        <v>42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61.719914945805115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123</v>
      </c>
      <c r="CR23" s="12">
        <f>VLOOKUP(A23,'Données projet'!$A$139:$I$159,9,0)</f>
        <v>16</v>
      </c>
      <c r="CS23" s="12">
        <f t="array" ref="CS23">INDEX(CR:CR,MIN(IF(ISNUMBER(CR23:CR219),ROW(CR23:CR219),"")))</f>
        <v>16</v>
      </c>
      <c r="CT23" s="12">
        <f>IF('Données projet'!$A$140&gt;35,CT22+CS23-DB22,IF(A23&lt;'Données projet'!$A$140,$CQ$205^A23,IF(A23='Données projet'!$A$140,'Données projet'!$B$140,CT22+CS23-DB22)))</f>
        <v>123</v>
      </c>
      <c r="CU23" s="17">
        <f>CT23*VLOOKUP('Données projet'!$B$13,Paramètres!$A$1:$I$89,3,0)*VLOOKUP('Données projet'!$B$13,Paramètres!$A$1:$I$89,5,0)</f>
        <v>80.589600000000004</v>
      </c>
      <c r="CV23" s="13">
        <f t="shared" si="41"/>
        <v>22.281282727508763</v>
      </c>
      <c r="CW23" s="20">
        <f t="shared" si="13"/>
        <v>179.16678741707778</v>
      </c>
      <c r="CX23" s="59">
        <f t="shared" si="14"/>
        <v>429.91758666280771</v>
      </c>
      <c r="CY23" s="59">
        <f ca="1">AVERAGE(OFFSET($CX$3,0,0,'Données projet'!$E$13+1,1))-AVERAGE(OFFSET($H$3,0,0,'Données projet'!$E$13+1,1))</f>
        <v>351.7266381615546</v>
      </c>
      <c r="CZ23" s="59">
        <f t="shared" si="42"/>
        <v>340.52483243761799</v>
      </c>
      <c r="DA23" s="15">
        <f>IF(ISNA(VLOOKUP(A23,'Données projet'!$A$139:$I$159,3,0)),0,VLOOKUP(A23,'Données projet'!$A$139:$I$159,3,0))</f>
        <v>3</v>
      </c>
      <c r="DB23" s="15">
        <f>IF(ISNA(VLOOKUP(A23,'Données projet'!$A$139:$I$159,4,0)),0,VLOOKUP(A23,'Données projet'!$A$139:$I$159,4,0))</f>
        <v>42</v>
      </c>
      <c r="DC23" s="16">
        <f>IF(ISNA(VLOOKUP(A23,'Données projet'!$A$139:$I$159,5,0)),0%,VLOOKUP(A23,'Données projet'!$A$139:$I$159,5,0)*VLOOKUP('Données projet'!$B$13,Paramètres!$A$1:$I$89,7,0))</f>
        <v>8.6000000000000007E-2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4.9857289880295053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4.9857289880295053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61.719914945805115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56</v>
      </c>
      <c r="DM23" s="12">
        <f>VLOOKUP(A23,'Données projet'!$A$165:$I$185,9,0)</f>
        <v>2.8</v>
      </c>
      <c r="DN23" s="12">
        <f t="array" ref="DN23">INDEX(DM:DM,MIN(IF(ISNUMBER(DM23:DM219),ROW(DM23:DM219),"")))</f>
        <v>2.8</v>
      </c>
      <c r="DO23" s="12">
        <f>IF('Données projet'!$A$166&gt;35,DO22+DN23-DW22,IF(A23&lt;'Données projet'!$A$166,$DL$205^A23,IF(A23='Données projet'!$A$166,'Données projet'!$B$166,DO22+DN23-DW22)))</f>
        <v>56</v>
      </c>
      <c r="DP23" s="17">
        <f>DO23*VLOOKUP('Données projet'!$B$14,Paramètres!$A$1:$I$89,3,0)*VLOOKUP('Données projet'!$B$14,Paramètres!$A$1:$I$89,5,0)</f>
        <v>48.048000000000009</v>
      </c>
      <c r="DQ23" s="13">
        <f t="shared" si="43"/>
        <v>14.108484750160622</v>
      </c>
      <c r="DR23" s="20">
        <f t="shared" si="16"/>
        <v>108.25587760652975</v>
      </c>
      <c r="DS23" s="59">
        <f t="shared" si="17"/>
        <v>359.00667685225966</v>
      </c>
      <c r="DT23" s="59">
        <f ca="1">AVERAGE(OFFSET($DS$3,0,0,'Données projet'!$E$14+1,1))-AVERAGE(OFFSET($H$3,0,0,'Données projet'!$E$14+1,1))</f>
        <v>569.21675741362196</v>
      </c>
      <c r="DU23" s="59">
        <f t="shared" si="44"/>
        <v>321.12410801891679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61.719914945805115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123</v>
      </c>
      <c r="EH23" s="12">
        <f>VLOOKUP(A23,'Données projet'!$A$191:$I$211,9,0)</f>
        <v>16</v>
      </c>
      <c r="EI23" s="12">
        <f t="array" ref="EI23">INDEX(EH:EH,MIN(IF(ISNUMBER(EH23:EH219),ROW(EH23:EH219),"")))</f>
        <v>16</v>
      </c>
      <c r="EJ23" s="12">
        <f>IF('Données projet'!$A$192&gt;35,EJ22+EI23-ER22,IF(A23&lt;'Données projet'!$A$192,$EG$205^A23,IF(A23='Données projet'!$A$192,'Données projet'!$B$192,EJ22+EI23-ER22)))</f>
        <v>123</v>
      </c>
      <c r="EK23" s="17">
        <f>EJ23*VLOOKUP('Données projet'!$B$15,Paramètres!$A$1:$I$89,3,0)*VLOOKUP('Données projet'!$B$15,Paramètres!$A$1:$I$89,5,0)</f>
        <v>97.858800000000016</v>
      </c>
      <c r="EL23" s="13">
        <f t="shared" si="45"/>
        <v>26.45124536158788</v>
      </c>
      <c r="EM23" s="20">
        <f t="shared" si="19"/>
        <v>216.50666233809889</v>
      </c>
      <c r="EN23" s="59">
        <f t="shared" si="20"/>
        <v>467.25746158382879</v>
      </c>
      <c r="EO23" s="59">
        <f ca="1">AVERAGE(OFFSET($EN$3,0,0,'Données projet'!$E$15+1,1))-AVERAGE(OFFSET($H$3,0,0,'Données projet'!$E$15+1,1))</f>
        <v>416.63597645452791</v>
      </c>
      <c r="EP23" s="59">
        <f t="shared" si="46"/>
        <v>402.05920382353497</v>
      </c>
      <c r="EQ23" s="15">
        <f>IF(ISNA(VLOOKUP(A23,'Données projet'!$A$191:$I$211,3,0)),0,VLOOKUP(A23,'Données projet'!$A$191:$I$211,3,0))</f>
        <v>3</v>
      </c>
      <c r="ER23" s="15">
        <f>IF(ISNA(VLOOKUP(A23,'Données projet'!$A$191:$I$211,4,0)),0,VLOOKUP(A23,'Données projet'!$A$191:$I$211,4,0))</f>
        <v>42</v>
      </c>
      <c r="ES23" s="16">
        <f>IF(ISNA(VLOOKUP(A23,'Données projet'!$A$191:$I$211,5,0)),0%,VLOOKUP(A23,'Données projet'!$A$191:$I$211,5,0)*VLOOKUP('Données projet'!$B$15,Paramètres!$A$1:$I$89,7,0))</f>
        <v>0.10600000000000001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7.4620295983630971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7.4620295983630971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61.719914945805115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>
        <f>VLOOKUP(A23,'Données projet'!$A$217:$I$237,2,0)</f>
        <v>102</v>
      </c>
      <c r="FC23" s="12">
        <f>VLOOKUP(A23,'Données projet'!$A$217:$I$237,9,0)</f>
        <v>13.8</v>
      </c>
      <c r="FD23" s="12">
        <f t="array" ref="FD23">INDEX(FC:FC,MIN(IF(ISNUMBER(FC23:FC219),ROW(FC23:FC219),"")))</f>
        <v>13.8</v>
      </c>
      <c r="FE23" s="12">
        <f>IF('Données projet'!$A$218&gt;35,FE22+FD23-FM22,IF(A23&lt;'Données projet'!$A$218,$FB$205^A23,IF(A23='Données projet'!$A$218,'Données projet'!$B$218,FE22+FD23-FM22)))</f>
        <v>101.99999999999999</v>
      </c>
      <c r="FF23" s="17">
        <f>FE23*VLOOKUP('Données projet'!$B$16,Paramètres!$A$1:$I$89,3,0)*VLOOKUP('Données projet'!$B$16,Paramètres!$A$1:$I$89,5,0)</f>
        <v>89.107200000000006</v>
      </c>
      <c r="FG23" s="13">
        <f t="shared" si="47"/>
        <v>24.349778356363352</v>
      </c>
      <c r="FH23" s="20">
        <f t="shared" si="22"/>
        <v>197.6042373039995</v>
      </c>
      <c r="FI23" s="59">
        <f t="shared" si="23"/>
        <v>448.35503654972939</v>
      </c>
      <c r="FJ23" s="59">
        <f ca="1">AVERAGE(OFFSET($FI$3,0,0,'Données projet'!$E$16+1,1))-AVERAGE(OFFSET($H$3,0,0,'Données projet'!$E$16+1,1))</f>
        <v>395.57130469647603</v>
      </c>
      <c r="FK23" s="59">
        <f t="shared" si="48"/>
        <v>383.97542781562674</v>
      </c>
      <c r="FL23" s="15">
        <f>IF(ISNA(VLOOKUP(A23,'Données projet'!$A$217:$I$237,3,0)),0,VLOOKUP(A23,'Données projet'!$A$217:$I$237,3,0))</f>
        <v>3</v>
      </c>
      <c r="FM23" s="15">
        <f>IF(ISNA(VLOOKUP(A23,'Données projet'!$A$217:$I$237,4,0)),0,VLOOKUP(A23,'Données projet'!$A$217:$I$237,4,0))</f>
        <v>35</v>
      </c>
      <c r="FN23" s="16">
        <f>IF(ISNA(VLOOKUP(A23,'Données projet'!$A$217:$I$237,5,0)),0%,VLOOKUP(A23,'Données projet'!$A$217:$I$237,5,0)*VLOOKUP('Données projet'!$B$16,Paramètres!$A$1:$I$89,7,0))</f>
        <v>0.10600000000000001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6.5498486939696985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6.5498486939696985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61.719914945805115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>
        <f>VLOOKUP(A23,'Données projet'!$A$243:$I$263,2,0)</f>
        <v>85</v>
      </c>
      <c r="FX23" s="12">
        <f>VLOOKUP(A23,'Données projet'!$A$243:$I$263,9,0)</f>
        <v>9.6</v>
      </c>
      <c r="FY23" s="12">
        <f t="array" ref="FY23">INDEX(FX:FX,MIN(IF(ISNUMBER(FX23:FX219),ROW(FX23:FX219),"")))</f>
        <v>9.6</v>
      </c>
      <c r="FZ23" s="12">
        <f>IF('Données projet'!$A$244&gt;35,FZ22+FY23-GH22,IF(A23&lt;'Données projet'!$A$244,$FW$205^A23,IF(A23='Données projet'!$A$244,'Données projet'!$B$244,FZ22+FY23-GH22)))</f>
        <v>84.999999999999986</v>
      </c>
      <c r="GA23" s="17">
        <f>FZ23*VLOOKUP('Données projet'!$B$17,Paramètres!$A$1:$I$89,3,0)*VLOOKUP('Données projet'!$B$17,Paramètres!$A$1:$I$89,5,0)</f>
        <v>66.3</v>
      </c>
      <c r="GB23" s="13">
        <f t="shared" si="49"/>
        <v>18.751733344032118</v>
      </c>
      <c r="GC23" s="20">
        <f t="shared" si="25"/>
        <v>148.13176890752257</v>
      </c>
      <c r="GD23" s="59">
        <f t="shared" si="26"/>
        <v>398.88256815325246</v>
      </c>
      <c r="GE23" s="59">
        <f ca="1">AVERAGE(OFFSET($GD$3,0,0,'Données projet'!$E$17+1,1))-AVERAGE(OFFSET($H$3,0,0,'Données projet'!$E$17+1,1))</f>
        <v>301.74744407733351</v>
      </c>
      <c r="GF23" s="59">
        <f t="shared" si="50"/>
        <v>292.46787700966991</v>
      </c>
      <c r="GG23" s="15">
        <f>IF(ISNA(VLOOKUP(A23,'Données projet'!$A$243:$I$263,3,0)),0,VLOOKUP(A23,'Données projet'!$A$243:$I$263,3,0))</f>
        <v>2</v>
      </c>
      <c r="GH23" s="15">
        <f>IF(ISNA(VLOOKUP(A23,'Données projet'!$A$243:$I$263,4,0)),0,VLOOKUP(A23,'Données projet'!$A$243:$I$263,4,0))</f>
        <v>25</v>
      </c>
      <c r="GI23" s="16">
        <f>IF(ISNA(VLOOKUP(A23,'Données projet'!$A$243:$I$263,5,0)),0%,VLOOKUP(A23,'Données projet'!$A$243:$I$263,5,0)*VLOOKUP('Données projet'!$B$17,Paramètres!$A$1:$I$89,7,0))</f>
        <v>8.6000000000000007E-2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1.8538738264767576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1.8538738264767576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61.719914945805115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>
        <f>VLOOKUP(A23,'Données projet'!$A$269:$I$289,2,0)</f>
        <v>123</v>
      </c>
      <c r="GS23" s="12">
        <f>VLOOKUP(A23,'Données projet'!$A$269:$I$289,9,0)</f>
        <v>16</v>
      </c>
      <c r="GT23" s="12">
        <f t="array" ref="GT23">INDEX(GS:GS,MIN(IF(ISNUMBER(GS23:GS219),ROW(GS23:GS219),"")))</f>
        <v>16</v>
      </c>
      <c r="GU23" s="12">
        <f>IF('Données projet'!$A$270&gt;35,GU22+GT23-HC22,IF(A23&lt;'Données projet'!$A$270,$GR$205^A23,IF(A23='Données projet'!$A$270,'Données projet'!$B$270,GU22+GT23-HC22)))</f>
        <v>123</v>
      </c>
      <c r="GV23" s="17">
        <f>GU23*VLOOKUP('Données projet'!$B$18,Paramètres!$A$1:$I$89,3,0)*VLOOKUP('Données projet'!$B$18,Paramètres!$A$1:$I$89,5,0)</f>
        <v>72.914400000000001</v>
      </c>
      <c r="GW23" s="13">
        <f t="shared" si="51"/>
        <v>20.395478670134668</v>
      </c>
      <c r="GX23" s="20">
        <f t="shared" si="28"/>
        <v>162.51470535048455</v>
      </c>
      <c r="GY23" s="59">
        <f t="shared" si="29"/>
        <v>413.26550459621444</v>
      </c>
      <c r="GZ23" s="59">
        <f ca="1">AVERAGE(OFFSET($GY$3,0,0,'Données projet'!$E$18+1,1))-AVERAGE(OFFSET($H$3,0,0,'Données projet'!$E$18+1,1))</f>
        <v>322.78672881269978</v>
      </c>
      <c r="HA23" s="59">
        <f t="shared" si="52"/>
        <v>313.08736327626434</v>
      </c>
      <c r="HB23" s="15">
        <f>IF(ISNA(VLOOKUP(A23,'Données projet'!$A$269:$I$289,3,0)),0,VLOOKUP(A23,'Données projet'!$A$269:$I$289,3,0))</f>
        <v>3</v>
      </c>
      <c r="HC23" s="15">
        <f>IF(ISNA(VLOOKUP(A23,'Données projet'!$A$269:$I$289,4,0)),0,VLOOKUP(A23,'Données projet'!$A$269:$I$289,4,0))</f>
        <v>42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>
        <f>EXP(-LN(2)/35)*HG22+(1-EXP(-LN(2)/35))/(LN(2)/35)*HC23*HD23*VLOOKUP('Données projet'!$B$18,Paramètres!$A$1:$I$89,3,0)*0.475*44/12</f>
        <v>0</v>
      </c>
      <c r="HH23" s="21">
        <f>EXP(-LN(2)/25)*HH22+(1-EXP(-LN(2)/25))/(LN(2)/25)*Calculateur!HC23*Calculateur!HE23*VLOOKUP('Données projet'!$B$18,Paramètres!$A$1:$I$89,3,0)*0.475*44/12</f>
        <v>0</v>
      </c>
      <c r="HI23" s="21">
        <f>EXP(-LN(2)/2)*HI22+(1-EXP(-LN(2)/2))/(LN(2)/2)*HC23*HF23*VLOOKUP('Données projet'!$B$18,Paramètres!$A$1:$I$89,3,0)*0.475*44/12</f>
        <v>0</v>
      </c>
      <c r="HJ23" s="22">
        <f t="shared" si="30"/>
        <v>0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2.3499999999999996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8.6166666666666654</v>
      </c>
      <c r="H24" s="67">
        <f t="shared" si="1"/>
        <v>222.20000000000002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61.863555909998439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6</v>
      </c>
      <c r="N24" s="13">
        <f>IF('Données projet'!$A$36&gt;35,N23+M24-V23,IF(A24&lt;'Données projet'!$A$36,$K$205^A24,IF(A24='Données projet'!$A$36,'Données projet'!$B$36,N23+M24-V23)))</f>
        <v>79</v>
      </c>
      <c r="O24" s="13">
        <f>N24*VLOOKUP('Données projet'!$B$9,Paramètres!$A$1:$I$89,3,0)*VLOOKUP('Données projet'!$B$9,Paramètres!$A$1:$I$89,5,0)</f>
        <v>71.479200000000006</v>
      </c>
      <c r="P24" s="13">
        <f t="shared" si="33"/>
        <v>20.040346808618612</v>
      </c>
      <c r="Q24" s="20">
        <f t="shared" si="2"/>
        <v>159.39654402501074</v>
      </c>
      <c r="R24" s="59">
        <f t="shared" si="0"/>
        <v>411.89624902833833</v>
      </c>
      <c r="S24" s="59">
        <f ca="1">AVERAGE(OFFSET($R$3,0,0,'Données projet'!$E$9+1,1))-AVERAGE(OFFSET($H$3,0,0,'Données projet'!$E$9+1,1))</f>
        <v>473.88815717313474</v>
      </c>
      <c r="T24" s="59">
        <f t="shared" si="34"/>
        <v>287.19790203552895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61.863555909998439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6</v>
      </c>
      <c r="AI24" s="13">
        <f>IF('Données projet'!$A$62&gt;35,AI23+AH24-AQ23,IF(A24&lt;'Données projet'!$A$62,$AF$205^A24,IF(A24='Données projet'!$A$62,'Données projet'!$B$62,AI23+AH24-AQ23)))</f>
        <v>79</v>
      </c>
      <c r="AJ24" s="13">
        <f>AI24*VLOOKUP('Données projet'!$B$10,Paramètres!$A$1:$I$89,3,0)*VLOOKUP('Données projet'!$B$10,Paramètres!$A$1:$I$89,5,0)</f>
        <v>66.549600000000012</v>
      </c>
      <c r="AK24" s="13">
        <f t="shared" si="35"/>
        <v>18.814097226522279</v>
      </c>
      <c r="AL24" s="20">
        <f t="shared" si="4"/>
        <v>148.67510600285965</v>
      </c>
      <c r="AM24" s="59">
        <f t="shared" si="5"/>
        <v>401.17481100618727</v>
      </c>
      <c r="AN24" s="59">
        <f ca="1">AVERAGE(OFFSET($AM$3,0,0,'Données projet'!$E$10+1,1))-AVERAGE(OFFSET($H$3,0,0,'Données projet'!$E$10+1,1))</f>
        <v>445.19118535527258</v>
      </c>
      <c r="AO24" s="59">
        <f t="shared" si="36"/>
        <v>270.93483242839363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61.863555909998439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6</v>
      </c>
      <c r="BD24" s="12">
        <f>IF('Données projet'!$A$88&gt;35,BD23+BC24-BL23,IF(A24&lt;'Données projet'!$A$88,$BA$205^A24,IF(A24='Données projet'!$A$88,'Données projet'!$B$88,BD23+BC24-BL23)))</f>
        <v>79</v>
      </c>
      <c r="BE24" s="13">
        <f>BD24*VLOOKUP('Données projet'!$B$11,Paramètres!$A$1:$I$89,3,0)*VLOOKUP('Données projet'!$B$11,Paramètres!$A$1:$I$89,5,0)</f>
        <v>80.106000000000009</v>
      </c>
      <c r="BF24" s="13">
        <f t="shared" si="37"/>
        <v>22.163099682076496</v>
      </c>
      <c r="BG24" s="20">
        <f t="shared" si="7"/>
        <v>178.11868194628323</v>
      </c>
      <c r="BH24" s="59">
        <f t="shared" si="8"/>
        <v>430.61838694961079</v>
      </c>
      <c r="BI24" s="59">
        <f ca="1">AVERAGE(OFFSET($BH$3,0,0,'Données projet'!$E$11+1,1))-AVERAGE(OFFSET($H$3,0,0,'Données projet'!$E$11+1,1))</f>
        <v>524.01140973345832</v>
      </c>
      <c r="BJ24" s="59">
        <f t="shared" si="38"/>
        <v>315.59942237999621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61.863555909998439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16.8</v>
      </c>
      <c r="BY24" s="12">
        <f>IF('Données projet'!$A$114&gt;35,BY23+BX24-CG23,IF(A24&lt;'Données projet'!$A$114,$BV$205^A24,IF(A24='Données projet'!$A$114,'Données projet'!$B$114,BY23+BX24-CG23)))</f>
        <v>97.800000000000011</v>
      </c>
      <c r="BZ24" s="13">
        <f>BY24*VLOOKUP('Données projet'!$B$12,Paramètres!$A$1:$I$89,3,0)*VLOOKUP('Données projet'!$B$12,Paramètres!$A$1:$I$89,5,0)</f>
        <v>65.604240000000004</v>
      </c>
      <c r="CA24" s="13">
        <f t="shared" si="39"/>
        <v>18.577749363333837</v>
      </c>
      <c r="CB24" s="20">
        <f t="shared" si="10"/>
        <v>146.61696480780643</v>
      </c>
      <c r="CC24" s="59">
        <f t="shared" si="11"/>
        <v>399.11666981113399</v>
      </c>
      <c r="CD24" s="59">
        <f ca="1">AVERAGE(OFFSET($CC$3,0,0,'Données projet'!$E$12+1,1))-AVERAGE(OFFSET($H$3,0,0,'Données projet'!$E$12+1,1))</f>
        <v>358.95222991910504</v>
      </c>
      <c r="CE24" s="59">
        <f t="shared" si="40"/>
        <v>347.37506646970905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61.863555909998439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16.8</v>
      </c>
      <c r="CT24" s="12">
        <f>IF('Données projet'!$A$140&gt;35,CT23+CS24-DB23,IF(A24&lt;'Données projet'!$A$140,$CQ$205^A24,IF(A24='Données projet'!$A$140,'Données projet'!$B$140,CT23+CS24-DB23)))</f>
        <v>97.800000000000011</v>
      </c>
      <c r="CU24" s="17">
        <f>CT24*VLOOKUP('Données projet'!$B$13,Paramètres!$A$1:$I$89,3,0)*VLOOKUP('Données projet'!$B$13,Paramètres!$A$1:$I$89,5,0)</f>
        <v>64.078559999999996</v>
      </c>
      <c r="CV24" s="13">
        <f t="shared" si="41"/>
        <v>18.195476992759129</v>
      </c>
      <c r="CW24" s="20">
        <f t="shared" si="13"/>
        <v>143.2939477623888</v>
      </c>
      <c r="CX24" s="59">
        <f t="shared" si="14"/>
        <v>395.79365276571639</v>
      </c>
      <c r="CY24" s="59">
        <f ca="1">AVERAGE(OFFSET($CX$3,0,0,'Données projet'!$E$13+1,1))-AVERAGE(OFFSET($H$3,0,0,'Données projet'!$E$13+1,1))</f>
        <v>351.7266381615546</v>
      </c>
      <c r="CZ24" s="59">
        <f t="shared" si="42"/>
        <v>340.52483243761799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4.8879618835686562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4.8879618835686562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61.863555909998439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11</v>
      </c>
      <c r="DO24" s="12">
        <f>IF('Données projet'!$A$166&gt;35,DO23+DN24-DW23,IF(A24&lt;'Données projet'!$A$166,$DL$205^A24,IF(A24='Données projet'!$A$166,'Données projet'!$B$166,DO23+DN24-DW23)))</f>
        <v>67</v>
      </c>
      <c r="DP24" s="17">
        <f>DO24*VLOOKUP('Données projet'!$B$14,Paramètres!$A$1:$I$89,3,0)*VLOOKUP('Données projet'!$B$14,Paramètres!$A$1:$I$89,5,0)</f>
        <v>57.486000000000004</v>
      </c>
      <c r="DQ24" s="13">
        <f t="shared" si="43"/>
        <v>16.531076211754396</v>
      </c>
      <c r="DR24" s="20">
        <f t="shared" si="16"/>
        <v>128.9130744021389</v>
      </c>
      <c r="DS24" s="59">
        <f t="shared" si="17"/>
        <v>381.41277940546649</v>
      </c>
      <c r="DT24" s="59">
        <f ca="1">AVERAGE(OFFSET($DS$3,0,0,'Données projet'!$E$14+1,1))-AVERAGE(OFFSET($H$3,0,0,'Données projet'!$E$14+1,1))</f>
        <v>569.21675741362196</v>
      </c>
      <c r="DU24" s="59">
        <f t="shared" si="44"/>
        <v>321.12410801891679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61.863555909998439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16.8</v>
      </c>
      <c r="EJ24" s="12">
        <f>IF('Données projet'!$A$192&gt;35,EJ23+EI24-ER23,IF(A24&lt;'Données projet'!$A$192,$EG$205^A24,IF(A24='Données projet'!$A$192,'Données projet'!$B$192,EJ23+EI24-ER23)))</f>
        <v>97.800000000000011</v>
      </c>
      <c r="EK24" s="17">
        <f>EJ24*VLOOKUP('Données projet'!$B$15,Paramètres!$A$1:$I$89,3,0)*VLOOKUP('Données projet'!$B$15,Paramètres!$A$1:$I$89,5,0)</f>
        <v>77.809680000000014</v>
      </c>
      <c r="EL24" s="13">
        <f t="shared" si="45"/>
        <v>21.600777311280577</v>
      </c>
      <c r="EM24" s="20">
        <f t="shared" si="19"/>
        <v>173.13987981714703</v>
      </c>
      <c r="EN24" s="59">
        <f t="shared" si="20"/>
        <v>425.63958482047462</v>
      </c>
      <c r="EO24" s="59">
        <f ca="1">AVERAGE(OFFSET($EN$3,0,0,'Données projet'!$E$15+1,1))-AVERAGE(OFFSET($H$3,0,0,'Données projet'!$E$15+1,1))</f>
        <v>416.63597645452791</v>
      </c>
      <c r="EP24" s="59">
        <f t="shared" si="46"/>
        <v>402.05920382353497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7.3157037493278398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7.3157037493278398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61.863555909998439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14.8</v>
      </c>
      <c r="FE24" s="12">
        <f>IF('Données projet'!$A$218&gt;35,FE23+FD24-FM23,IF(A24&lt;'Données projet'!$A$218,$FB$205^A24,IF(A24='Données projet'!$A$218,'Données projet'!$B$218,FE23+FD24-FM23)))</f>
        <v>81.799999999999983</v>
      </c>
      <c r="FF24" s="17">
        <f>FE24*VLOOKUP('Données projet'!$B$16,Paramètres!$A$1:$I$89,3,0)*VLOOKUP('Données projet'!$B$16,Paramètres!$A$1:$I$89,5,0)</f>
        <v>71.46047999999999</v>
      </c>
      <c r="FG24" s="13">
        <f t="shared" si="47"/>
        <v>20.035709203981977</v>
      </c>
      <c r="FH24" s="20">
        <f t="shared" si="22"/>
        <v>159.35586286360191</v>
      </c>
      <c r="FI24" s="59">
        <f t="shared" si="23"/>
        <v>411.8555678669295</v>
      </c>
      <c r="FJ24" s="59">
        <f ca="1">AVERAGE(OFFSET($FI$3,0,0,'Données projet'!$E$16+1,1))-AVERAGE(OFFSET($H$3,0,0,'Données projet'!$E$16+1,1))</f>
        <v>395.57130469647603</v>
      </c>
      <c r="FK24" s="59">
        <f t="shared" si="48"/>
        <v>383.97542781562674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6.421410156094181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6.421410156094181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61.863555909998439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10.6</v>
      </c>
      <c r="FZ24" s="12">
        <f>IF('Données projet'!$A$244&gt;35,FZ23+FY24-GH23,IF(A24&lt;'Données projet'!$A$244,$FW$205^A24,IF(A24='Données projet'!$A$244,'Données projet'!$B$244,FZ23+FY24-GH23)))</f>
        <v>70.59999999999998</v>
      </c>
      <c r="GA24" s="17">
        <f>FZ24*VLOOKUP('Données projet'!$B$17,Paramètres!$A$1:$I$89,3,0)*VLOOKUP('Données projet'!$B$17,Paramètres!$A$1:$I$89,5,0)</f>
        <v>55.067999999999984</v>
      </c>
      <c r="GB24" s="13">
        <f t="shared" si="49"/>
        <v>15.915148294580479</v>
      </c>
      <c r="GC24" s="20">
        <f t="shared" si="25"/>
        <v>123.62898327972762</v>
      </c>
      <c r="GD24" s="59">
        <f t="shared" si="26"/>
        <v>376.12868828305523</v>
      </c>
      <c r="GE24" s="59">
        <f ca="1">AVERAGE(OFFSET($GD$3,0,0,'Données projet'!$E$17+1,1))-AVERAGE(OFFSET($H$3,0,0,'Données projet'!$E$17+1,1))</f>
        <v>301.74744407733351</v>
      </c>
      <c r="GF24" s="59">
        <f t="shared" si="50"/>
        <v>292.46787700966991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1.81752049149093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1.81752049149093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61.863555909998439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16.8</v>
      </c>
      <c r="GU24" s="12">
        <f>IF('Données projet'!$A$270&gt;35,GU23+GT24-HC23,IF(A24&lt;'Données projet'!$A$270,$GR$205^A24,IF(A24='Données projet'!$A$270,'Données projet'!$B$270,GU23+GT24-HC23)))</f>
        <v>97.800000000000011</v>
      </c>
      <c r="GV24" s="17">
        <f>GU24*VLOOKUP('Données projet'!$B$18,Paramètres!$A$1:$I$89,3,0)*VLOOKUP('Données projet'!$B$18,Paramètres!$A$1:$I$89,5,0)</f>
        <v>57.975840000000005</v>
      </c>
      <c r="GW24" s="13">
        <f t="shared" si="51"/>
        <v>16.655480182053136</v>
      </c>
      <c r="GX24" s="20">
        <f t="shared" si="28"/>
        <v>129.98288265040921</v>
      </c>
      <c r="GY24" s="59">
        <f t="shared" si="29"/>
        <v>382.4825876537368</v>
      </c>
      <c r="GZ24" s="59">
        <f ca="1">AVERAGE(OFFSET($GY$3,0,0,'Données projet'!$E$18+1,1))-AVERAGE(OFFSET($H$3,0,0,'Données projet'!$E$18+1,1))</f>
        <v>322.78672881269978</v>
      </c>
      <c r="HA24" s="59">
        <f t="shared" si="52"/>
        <v>313.08736327626434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projet'!$B$18,Paramètres!$A$1:$I$89,3,0)*0.475*44/12</f>
        <v>0</v>
      </c>
      <c r="HH24" s="21">
        <f>EXP(-LN(2)/25)*HH23+(1-EXP(-LN(2)/25))/(LN(2)/25)*Calculateur!HC24*Calculateur!HE24*VLOOKUP('Données projet'!$B$18,Paramètres!$A$1:$I$89,3,0)*0.475*44/12</f>
        <v>0</v>
      </c>
      <c r="HI24" s="21">
        <f>EXP(-LN(2)/2)*HI23+(1-EXP(-LN(2)/2))/(LN(2)/2)*HC24*HF24*VLOOKUP('Données projet'!$B$18,Paramètres!$A$1:$I$89,3,0)*0.475*44/12</f>
        <v>0</v>
      </c>
      <c r="HJ24" s="22">
        <f t="shared" si="30"/>
        <v>0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2.3499999999999996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8.6166666666666654</v>
      </c>
      <c r="H25" s="67">
        <f t="shared" si="1"/>
        <v>222.20000000000002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62.004705024596092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6</v>
      </c>
      <c r="N25" s="13">
        <f>IF('Données projet'!$A$36&gt;35,N24+M25-V24,IF(A25&lt;'Données projet'!$A$36,$K$205^A25,IF(A25='Données projet'!$A$36,'Données projet'!$B$36,N24+M25-V24)))</f>
        <v>85</v>
      </c>
      <c r="O25" s="13">
        <f>N25*VLOOKUP('Données projet'!$B$9,Paramètres!$A$1:$I$89,3,0)*VLOOKUP('Données projet'!$B$9,Paramètres!$A$1:$I$89,5,0)</f>
        <v>76.908000000000001</v>
      </c>
      <c r="P25" s="13">
        <f t="shared" si="33"/>
        <v>21.379448490435635</v>
      </c>
      <c r="Q25" s="20">
        <f t="shared" si="2"/>
        <v>171.18397278750874</v>
      </c>
      <c r="R25" s="59">
        <f t="shared" si="0"/>
        <v>425.42344676658331</v>
      </c>
      <c r="S25" s="59">
        <f ca="1">AVERAGE(OFFSET($R$3,0,0,'Données projet'!$E$9+1,1))-AVERAGE(OFFSET($H$3,0,0,'Données projet'!$E$9+1,1))</f>
        <v>473.88815717313474</v>
      </c>
      <c r="T25" s="59">
        <f t="shared" si="34"/>
        <v>287.19790203552895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62.004705024596092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6</v>
      </c>
      <c r="AI25" s="13">
        <f>IF('Données projet'!$A$62&gt;35,AI24+AH25-AQ24,IF(A25&lt;'Données projet'!$A$62,$AF$205^A25,IF(A25='Données projet'!$A$62,'Données projet'!$B$62,AI24+AH25-AQ24)))</f>
        <v>85</v>
      </c>
      <c r="AJ25" s="13">
        <f>AI25*VLOOKUP('Données projet'!$B$10,Paramètres!$A$1:$I$89,3,0)*VLOOKUP('Données projet'!$B$10,Paramètres!$A$1:$I$89,5,0)</f>
        <v>71.604000000000013</v>
      </c>
      <c r="AK25" s="13">
        <f t="shared" si="35"/>
        <v>20.071260561992602</v>
      </c>
      <c r="AL25" s="20">
        <f t="shared" si="4"/>
        <v>159.66774547880379</v>
      </c>
      <c r="AM25" s="59">
        <f t="shared" si="5"/>
        <v>413.90721945787834</v>
      </c>
      <c r="AN25" s="59">
        <f ca="1">AVERAGE(OFFSET($AM$3,0,0,'Données projet'!$E$10+1,1))-AVERAGE(OFFSET($H$3,0,0,'Données projet'!$E$10+1,1))</f>
        <v>445.19118535527258</v>
      </c>
      <c r="AO25" s="59">
        <f t="shared" si="36"/>
        <v>270.93483242839363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62.004705024596092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6</v>
      </c>
      <c r="BD25" s="12">
        <f>IF('Données projet'!$A$88&gt;35,BD24+BC25-BL24,IF(A25&lt;'Données projet'!$A$88,$BA$205^A25,IF(A25='Données projet'!$A$88,'Données projet'!$B$88,BD24+BC25-BL24)))</f>
        <v>85</v>
      </c>
      <c r="BE25" s="13">
        <f>BD25*VLOOKUP('Données projet'!$B$11,Paramètres!$A$1:$I$89,3,0)*VLOOKUP('Données projet'!$B$11,Paramètres!$A$1:$I$89,5,0)</f>
        <v>86.19</v>
      </c>
      <c r="BF25" s="13">
        <f t="shared" si="37"/>
        <v>23.644044315518833</v>
      </c>
      <c r="BG25" s="20">
        <f t="shared" si="7"/>
        <v>191.29429384952866</v>
      </c>
      <c r="BH25" s="59">
        <f t="shared" si="8"/>
        <v>445.53376782860323</v>
      </c>
      <c r="BI25" s="59">
        <f ca="1">AVERAGE(OFFSET($BH$3,0,0,'Données projet'!$E$11+1,1))-AVERAGE(OFFSET($H$3,0,0,'Données projet'!$E$11+1,1))</f>
        <v>524.01140973345832</v>
      </c>
      <c r="BJ25" s="59">
        <f t="shared" si="38"/>
        <v>315.59942237999621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62.004705024596092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16.8</v>
      </c>
      <c r="BY25" s="12">
        <f>IF('Données projet'!$A$114&gt;35,BY24+BX25-CG24,IF(A25&lt;'Données projet'!$A$114,$BV$205^A25,IF(A25='Données projet'!$A$114,'Données projet'!$B$114,BY24+BX25-CG24)))</f>
        <v>114.60000000000001</v>
      </c>
      <c r="BZ25" s="13">
        <f>BY25*VLOOKUP('Données projet'!$B$12,Paramètres!$A$1:$I$89,3,0)*VLOOKUP('Données projet'!$B$12,Paramètres!$A$1:$I$89,5,0)</f>
        <v>76.873680000000007</v>
      </c>
      <c r="CA25" s="13">
        <f t="shared" si="39"/>
        <v>21.371018263850033</v>
      </c>
      <c r="CB25" s="20">
        <f t="shared" si="10"/>
        <v>171.10951614287214</v>
      </c>
      <c r="CC25" s="59">
        <f t="shared" si="11"/>
        <v>425.34899012194671</v>
      </c>
      <c r="CD25" s="59">
        <f ca="1">AVERAGE(OFFSET($CC$3,0,0,'Données projet'!$E$12+1,1))-AVERAGE(OFFSET($H$3,0,0,'Données projet'!$E$12+1,1))</f>
        <v>358.95222991910504</v>
      </c>
      <c r="CE25" s="59">
        <f t="shared" si="40"/>
        <v>347.37506646970905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62.004705024596092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16.8</v>
      </c>
      <c r="CT25" s="12">
        <f>IF('Données projet'!$A$140&gt;35,CT24+CS25-DB24,IF(A25&lt;'Données projet'!$A$140,$CQ$205^A25,IF(A25='Données projet'!$A$140,'Données projet'!$B$140,CT24+CS25-DB24)))</f>
        <v>114.60000000000001</v>
      </c>
      <c r="CU25" s="17">
        <f>CT25*VLOOKUP('Données projet'!$B$13,Paramètres!$A$1:$I$89,3,0)*VLOOKUP('Données projet'!$B$13,Paramètres!$A$1:$I$89,5,0)</f>
        <v>75.085920000000016</v>
      </c>
      <c r="CV25" s="13">
        <f t="shared" si="41"/>
        <v>20.931269096524034</v>
      </c>
      <c r="CW25" s="20">
        <f t="shared" si="13"/>
        <v>167.22993767644604</v>
      </c>
      <c r="CX25" s="59">
        <f t="shared" si="14"/>
        <v>421.46941165552062</v>
      </c>
      <c r="CY25" s="59">
        <f ca="1">AVERAGE(OFFSET($CX$3,0,0,'Données projet'!$E$13+1,1))-AVERAGE(OFFSET($H$3,0,0,'Données projet'!$E$13+1,1))</f>
        <v>351.7266381615546</v>
      </c>
      <c r="CZ25" s="59">
        <f t="shared" si="42"/>
        <v>340.52483243761799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4.7921119323942385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4.7921119323942385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62.004705024596092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11</v>
      </c>
      <c r="DO25" s="12">
        <f>IF('Données projet'!$A$166&gt;35,DO24+DN25-DW24,IF(A25&lt;'Données projet'!$A$166,$DL$205^A25,IF(A25='Données projet'!$A$166,'Données projet'!$B$166,DO24+DN25-DW24)))</f>
        <v>78</v>
      </c>
      <c r="DP25" s="17">
        <f>DO25*VLOOKUP('Données projet'!$B$14,Paramètres!$A$1:$I$89,3,0)*VLOOKUP('Données projet'!$B$14,Paramètres!$A$1:$I$89,5,0)</f>
        <v>66.924000000000007</v>
      </c>
      <c r="DQ25" s="13">
        <f t="shared" si="43"/>
        <v>18.90759204786767</v>
      </c>
      <c r="DR25" s="20">
        <f t="shared" si="16"/>
        <v>149.49002281670286</v>
      </c>
      <c r="DS25" s="59">
        <f t="shared" si="17"/>
        <v>403.72949679577744</v>
      </c>
      <c r="DT25" s="59">
        <f ca="1">AVERAGE(OFFSET($DS$3,0,0,'Données projet'!$E$14+1,1))-AVERAGE(OFFSET($H$3,0,0,'Données projet'!$E$14+1,1))</f>
        <v>569.21675741362196</v>
      </c>
      <c r="DU25" s="59">
        <f t="shared" si="44"/>
        <v>321.12410801891679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62.004705024596092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16.8</v>
      </c>
      <c r="EJ25" s="12">
        <f>IF('Données projet'!$A$192&gt;35,EJ24+EI25-ER24,IF(A25&lt;'Données projet'!$A$192,$EG$205^A25,IF(A25='Données projet'!$A$192,'Données projet'!$B$192,EJ24+EI25-ER24)))</f>
        <v>114.60000000000001</v>
      </c>
      <c r="EK25" s="17">
        <f>EJ25*VLOOKUP('Données projet'!$B$15,Paramètres!$A$1:$I$89,3,0)*VLOOKUP('Données projet'!$B$15,Paramètres!$A$1:$I$89,5,0)</f>
        <v>91.175760000000011</v>
      </c>
      <c r="EL25" s="13">
        <f t="shared" si="45"/>
        <v>24.848575433138123</v>
      </c>
      <c r="EM25" s="20">
        <f t="shared" si="19"/>
        <v>202.07571754604893</v>
      </c>
      <c r="EN25" s="59">
        <f t="shared" si="20"/>
        <v>456.31519152512351</v>
      </c>
      <c r="EO25" s="59">
        <f ca="1">AVERAGE(OFFSET($EN$3,0,0,'Données projet'!$E$15+1,1))-AVERAGE(OFFSET($H$3,0,0,'Données projet'!$E$15+1,1))</f>
        <v>416.63597645452791</v>
      </c>
      <c r="EP25" s="59">
        <f t="shared" si="46"/>
        <v>402.05920382353497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7.1722472609422088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7.1722472609422088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62.004705024596092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14.8</v>
      </c>
      <c r="FE25" s="12">
        <f>IF('Données projet'!$A$218&gt;35,FE24+FD25-FM24,IF(A25&lt;'Données projet'!$A$218,$FB$205^A25,IF(A25='Données projet'!$A$218,'Données projet'!$B$218,FE24+FD25-FM24)))</f>
        <v>96.59999999999998</v>
      </c>
      <c r="FF25" s="17">
        <f>FE25*VLOOKUP('Données projet'!$B$16,Paramètres!$A$1:$I$89,3,0)*VLOOKUP('Données projet'!$B$16,Paramètres!$A$1:$I$89,5,0)</f>
        <v>84.389759999999995</v>
      </c>
      <c r="FG25" s="13">
        <f t="shared" si="47"/>
        <v>23.207143598424498</v>
      </c>
      <c r="FH25" s="20">
        <f t="shared" si="22"/>
        <v>187.39794043392263</v>
      </c>
      <c r="FI25" s="59">
        <f t="shared" si="23"/>
        <v>441.63741441299715</v>
      </c>
      <c r="FJ25" s="59">
        <f ca="1">AVERAGE(OFFSET($FI$3,0,0,'Données projet'!$E$16+1,1))-AVERAGE(OFFSET($H$3,0,0,'Données projet'!$E$16+1,1))</f>
        <v>395.57130469647603</v>
      </c>
      <c r="FK25" s="59">
        <f t="shared" si="48"/>
        <v>383.97542781562674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6.2954902196066298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6.2954902196066298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62.004705024596092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10.6</v>
      </c>
      <c r="FZ25" s="12">
        <f>IF('Données projet'!$A$244&gt;35,FZ24+FY25-GH24,IF(A25&lt;'Données projet'!$A$244,$FW$205^A25,IF(A25='Données projet'!$A$244,'Données projet'!$B$244,FZ24+FY25-GH24)))</f>
        <v>81.199999999999974</v>
      </c>
      <c r="GA25" s="17">
        <f>FZ25*VLOOKUP('Données projet'!$B$17,Paramètres!$A$1:$I$89,3,0)*VLOOKUP('Données projet'!$B$17,Paramètres!$A$1:$I$89,5,0)</f>
        <v>63.335999999999984</v>
      </c>
      <c r="GB25" s="13">
        <f t="shared" si="49"/>
        <v>18.009040022946227</v>
      </c>
      <c r="GC25" s="20">
        <f t="shared" si="25"/>
        <v>141.67594470663133</v>
      </c>
      <c r="GD25" s="59">
        <f t="shared" si="26"/>
        <v>395.91541868570584</v>
      </c>
      <c r="GE25" s="59">
        <f ca="1">AVERAGE(OFFSET($GD$3,0,0,'Données projet'!$E$17+1,1))-AVERAGE(OFFSET($H$3,0,0,'Données projet'!$E$17+1,1))</f>
        <v>301.74744407733351</v>
      </c>
      <c r="GF25" s="59">
        <f t="shared" si="50"/>
        <v>292.46787700966991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1.7818800232308296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1.7818800232308296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62.004705024596092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16.8</v>
      </c>
      <c r="GU25" s="12">
        <f>IF('Données projet'!$A$270&gt;35,GU24+GT25-HC24,IF(A25&lt;'Données projet'!$A$270,$GR$205^A25,IF(A25='Données projet'!$A$270,'Données projet'!$B$270,GU24+GT25-HC24)))</f>
        <v>114.60000000000001</v>
      </c>
      <c r="GV25" s="17">
        <f>GU25*VLOOKUP('Données projet'!$B$18,Paramètres!$A$1:$I$89,3,0)*VLOOKUP('Données projet'!$B$18,Paramètres!$A$1:$I$89,5,0)</f>
        <v>67.934880000000007</v>
      </c>
      <c r="GW25" s="13">
        <f t="shared" si="51"/>
        <v>19.159725120759976</v>
      </c>
      <c r="GX25" s="20">
        <f t="shared" si="28"/>
        <v>151.68977058532363</v>
      </c>
      <c r="GY25" s="59">
        <f t="shared" si="29"/>
        <v>405.92924456439818</v>
      </c>
      <c r="GZ25" s="59">
        <f ca="1">AVERAGE(OFFSET($GY$3,0,0,'Données projet'!$E$18+1,1))-AVERAGE(OFFSET($H$3,0,0,'Données projet'!$E$18+1,1))</f>
        <v>322.78672881269978</v>
      </c>
      <c r="HA25" s="59">
        <f t="shared" si="52"/>
        <v>313.08736327626434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0</v>
      </c>
      <c r="HH25" s="21">
        <f>EXP(-LN(2)/25)*HH24+(1-EXP(-LN(2)/25))/(LN(2)/25)*Calculateur!HC25*Calculateur!HE25*VLOOKUP('Données projet'!$B$18,Paramètres!$A$1:$I$89,3,0)*0.475*44/12</f>
        <v>0</v>
      </c>
      <c r="HI25" s="21">
        <f>EXP(-LN(2)/2)*HI24+(1-EXP(-LN(2)/2))/(LN(2)/2)*HC25*HF25*VLOOKUP('Données projet'!$B$18,Paramètres!$A$1:$I$89,3,0)*0.475*44/12</f>
        <v>0</v>
      </c>
      <c r="HJ25" s="22">
        <f t="shared" si="30"/>
        <v>0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2.3499999999999996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8.6166666666666654</v>
      </c>
      <c r="H26" s="67">
        <f t="shared" si="1"/>
        <v>222.20000000000002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62.14340551761763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6</v>
      </c>
      <c r="N26" s="13">
        <f>IF('Données projet'!$A$36&gt;35,N25+M26-V25,IF(A26&lt;'Données projet'!$A$36,$K$205^A26,IF(A26='Données projet'!$A$36,'Données projet'!$B$36,N25+M26-V25)))</f>
        <v>91</v>
      </c>
      <c r="O26" s="13">
        <f>N26*VLOOKUP('Données projet'!$B$9,Paramètres!$A$1:$I$89,3,0)*VLOOKUP('Données projet'!$B$9,Paramètres!$A$1:$I$89,5,0)</f>
        <v>82.336799999999997</v>
      </c>
      <c r="P26" s="13">
        <f t="shared" si="33"/>
        <v>22.707582950885364</v>
      </c>
      <c r="Q26" s="20">
        <f t="shared" si="2"/>
        <v>182.95230030612535</v>
      </c>
      <c r="R26" s="59">
        <f t="shared" si="0"/>
        <v>438.92256498183446</v>
      </c>
      <c r="S26" s="59">
        <f ca="1">AVERAGE(OFFSET($R$3,0,0,'Données projet'!$E$9+1,1))-AVERAGE(OFFSET($H$3,0,0,'Données projet'!$E$9+1,1))</f>
        <v>473.88815717313474</v>
      </c>
      <c r="T26" s="59">
        <f t="shared" si="34"/>
        <v>287.19790203552895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62.14340551761763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6</v>
      </c>
      <c r="AI26" s="13">
        <f>IF('Données projet'!$A$62&gt;35,AI25+AH26-AQ25,IF(A26&lt;'Données projet'!$A$62,$AF$205^A26,IF(A26='Données projet'!$A$62,'Données projet'!$B$62,AI25+AH26-AQ25)))</f>
        <v>91</v>
      </c>
      <c r="AJ26" s="13">
        <f>AI26*VLOOKUP('Données projet'!$B$10,Paramètres!$A$1:$I$89,3,0)*VLOOKUP('Données projet'!$B$10,Paramètres!$A$1:$I$89,5,0)</f>
        <v>76.6584</v>
      </c>
      <c r="AK26" s="13">
        <f t="shared" si="35"/>
        <v>21.318127749842347</v>
      </c>
      <c r="AL26" s="20">
        <f t="shared" si="4"/>
        <v>170.6424524976421</v>
      </c>
      <c r="AM26" s="59">
        <f t="shared" si="5"/>
        <v>426.6127171733512</v>
      </c>
      <c r="AN26" s="59">
        <f ca="1">AVERAGE(OFFSET($AM$3,0,0,'Données projet'!$E$10+1,1))-AVERAGE(OFFSET($H$3,0,0,'Données projet'!$E$10+1,1))</f>
        <v>445.19118535527258</v>
      </c>
      <c r="AO26" s="59">
        <f t="shared" si="36"/>
        <v>270.93483242839363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62.14340551761763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6</v>
      </c>
      <c r="BD26" s="12">
        <f>IF('Données projet'!$A$88&gt;35,BD25+BC26-BL25,IF(A26&lt;'Données projet'!$A$88,$BA$205^A26,IF(A26='Données projet'!$A$88,'Données projet'!$B$88,BD25+BC26-BL25)))</f>
        <v>91</v>
      </c>
      <c r="BE26" s="13">
        <f>BD26*VLOOKUP('Données projet'!$B$11,Paramètres!$A$1:$I$89,3,0)*VLOOKUP('Données projet'!$B$11,Paramètres!$A$1:$I$89,5,0)</f>
        <v>92.274000000000001</v>
      </c>
      <c r="BF26" s="13">
        <f t="shared" si="37"/>
        <v>25.112860036087575</v>
      </c>
      <c r="BG26" s="20">
        <f t="shared" si="7"/>
        <v>204.4487812295192</v>
      </c>
      <c r="BH26" s="59">
        <f t="shared" si="8"/>
        <v>460.4190459052283</v>
      </c>
      <c r="BI26" s="59">
        <f ca="1">AVERAGE(OFFSET($BH$3,0,0,'Données projet'!$E$11+1,1))-AVERAGE(OFFSET($H$3,0,0,'Données projet'!$E$11+1,1))</f>
        <v>524.01140973345832</v>
      </c>
      <c r="BJ26" s="59">
        <f t="shared" si="38"/>
        <v>315.59942237999621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62.14340551761763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16.8</v>
      </c>
      <c r="BY26" s="12">
        <f>IF('Données projet'!$A$114&gt;35,BY25+BX26-CG25,IF(A26&lt;'Données projet'!$A$114,$BV$205^A26,IF(A26='Données projet'!$A$114,'Données projet'!$B$114,BY25+BX26-CG25)))</f>
        <v>131.4</v>
      </c>
      <c r="BZ26" s="13">
        <f>BY26*VLOOKUP('Données projet'!$B$12,Paramètres!$A$1:$I$89,3,0)*VLOOKUP('Données projet'!$B$12,Paramètres!$A$1:$I$89,5,0)</f>
        <v>88.14312000000001</v>
      </c>
      <c r="CA26" s="13">
        <f t="shared" si="39"/>
        <v>24.116848324965968</v>
      </c>
      <c r="CB26" s="20">
        <f t="shared" si="10"/>
        <v>195.5194448326491</v>
      </c>
      <c r="CC26" s="59">
        <f t="shared" si="11"/>
        <v>451.4897095083582</v>
      </c>
      <c r="CD26" s="59">
        <f ca="1">AVERAGE(OFFSET($CC$3,0,0,'Données projet'!$E$12+1,1))-AVERAGE(OFFSET($H$3,0,0,'Données projet'!$E$12+1,1))</f>
        <v>358.95222991910504</v>
      </c>
      <c r="CE26" s="59">
        <f t="shared" si="40"/>
        <v>347.37506646970905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62.14340551761763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16.8</v>
      </c>
      <c r="CT26" s="12">
        <f>IF('Données projet'!$A$140&gt;35,CT25+CS26-DB25,IF(A26&lt;'Données projet'!$A$140,$CQ$205^A26,IF(A26='Données projet'!$A$140,'Données projet'!$B$140,CT25+CS26-DB25)))</f>
        <v>131.4</v>
      </c>
      <c r="CU26" s="17">
        <f>CT26*VLOOKUP('Données projet'!$B$13,Paramètres!$A$1:$I$89,3,0)*VLOOKUP('Données projet'!$B$13,Paramètres!$A$1:$I$89,5,0)</f>
        <v>86.093280000000007</v>
      </c>
      <c r="CV26" s="13">
        <f t="shared" si="41"/>
        <v>23.620598504835936</v>
      </c>
      <c r="CW26" s="20">
        <f t="shared" si="13"/>
        <v>191.08500506258926</v>
      </c>
      <c r="CX26" s="59">
        <f t="shared" si="14"/>
        <v>447.05526973829836</v>
      </c>
      <c r="CY26" s="59">
        <f ca="1">AVERAGE(OFFSET($CX$3,0,0,'Données projet'!$E$13+1,1))-AVERAGE(OFFSET($H$3,0,0,'Données projet'!$E$13+1,1))</f>
        <v>351.7266381615546</v>
      </c>
      <c r="CZ26" s="59">
        <f t="shared" si="42"/>
        <v>340.52483243761799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4.6981415402996536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4.6981415402996536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62.14340551761763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11</v>
      </c>
      <c r="DO26" s="12">
        <f>IF('Données projet'!$A$166&gt;35,DO25+DN26-DW25,IF(A26&lt;'Données projet'!$A$166,$DL$205^A26,IF(A26='Données projet'!$A$166,'Données projet'!$B$166,DO25+DN26-DW25)))</f>
        <v>89</v>
      </c>
      <c r="DP26" s="17">
        <f>DO26*VLOOKUP('Données projet'!$B$14,Paramètres!$A$1:$I$89,3,0)*VLOOKUP('Données projet'!$B$14,Paramètres!$A$1:$I$89,5,0)</f>
        <v>76.362000000000009</v>
      </c>
      <c r="DQ26" s="13">
        <f t="shared" si="43"/>
        <v>21.245279172340783</v>
      </c>
      <c r="DR26" s="20">
        <f t="shared" si="16"/>
        <v>169.99934455849356</v>
      </c>
      <c r="DS26" s="59">
        <f t="shared" si="17"/>
        <v>425.96960923420266</v>
      </c>
      <c r="DT26" s="59">
        <f ca="1">AVERAGE(OFFSET($DS$3,0,0,'Données projet'!$E$14+1,1))-AVERAGE(OFFSET($H$3,0,0,'Données projet'!$E$14+1,1))</f>
        <v>569.21675741362196</v>
      </c>
      <c r="DU26" s="59">
        <f t="shared" si="44"/>
        <v>321.12410801891679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62.14340551761763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16.8</v>
      </c>
      <c r="EJ26" s="12">
        <f>IF('Données projet'!$A$192&gt;35,EJ25+EI26-ER25,IF(A26&lt;'Données projet'!$A$192,$EG$205^A26,IF(A26='Données projet'!$A$192,'Données projet'!$B$192,EJ25+EI26-ER25)))</f>
        <v>131.4</v>
      </c>
      <c r="EK26" s="17">
        <f>EJ26*VLOOKUP('Données projet'!$B$15,Paramètres!$A$1:$I$89,3,0)*VLOOKUP('Données projet'!$B$15,Paramètres!$A$1:$I$89,5,0)</f>
        <v>104.54184000000002</v>
      </c>
      <c r="EL26" s="13">
        <f t="shared" si="45"/>
        <v>28.041215323191079</v>
      </c>
      <c r="EM26" s="20">
        <f t="shared" si="19"/>
        <v>230.91548802122449</v>
      </c>
      <c r="EN26" s="59">
        <f t="shared" si="20"/>
        <v>486.88575269693359</v>
      </c>
      <c r="EO26" s="59">
        <f ca="1">AVERAGE(OFFSET($EN$3,0,0,'Données projet'!$E$15+1,1))-AVERAGE(OFFSET($H$3,0,0,'Données projet'!$E$15+1,1))</f>
        <v>416.63597645452791</v>
      </c>
      <c r="EP26" s="59">
        <f t="shared" si="46"/>
        <v>402.05920382353497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7.0316038667940015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7.0316038667940015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62.14340551761763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14.8</v>
      </c>
      <c r="FE26" s="12">
        <f>IF('Données projet'!$A$218&gt;35,FE25+FD26-FM25,IF(A26&lt;'Données projet'!$A$218,$FB$205^A26,IF(A26='Données projet'!$A$218,'Données projet'!$B$218,FE25+FD26-FM25)))</f>
        <v>111.39999999999998</v>
      </c>
      <c r="FF26" s="17">
        <f>FE26*VLOOKUP('Données projet'!$B$16,Paramètres!$A$1:$I$89,3,0)*VLOOKUP('Données projet'!$B$16,Paramètres!$A$1:$I$89,5,0)</f>
        <v>97.319039999999987</v>
      </c>
      <c r="FG26" s="13">
        <f t="shared" si="47"/>
        <v>26.322289133542785</v>
      </c>
      <c r="FH26" s="20">
        <f t="shared" si="22"/>
        <v>215.34198157425362</v>
      </c>
      <c r="FI26" s="59">
        <f t="shared" si="23"/>
        <v>471.31224624996275</v>
      </c>
      <c r="FJ26" s="59">
        <f ca="1">AVERAGE(OFFSET($FI$3,0,0,'Données projet'!$E$16+1,1))-AVERAGE(OFFSET($H$3,0,0,'Données projet'!$E$16+1,1))</f>
        <v>395.57130469647603</v>
      </c>
      <c r="FK26" s="59">
        <f t="shared" si="48"/>
        <v>383.97542781562674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6.1720394962700222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6.1720394962700222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62.14340551761763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10.6</v>
      </c>
      <c r="FZ26" s="12">
        <f>IF('Données projet'!$A$244&gt;35,FZ25+FY26-GH25,IF(A26&lt;'Données projet'!$A$244,$FW$205^A26,IF(A26='Données projet'!$A$244,'Données projet'!$B$244,FZ25+FY26-GH25)))</f>
        <v>91.799999999999969</v>
      </c>
      <c r="GA26" s="17">
        <f>FZ26*VLOOKUP('Données projet'!$B$17,Paramètres!$A$1:$I$89,3,0)*VLOOKUP('Données projet'!$B$17,Paramètres!$A$1:$I$89,5,0)</f>
        <v>71.603999999999985</v>
      </c>
      <c r="GB26" s="13">
        <f t="shared" si="49"/>
        <v>20.071260561992585</v>
      </c>
      <c r="GC26" s="20">
        <f t="shared" si="25"/>
        <v>159.66774547880371</v>
      </c>
      <c r="GD26" s="59">
        <f t="shared" si="26"/>
        <v>415.63801015451281</v>
      </c>
      <c r="GE26" s="59">
        <f ca="1">AVERAGE(OFFSET($GD$3,0,0,'Données projet'!$E$17+1,1))-AVERAGE(OFFSET($H$3,0,0,'Données projet'!$E$17+1,1))</f>
        <v>301.74744407733351</v>
      </c>
      <c r="GF26" s="59">
        <f t="shared" si="50"/>
        <v>292.46787700966991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1.7469384428147707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1.7469384428147707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62.14340551761763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16.8</v>
      </c>
      <c r="GU26" s="12">
        <f>IF('Données projet'!$A$270&gt;35,GU25+GT26-HC25,IF(A26&lt;'Données projet'!$A$270,$GR$205^A26,IF(A26='Données projet'!$A$270,'Données projet'!$B$270,GU25+GT26-HC25)))</f>
        <v>131.4</v>
      </c>
      <c r="GV26" s="17">
        <f>GU26*VLOOKUP('Données projet'!$B$18,Paramètres!$A$1:$I$89,3,0)*VLOOKUP('Données projet'!$B$18,Paramètres!$A$1:$I$89,5,0)</f>
        <v>77.893920000000008</v>
      </c>
      <c r="GW26" s="13">
        <f t="shared" si="51"/>
        <v>21.621439791992646</v>
      </c>
      <c r="GX26" s="20">
        <f t="shared" si="28"/>
        <v>173.32258497105386</v>
      </c>
      <c r="GY26" s="59">
        <f t="shared" si="29"/>
        <v>429.29284964676299</v>
      </c>
      <c r="GZ26" s="59">
        <f ca="1">AVERAGE(OFFSET($GY$3,0,0,'Données projet'!$E$18+1,1))-AVERAGE(OFFSET($H$3,0,0,'Données projet'!$E$18+1,1))</f>
        <v>322.78672881269978</v>
      </c>
      <c r="HA26" s="59">
        <f t="shared" si="52"/>
        <v>313.08736327626434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projet'!$B$18,Paramètres!$A$1:$I$89,3,0)*0.475*44/12</f>
        <v>0</v>
      </c>
      <c r="HH26" s="21">
        <f>EXP(-LN(2)/25)*HH25+(1-EXP(-LN(2)/25))/(LN(2)/25)*Calculateur!HC26*Calculateur!HE26*VLOOKUP('Données projet'!$B$18,Paramètres!$A$1:$I$89,3,0)*0.475*44/12</f>
        <v>0</v>
      </c>
      <c r="HI26" s="21">
        <f>EXP(-LN(2)/2)*HI25+(1-EXP(-LN(2)/2))/(LN(2)/2)*HC26*HF26*VLOOKUP('Données projet'!$B$18,Paramètres!$A$1:$I$89,3,0)*0.475*44/12</f>
        <v>0</v>
      </c>
      <c r="HJ26" s="22">
        <f t="shared" si="30"/>
        <v>0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2.3499999999999996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8.6166666666666654</v>
      </c>
      <c r="H27" s="67">
        <f t="shared" si="1"/>
        <v>222.20000000000002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62.279699867173079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6</v>
      </c>
      <c r="N27" s="13">
        <f>IF('Données projet'!$A$36&gt;35,N26+M27-V26,IF(A27&lt;'Données projet'!$A$36,$K$205^A27,IF(A27='Données projet'!$A$36,'Données projet'!$B$36,N26+M27-V26)))</f>
        <v>97</v>
      </c>
      <c r="O27" s="13">
        <f>N27*VLOOKUP('Données projet'!$B$9,Paramètres!$A$1:$I$89,3,0)*VLOOKUP('Données projet'!$B$9,Paramètres!$A$1:$I$89,5,0)</f>
        <v>87.765600000000006</v>
      </c>
      <c r="P27" s="13">
        <f t="shared" si="33"/>
        <v>24.025555589247954</v>
      </c>
      <c r="Q27" s="20">
        <f t="shared" si="2"/>
        <v>194.7029293179402</v>
      </c>
      <c r="R27" s="59">
        <f t="shared" si="0"/>
        <v>452.39516216424147</v>
      </c>
      <c r="S27" s="59">
        <f ca="1">AVERAGE(OFFSET($R$3,0,0,'Données projet'!$E$9+1,1))-AVERAGE(OFFSET($H$3,0,0,'Données projet'!$E$9+1,1))</f>
        <v>473.88815717313474</v>
      </c>
      <c r="T27" s="59">
        <f t="shared" si="34"/>
        <v>287.19790203552895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62.279699867173079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6</v>
      </c>
      <c r="AI27" s="13">
        <f>IF('Données projet'!$A$62&gt;35,AI26+AH27-AQ26,IF(A27&lt;'Données projet'!$A$62,$AF$205^A27,IF(A27='Données projet'!$A$62,'Données projet'!$B$62,AI26+AH27-AQ26)))</f>
        <v>97</v>
      </c>
      <c r="AJ27" s="13">
        <f>AI27*VLOOKUP('Données projet'!$B$10,Paramètres!$A$1:$I$89,3,0)*VLOOKUP('Données projet'!$B$10,Paramètres!$A$1:$I$89,5,0)</f>
        <v>81.712800000000001</v>
      </c>
      <c r="AK27" s="13">
        <f t="shared" si="35"/>
        <v>22.55545490774292</v>
      </c>
      <c r="AL27" s="20">
        <f t="shared" si="4"/>
        <v>181.60054396431892</v>
      </c>
      <c r="AM27" s="59">
        <f t="shared" si="5"/>
        <v>439.29277681062024</v>
      </c>
      <c r="AN27" s="59">
        <f ca="1">AVERAGE(OFFSET($AM$3,0,0,'Données projet'!$E$10+1,1))-AVERAGE(OFFSET($H$3,0,0,'Données projet'!$E$10+1,1))</f>
        <v>445.19118535527258</v>
      </c>
      <c r="AO27" s="59">
        <f t="shared" si="36"/>
        <v>270.93483242839363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62.279699867173079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6</v>
      </c>
      <c r="BD27" s="12">
        <f>IF('Données projet'!$A$88&gt;35,BD26+BC27-BL26,IF(A27&lt;'Données projet'!$A$88,$BA$205^A27,IF(A27='Données projet'!$A$88,'Données projet'!$B$88,BD26+BC27-BL26)))</f>
        <v>97</v>
      </c>
      <c r="BE27" s="13">
        <f>BD27*VLOOKUP('Données projet'!$B$11,Paramètres!$A$1:$I$89,3,0)*VLOOKUP('Données projet'!$B$11,Paramètres!$A$1:$I$89,5,0)</f>
        <v>98.358000000000004</v>
      </c>
      <c r="BF27" s="13">
        <f t="shared" si="37"/>
        <v>26.570437554143126</v>
      </c>
      <c r="BG27" s="20">
        <f t="shared" si="7"/>
        <v>217.58369540679928</v>
      </c>
      <c r="BH27" s="59">
        <f t="shared" si="8"/>
        <v>475.27592825310057</v>
      </c>
      <c r="BI27" s="59">
        <f ca="1">AVERAGE(OFFSET($BH$3,0,0,'Données projet'!$E$11+1,1))-AVERAGE(OFFSET($H$3,0,0,'Données projet'!$E$11+1,1))</f>
        <v>524.01140973345832</v>
      </c>
      <c r="BJ27" s="59">
        <f t="shared" si="38"/>
        <v>315.59942237999621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62.279699867173079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16.8</v>
      </c>
      <c r="BY27" s="12">
        <f>IF('Données projet'!$A$114&gt;35,BY26+BX27-CG26,IF(A27&lt;'Données projet'!$A$114,$BV$205^A27,IF(A27='Données projet'!$A$114,'Données projet'!$B$114,BY26+BX27-CG26)))</f>
        <v>148.20000000000002</v>
      </c>
      <c r="BZ27" s="13">
        <f>BY27*VLOOKUP('Données projet'!$B$12,Paramètres!$A$1:$I$89,3,0)*VLOOKUP('Données projet'!$B$12,Paramètres!$A$1:$I$89,5,0)</f>
        <v>99.412560000000013</v>
      </c>
      <c r="CA27" s="13">
        <f t="shared" si="39"/>
        <v>26.822000116688319</v>
      </c>
      <c r="CB27" s="20">
        <f t="shared" si="10"/>
        <v>219.85852553656548</v>
      </c>
      <c r="CC27" s="59">
        <f t="shared" si="11"/>
        <v>477.55075838286677</v>
      </c>
      <c r="CD27" s="59">
        <f ca="1">AVERAGE(OFFSET($CC$3,0,0,'Données projet'!$E$12+1,1))-AVERAGE(OFFSET($H$3,0,0,'Données projet'!$E$12+1,1))</f>
        <v>358.95222991910504</v>
      </c>
      <c r="CE27" s="59">
        <f t="shared" si="40"/>
        <v>347.37506646970905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62.279699867173079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16.8</v>
      </c>
      <c r="CT27" s="12">
        <f>IF('Données projet'!$A$140&gt;35,CT26+CS27-DB26,IF(A27&lt;'Données projet'!$A$140,$CQ$205^A27,IF(A27='Données projet'!$A$140,'Données projet'!$B$140,CT26+CS27-DB26)))</f>
        <v>148.20000000000002</v>
      </c>
      <c r="CU27" s="17">
        <f>CT27*VLOOKUP('Données projet'!$B$13,Paramètres!$A$1:$I$89,3,0)*VLOOKUP('Données projet'!$B$13,Paramètres!$A$1:$I$89,5,0)</f>
        <v>97.100640000000013</v>
      </c>
      <c r="CV27" s="13">
        <f t="shared" si="41"/>
        <v>26.270086676172319</v>
      </c>
      <c r="CW27" s="20">
        <f t="shared" si="13"/>
        <v>214.87068229433348</v>
      </c>
      <c r="CX27" s="59">
        <f t="shared" si="14"/>
        <v>472.5629151406348</v>
      </c>
      <c r="CY27" s="59">
        <f ca="1">AVERAGE(OFFSET($CX$3,0,0,'Données projet'!$E$13+1,1))-AVERAGE(OFFSET($H$3,0,0,'Données projet'!$E$13+1,1))</f>
        <v>351.7266381615546</v>
      </c>
      <c r="CZ27" s="59">
        <f t="shared" si="42"/>
        <v>340.52483243761799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4.6060138502777637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4.6060138502777637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62.279699867173079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11</v>
      </c>
      <c r="DO27" s="12">
        <f>IF('Données projet'!$A$166&gt;35,DO26+DN27-DW26,IF(A27&lt;'Données projet'!$A$166,$DL$205^A27,IF(A27='Données projet'!$A$166,'Données projet'!$B$166,DO26+DN27-DW26)))</f>
        <v>100</v>
      </c>
      <c r="DP27" s="17">
        <f>DO27*VLOOKUP('Données projet'!$B$14,Paramètres!$A$1:$I$89,3,0)*VLOOKUP('Données projet'!$B$14,Paramètres!$A$1:$I$89,5,0)</f>
        <v>85.800000000000011</v>
      </c>
      <c r="DQ27" s="13">
        <f t="shared" si="43"/>
        <v>23.549485995669766</v>
      </c>
      <c r="DR27" s="20">
        <f t="shared" si="16"/>
        <v>190.45035477579154</v>
      </c>
      <c r="DS27" s="59">
        <f t="shared" si="17"/>
        <v>448.14258762209283</v>
      </c>
      <c r="DT27" s="59">
        <f ca="1">AVERAGE(OFFSET($DS$3,0,0,'Données projet'!$E$14+1,1))-AVERAGE(OFFSET($H$3,0,0,'Données projet'!$E$14+1,1))</f>
        <v>569.21675741362196</v>
      </c>
      <c r="DU27" s="59">
        <f t="shared" si="44"/>
        <v>321.12410801891679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62.279699867173079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16.8</v>
      </c>
      <c r="EJ27" s="12">
        <f>IF('Données projet'!$A$192&gt;35,EJ26+EI27-ER26,IF(A27&lt;'Données projet'!$A$192,$EG$205^A27,IF(A27='Données projet'!$A$192,'Données projet'!$B$192,EJ26+EI27-ER26)))</f>
        <v>148.20000000000002</v>
      </c>
      <c r="EK27" s="17">
        <f>EJ27*VLOOKUP('Données projet'!$B$15,Paramètres!$A$1:$I$89,3,0)*VLOOKUP('Données projet'!$B$15,Paramètres!$A$1:$I$89,5,0)</f>
        <v>117.90792000000002</v>
      </c>
      <c r="EL27" s="13">
        <f t="shared" si="45"/>
        <v>31.186557651984323</v>
      </c>
      <c r="EM27" s="20">
        <f t="shared" si="19"/>
        <v>259.67288191053939</v>
      </c>
      <c r="EN27" s="59">
        <f t="shared" si="20"/>
        <v>517.36511475684074</v>
      </c>
      <c r="EO27" s="59">
        <f ca="1">AVERAGE(OFFSET($EN$3,0,0,'Données projet'!$E$15+1,1))-AVERAGE(OFFSET($H$3,0,0,'Données projet'!$E$15+1,1))</f>
        <v>416.63597645452791</v>
      </c>
      <c r="EP27" s="59">
        <f t="shared" si="46"/>
        <v>402.05920382353497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6.8937184038210404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6.8937184038210404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62.279699867173079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14.8</v>
      </c>
      <c r="FE27" s="12">
        <f>IF('Données projet'!$A$218&gt;35,FE26+FD27-FM26,IF(A27&lt;'Données projet'!$A$218,$FB$205^A27,IF(A27='Données projet'!$A$218,'Données projet'!$B$218,FE26+FD27-FM26)))</f>
        <v>126.19999999999997</v>
      </c>
      <c r="FF27" s="17">
        <f>FE27*VLOOKUP('Données projet'!$B$16,Paramètres!$A$1:$I$89,3,0)*VLOOKUP('Données projet'!$B$16,Paramètres!$A$1:$I$89,5,0)</f>
        <v>110.24831999999999</v>
      </c>
      <c r="FG27" s="13">
        <f t="shared" si="47"/>
        <v>29.389483021072536</v>
      </c>
      <c r="FH27" s="20">
        <f t="shared" si="22"/>
        <v>243.20250692836802</v>
      </c>
      <c r="FI27" s="59">
        <f t="shared" si="23"/>
        <v>500.89473977466935</v>
      </c>
      <c r="FJ27" s="59">
        <f ca="1">AVERAGE(OFFSET($FI$3,0,0,'Données projet'!$E$16+1,1))-AVERAGE(OFFSET($H$3,0,0,'Données projet'!$E$16+1,1))</f>
        <v>395.57130469647603</v>
      </c>
      <c r="FK27" s="59">
        <f t="shared" si="48"/>
        <v>383.97542781562674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6.0510095663205394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6.0510095663205394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62.279699867173079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10.6</v>
      </c>
      <c r="FZ27" s="12">
        <f>IF('Données projet'!$A$244&gt;35,FZ26+FY27-GH26,IF(A27&lt;'Données projet'!$A$244,$FW$205^A27,IF(A27='Données projet'!$A$244,'Données projet'!$B$244,FZ26+FY27-GH26)))</f>
        <v>102.39999999999996</v>
      </c>
      <c r="GA27" s="17">
        <f>FZ27*VLOOKUP('Données projet'!$B$17,Paramètres!$A$1:$I$89,3,0)*VLOOKUP('Données projet'!$B$17,Paramètres!$A$1:$I$89,5,0)</f>
        <v>79.871999999999971</v>
      </c>
      <c r="GB27" s="13">
        <f t="shared" si="49"/>
        <v>22.105884547145401</v>
      </c>
      <c r="GC27" s="20">
        <f t="shared" si="25"/>
        <v>177.61148225294485</v>
      </c>
      <c r="GD27" s="59">
        <f t="shared" si="26"/>
        <v>435.30371509924612</v>
      </c>
      <c r="GE27" s="59">
        <f ca="1">AVERAGE(OFFSET($GD$3,0,0,'Données projet'!$E$17+1,1))-AVERAGE(OFFSET($H$3,0,0,'Données projet'!$E$17+1,1))</f>
        <v>301.74744407733351</v>
      </c>
      <c r="GF27" s="59">
        <f t="shared" si="50"/>
        <v>292.46787700966991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1.7126820454784111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1.7126820454784111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62.279699867173079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16.8</v>
      </c>
      <c r="GU27" s="12">
        <f>IF('Données projet'!$A$270&gt;35,GU26+GT27-HC26,IF(A27&lt;'Données projet'!$A$270,$GR$205^A27,IF(A27='Données projet'!$A$270,'Données projet'!$B$270,GU26+GT27-HC26)))</f>
        <v>148.20000000000002</v>
      </c>
      <c r="GV27" s="17">
        <f>GU27*VLOOKUP('Données projet'!$B$18,Paramètres!$A$1:$I$89,3,0)*VLOOKUP('Données projet'!$B$18,Paramètres!$A$1:$I$89,5,0)</f>
        <v>87.852960000000024</v>
      </c>
      <c r="GW27" s="13">
        <f t="shared" si="51"/>
        <v>24.046685238860469</v>
      </c>
      <c r="GX27" s="20">
        <f t="shared" si="28"/>
        <v>194.89188212434871</v>
      </c>
      <c r="GY27" s="59">
        <f t="shared" si="29"/>
        <v>452.58411497065003</v>
      </c>
      <c r="GZ27" s="59">
        <f ca="1">AVERAGE(OFFSET($GY$3,0,0,'Données projet'!$E$18+1,1))-AVERAGE(OFFSET($H$3,0,0,'Données projet'!$E$18+1,1))</f>
        <v>322.78672881269978</v>
      </c>
      <c r="HA27" s="59">
        <f t="shared" si="52"/>
        <v>313.08736327626434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>
        <f>EXP(-LN(2)/35)*HG26+(1-EXP(-LN(2)/35))/(LN(2)/35)*HC27*HD27*VLOOKUP('Données projet'!$B$18,Paramètres!$A$1:$I$89,3,0)*0.475*44/12</f>
        <v>0</v>
      </c>
      <c r="HH27" s="21">
        <f>EXP(-LN(2)/25)*HH26+(1-EXP(-LN(2)/25))/(LN(2)/25)*Calculateur!HC27*Calculateur!HE27*VLOOKUP('Données projet'!$B$18,Paramètres!$A$1:$I$89,3,0)*0.475*44/12</f>
        <v>0</v>
      </c>
      <c r="HI27" s="21">
        <f>EXP(-LN(2)/2)*HI26+(1-EXP(-LN(2)/2))/(LN(2)/2)*HC27*HF27*VLOOKUP('Données projet'!$B$18,Paramètres!$A$1:$I$89,3,0)*0.475*44/12</f>
        <v>0</v>
      </c>
      <c r="HJ27" s="22">
        <f t="shared" si="30"/>
        <v>0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2.3499999999999996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8.6166666666666654</v>
      </c>
      <c r="H28" s="67">
        <f t="shared" si="1"/>
        <v>222.20000000000002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62.413629814472266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103</v>
      </c>
      <c r="L28" s="12">
        <f>VLOOKUP(A28,'Données projet'!$A$35:$I$55,9,0)</f>
        <v>6</v>
      </c>
      <c r="M28" s="12">
        <f t="array" ref="M28">INDEX(L:L,MIN(IF(ISNUMBER(L28:L224),ROW(L28:L224),"")))</f>
        <v>6</v>
      </c>
      <c r="N28" s="13">
        <f>IF('Données projet'!$A$36&gt;35,N27+M28-V27,IF(A28&lt;'Données projet'!$A$36,$K$205^A28,IF(A28='Données projet'!$A$36,'Données projet'!$B$36,N27+M28-V27)))</f>
        <v>103</v>
      </c>
      <c r="O28" s="13">
        <f>N28*VLOOKUP('Données projet'!$B$9,Paramètres!$A$1:$I$89,3,0)*VLOOKUP('Données projet'!$B$9,Paramètres!$A$1:$I$89,5,0)</f>
        <v>93.194400000000002</v>
      </c>
      <c r="P28" s="13">
        <f t="shared" si="33"/>
        <v>25.33406653691528</v>
      </c>
      <c r="Q28" s="20">
        <f t="shared" si="2"/>
        <v>206.43707921846078</v>
      </c>
      <c r="R28" s="59">
        <f t="shared" si="0"/>
        <v>465.84261076041463</v>
      </c>
      <c r="S28" s="59">
        <f ca="1">AVERAGE(OFFSET($R$3,0,0,'Données projet'!$E$9+1,1))-AVERAGE(OFFSET($H$3,0,0,'Données projet'!$E$9+1,1))</f>
        <v>473.88815717313474</v>
      </c>
      <c r="T28" s="59">
        <f t="shared" si="34"/>
        <v>287.19790203552895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62.413629814472266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103</v>
      </c>
      <c r="AG28" s="12">
        <f>VLOOKUP(A28,'Données projet'!$A$61:$I$81,9,0)</f>
        <v>6</v>
      </c>
      <c r="AH28" s="12">
        <f t="array" ref="AH28">INDEX(AG:AG,MIN(IF(ISNUMBER(AG28:AG224),ROW(AG28:AG224),"")))</f>
        <v>6</v>
      </c>
      <c r="AI28" s="13">
        <f>IF('Données projet'!$A$62&gt;35,AI27+AH28-AQ27,IF(A28&lt;'Données projet'!$A$62,$AF$205^A28,IF(A28='Données projet'!$A$62,'Données projet'!$B$62,AI27+AH28-AQ27)))</f>
        <v>103</v>
      </c>
      <c r="AJ28" s="13">
        <f>AI28*VLOOKUP('Données projet'!$B$10,Paramètres!$A$1:$I$89,3,0)*VLOOKUP('Données projet'!$B$10,Paramètres!$A$1:$I$89,5,0)</f>
        <v>86.767200000000017</v>
      </c>
      <c r="AK28" s="13">
        <f t="shared" si="35"/>
        <v>23.783899326718451</v>
      </c>
      <c r="AL28" s="20">
        <f t="shared" si="4"/>
        <v>192.54316466070134</v>
      </c>
      <c r="AM28" s="59">
        <f t="shared" si="5"/>
        <v>451.94869620265519</v>
      </c>
      <c r="AN28" s="59">
        <f ca="1">AVERAGE(OFFSET($AM$3,0,0,'Données projet'!$E$10+1,1))-AVERAGE(OFFSET($H$3,0,0,'Données projet'!$E$10+1,1))</f>
        <v>445.19118535527258</v>
      </c>
      <c r="AO28" s="59">
        <f t="shared" si="36"/>
        <v>270.93483242839363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62.413629814472266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103</v>
      </c>
      <c r="BB28" s="12">
        <f>VLOOKUP(A28,'Données projet'!$A$87:$I$107,9,0)</f>
        <v>6</v>
      </c>
      <c r="BC28" s="12">
        <f t="array" ref="BC28">INDEX(BB:BB,MIN(IF(ISNUMBER(BB28:BB224),ROW(BB28:BB224),"")))</f>
        <v>6</v>
      </c>
      <c r="BD28" s="12">
        <f>IF('Données projet'!$A$88&gt;35,BD27+BC28-BL27,IF(A28&lt;'Données projet'!$A$88,$BA$205^A28,IF(A28='Données projet'!$A$88,'Données projet'!$B$88,BD27+BC28-BL27)))</f>
        <v>103</v>
      </c>
      <c r="BE28" s="13">
        <f>BD28*VLOOKUP('Données projet'!$B$11,Paramètres!$A$1:$I$89,3,0)*VLOOKUP('Données projet'!$B$11,Paramètres!$A$1:$I$89,5,0)</f>
        <v>104.44200000000001</v>
      </c>
      <c r="BF28" s="13">
        <f t="shared" si="37"/>
        <v>28.017551161766285</v>
      </c>
      <c r="BG28" s="20">
        <f t="shared" si="7"/>
        <v>230.70038494007625</v>
      </c>
      <c r="BH28" s="59">
        <f t="shared" si="8"/>
        <v>490.10591648203012</v>
      </c>
      <c r="BI28" s="59">
        <f ca="1">AVERAGE(OFFSET($BH$3,0,0,'Données projet'!$E$11+1,1))-AVERAGE(OFFSET($H$3,0,0,'Données projet'!$E$11+1,1))</f>
        <v>524.01140973345832</v>
      </c>
      <c r="BJ28" s="59">
        <f t="shared" si="38"/>
        <v>315.59942237999621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62.413629814472266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165</v>
      </c>
      <c r="BW28" s="12">
        <f>VLOOKUP(A28,'Données projet'!$A$113:$I$133,9,0)</f>
        <v>16.8</v>
      </c>
      <c r="BX28" s="12">
        <f t="array" ref="BX28">INDEX(BW:BW,MIN(IF(ISNUMBER(BW28:BW224),ROW(BW28:BW224),"")))</f>
        <v>16.8</v>
      </c>
      <c r="BY28" s="12">
        <f>IF('Données projet'!$A$114&gt;35,BY27+BX28-CG27,IF(A28&lt;'Données projet'!$A$114,$BV$205^A28,IF(A28='Données projet'!$A$114,'Données projet'!$B$114,BY27+BX28-CG27)))</f>
        <v>165.00000000000003</v>
      </c>
      <c r="BZ28" s="13">
        <f>BY28*VLOOKUP('Données projet'!$B$12,Paramètres!$A$1:$I$89,3,0)*VLOOKUP('Données projet'!$B$12,Paramètres!$A$1:$I$89,5,0)</f>
        <v>110.68200000000003</v>
      </c>
      <c r="CA28" s="13">
        <f t="shared" si="39"/>
        <v>29.49161124389969</v>
      </c>
      <c r="CB28" s="20">
        <f t="shared" si="10"/>
        <v>244.13570624979198</v>
      </c>
      <c r="CC28" s="59">
        <f t="shared" si="11"/>
        <v>503.54123779174586</v>
      </c>
      <c r="CD28" s="59">
        <f ca="1">AVERAGE(OFFSET($CC$3,0,0,'Données projet'!$E$12+1,1))-AVERAGE(OFFSET($H$3,0,0,'Données projet'!$E$12+1,1))</f>
        <v>358.95222991910504</v>
      </c>
      <c r="CE28" s="59">
        <f t="shared" si="40"/>
        <v>347.37506646970905</v>
      </c>
      <c r="CF28" s="15">
        <f>IF(ISNA(VLOOKUP(A28,'Données projet'!$A$113:$I$133,3,0)),0,VLOOKUP(A28,'Données projet'!$A$113:$I$133,3,0))</f>
        <v>4</v>
      </c>
      <c r="CG28" s="15">
        <f>IF(ISNA(VLOOKUP(A28,'Données projet'!$A$113:$I$133,4,0)),0,VLOOKUP(A28,'Données projet'!$A$113:$I$133,4,0))</f>
        <v>42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62.413629814472266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165</v>
      </c>
      <c r="CR28" s="12">
        <f>VLOOKUP(A28,'Données projet'!$A$139:$I$159,9,0)</f>
        <v>16.8</v>
      </c>
      <c r="CS28" s="12">
        <f t="array" ref="CS28">INDEX(CR:CR,MIN(IF(ISNUMBER(CR28:CR224),ROW(CR28:CR224),"")))</f>
        <v>16.8</v>
      </c>
      <c r="CT28" s="12">
        <f>IF('Données projet'!$A$140&gt;35,CT27+CS28-DB27,IF(A28&lt;'Données projet'!$A$140,$CQ$205^A28,IF(A28='Données projet'!$A$140,'Données projet'!$B$140,CT27+CS28-DB27)))</f>
        <v>165.00000000000003</v>
      </c>
      <c r="CU28" s="17">
        <f>CT28*VLOOKUP('Données projet'!$B$13,Paramètres!$A$1:$I$89,3,0)*VLOOKUP('Données projet'!$B$13,Paramètres!$A$1:$I$89,5,0)</f>
        <v>108.10800000000002</v>
      </c>
      <c r="CV28" s="13">
        <f t="shared" si="41"/>
        <v>28.884765499467161</v>
      </c>
      <c r="CW28" s="20">
        <f t="shared" si="13"/>
        <v>238.59573324490532</v>
      </c>
      <c r="CX28" s="59">
        <f t="shared" si="14"/>
        <v>498.00126478685917</v>
      </c>
      <c r="CY28" s="59">
        <f ca="1">AVERAGE(OFFSET($CX$3,0,0,'Données projet'!$E$13+1,1))-AVERAGE(OFFSET($H$3,0,0,'Données projet'!$E$13+1,1))</f>
        <v>351.7266381615546</v>
      </c>
      <c r="CZ28" s="59">
        <f t="shared" si="42"/>
        <v>340.52483243761799</v>
      </c>
      <c r="DA28" s="15">
        <f>IF(ISNA(VLOOKUP(A28,'Données projet'!$A$139:$I$159,3,0)),0,VLOOKUP(A28,'Données projet'!$A$139:$I$159,3,0))</f>
        <v>4</v>
      </c>
      <c r="DB28" s="15">
        <f>IF(ISNA(VLOOKUP(A28,'Données projet'!$A$139:$I$159,4,0)),0,VLOOKUP(A28,'Données projet'!$A$139:$I$159,4,0))</f>
        <v>42</v>
      </c>
      <c r="DC28" s="16">
        <f>IF(ISNA(VLOOKUP(A28,'Données projet'!$A$139:$I$159,5,0)),0%,VLOOKUP(A28,'Données projet'!$A$139:$I$159,5,0)*VLOOKUP('Données projet'!$B$13,Paramètres!$A$1:$I$89,7,0))</f>
        <v>0.129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8.4399728439508621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8.4399728439508621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62.413629814472266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111</v>
      </c>
      <c r="DM28" s="12">
        <f>VLOOKUP(A28,'Données projet'!$A$165:$I$185,9,0)</f>
        <v>11</v>
      </c>
      <c r="DN28" s="12">
        <f t="array" ref="DN28">INDEX(DM:DM,MIN(IF(ISNUMBER(DM28:DM224),ROW(DM28:DM224),"")))</f>
        <v>11</v>
      </c>
      <c r="DO28" s="12">
        <f>IF('Données projet'!$A$166&gt;35,DO27+DN28-DW27,IF(A28&lt;'Données projet'!$A$166,$DL$205^A28,IF(A28='Données projet'!$A$166,'Données projet'!$B$166,DO27+DN28-DW27)))</f>
        <v>111</v>
      </c>
      <c r="DP28" s="17">
        <f>DO28*VLOOKUP('Données projet'!$B$14,Paramètres!$A$1:$I$89,3,0)*VLOOKUP('Données projet'!$B$14,Paramètres!$A$1:$I$89,5,0)</f>
        <v>95.238000000000014</v>
      </c>
      <c r="DQ28" s="13">
        <f t="shared" si="43"/>
        <v>25.824315354051141</v>
      </c>
      <c r="DR28" s="20">
        <f t="shared" si="16"/>
        <v>210.85019924163907</v>
      </c>
      <c r="DS28" s="59">
        <f t="shared" si="17"/>
        <v>470.25573078359292</v>
      </c>
      <c r="DT28" s="59">
        <f ca="1">AVERAGE(OFFSET($DS$3,0,0,'Données projet'!$E$14+1,1))-AVERAGE(OFFSET($H$3,0,0,'Données projet'!$E$14+1,1))</f>
        <v>569.21675741362196</v>
      </c>
      <c r="DU28" s="59">
        <f t="shared" si="44"/>
        <v>321.12410801891679</v>
      </c>
      <c r="DV28" s="15">
        <f>IF(ISNA(VLOOKUP(A28,'Données projet'!$A$165:$I$185,3,0)),0,VLOOKUP(A28,'Données projet'!$A$165:$I$185,3,0))</f>
        <v>2</v>
      </c>
      <c r="DW28" s="15">
        <f>IF(ISNA(VLOOKUP(A28,'Données projet'!$A$165:$I$185,4,0)),0,VLOOKUP(A28,'Données projet'!$A$165:$I$185,4,0))</f>
        <v>26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62.413629814472266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165</v>
      </c>
      <c r="EH28" s="12">
        <f>VLOOKUP(A28,'Données projet'!$A$191:$I$211,9,0)</f>
        <v>16.8</v>
      </c>
      <c r="EI28" s="12">
        <f t="array" ref="EI28">INDEX(EH:EH,MIN(IF(ISNUMBER(EH28:EH224),ROW(EH28:EH224),"")))</f>
        <v>16.8</v>
      </c>
      <c r="EJ28" s="12">
        <f>IF('Données projet'!$A$192&gt;35,EJ27+EI28-ER27,IF(A28&lt;'Données projet'!$A$192,$EG$205^A28,IF(A28='Données projet'!$A$192,'Données projet'!$B$192,EJ27+EI28-ER27)))</f>
        <v>165.00000000000003</v>
      </c>
      <c r="EK28" s="17">
        <f>EJ28*VLOOKUP('Données projet'!$B$15,Paramètres!$A$1:$I$89,3,0)*VLOOKUP('Données projet'!$B$15,Paramètres!$A$1:$I$89,5,0)</f>
        <v>131.27400000000003</v>
      </c>
      <c r="EL28" s="13">
        <f t="shared" si="45"/>
        <v>34.290576031111669</v>
      </c>
      <c r="EM28" s="20">
        <f t="shared" si="19"/>
        <v>288.35830325418618</v>
      </c>
      <c r="EN28" s="59">
        <f t="shared" si="20"/>
        <v>547.76383479614003</v>
      </c>
      <c r="EO28" s="59">
        <f ca="1">AVERAGE(OFFSET($EN$3,0,0,'Données projet'!$E$15+1,1))-AVERAGE(OFFSET($H$3,0,0,'Données projet'!$E$15+1,1))</f>
        <v>416.63597645452791</v>
      </c>
      <c r="EP28" s="59">
        <f t="shared" si="46"/>
        <v>402.05920382353497</v>
      </c>
      <c r="EQ28" s="15">
        <f>IF(ISNA(VLOOKUP(A28,'Données projet'!$A$191:$I$211,3,0)),0,VLOOKUP(A28,'Données projet'!$A$191:$I$211,3,0))</f>
        <v>4</v>
      </c>
      <c r="ER28" s="15">
        <f>IF(ISNA(VLOOKUP(A28,'Données projet'!$A$191:$I$211,4,0)),0,VLOOKUP(A28,'Données projet'!$A$191:$I$211,4,0))</f>
        <v>42</v>
      </c>
      <c r="ES28" s="16">
        <f>IF(ISNA(VLOOKUP(A28,'Données projet'!$A$191:$I$211,5,0)),0%,VLOOKUP(A28,'Données projet'!$A$191:$I$211,5,0)*VLOOKUP('Données projet'!$B$15,Paramètres!$A$1:$I$89,7,0))</f>
        <v>0.159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12.631919489036093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12.631919489036093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62.413629814472266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>
        <f>VLOOKUP(A28,'Données projet'!$A$217:$I$237,2,0)</f>
        <v>141</v>
      </c>
      <c r="FC28" s="12">
        <f>VLOOKUP(A28,'Données projet'!$A$217:$I$237,9,0)</f>
        <v>14.8</v>
      </c>
      <c r="FD28" s="12">
        <f t="array" ref="FD28">INDEX(FC:FC,MIN(IF(ISNUMBER(FC28:FC224),ROW(FC28:FC224),"")))</f>
        <v>14.8</v>
      </c>
      <c r="FE28" s="12">
        <f>IF('Données projet'!$A$218&gt;35,FE27+FD28-FM27,IF(A28&lt;'Données projet'!$A$218,$FB$205^A28,IF(A28='Données projet'!$A$218,'Données projet'!$B$218,FE27+FD28-FM27)))</f>
        <v>140.99999999999997</v>
      </c>
      <c r="FF28" s="17">
        <f>FE28*VLOOKUP('Données projet'!$B$16,Paramètres!$A$1:$I$89,3,0)*VLOOKUP('Données projet'!$B$16,Paramètres!$A$1:$I$89,5,0)</f>
        <v>123.1776</v>
      </c>
      <c r="FG28" s="13">
        <f t="shared" si="47"/>
        <v>32.414991240570416</v>
      </c>
      <c r="FH28" s="20">
        <f t="shared" si="22"/>
        <v>270.99042974399345</v>
      </c>
      <c r="FI28" s="59">
        <f t="shared" si="23"/>
        <v>530.39596128594735</v>
      </c>
      <c r="FJ28" s="59">
        <f ca="1">AVERAGE(OFFSET($FI$3,0,0,'Données projet'!$E$16+1,1))-AVERAGE(OFFSET($H$3,0,0,'Données projet'!$E$16+1,1))</f>
        <v>395.57130469647603</v>
      </c>
      <c r="FK28" s="59">
        <f t="shared" si="48"/>
        <v>383.97542781562674</v>
      </c>
      <c r="FL28" s="15">
        <f>IF(ISNA(VLOOKUP(A28,'Données projet'!$A$217:$I$237,3,0)),0,VLOOKUP(A28,'Données projet'!$A$217:$I$237,3,0))</f>
        <v>4</v>
      </c>
      <c r="FM28" s="15">
        <f>IF(ISNA(VLOOKUP(A28,'Données projet'!$A$217:$I$237,4,0)),0,VLOOKUP(A28,'Données projet'!$A$217:$I$237,4,0))</f>
        <v>35</v>
      </c>
      <c r="FN28" s="16">
        <f>IF(ISNA(VLOOKUP(A28,'Données projet'!$A$217:$I$237,5,0)),0%,VLOOKUP(A28,'Données projet'!$A$217:$I$237,5,0)*VLOOKUP('Données projet'!$B$16,Paramètres!$A$1:$I$89,7,0))</f>
        <v>0.159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11.306690069087717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11.306690069087717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62.413629814472266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>
        <f>VLOOKUP(A28,'Données projet'!$A$243:$I$263,2,0)</f>
        <v>113</v>
      </c>
      <c r="FX28" s="12">
        <f>VLOOKUP(A28,'Données projet'!$A$243:$I$263,9,0)</f>
        <v>10.6</v>
      </c>
      <c r="FY28" s="12">
        <f t="array" ref="FY28">INDEX(FX:FX,MIN(IF(ISNUMBER(FX28:FX224),ROW(FX28:FX224),"")))</f>
        <v>10.6</v>
      </c>
      <c r="FZ28" s="12">
        <f>IF('Données projet'!$A$244&gt;35,FZ27+FY28-GH27,IF(A28&lt;'Données projet'!$A$244,$FW$205^A28,IF(A28='Données projet'!$A$244,'Données projet'!$B$244,FZ27+FY28-GH27)))</f>
        <v>112.99999999999996</v>
      </c>
      <c r="GA28" s="17">
        <f>FZ28*VLOOKUP('Données projet'!$B$17,Paramètres!$A$1:$I$89,3,0)*VLOOKUP('Données projet'!$B$17,Paramètres!$A$1:$I$89,5,0)</f>
        <v>88.139999999999972</v>
      </c>
      <c r="GB28" s="13">
        <f t="shared" si="49"/>
        <v>24.116094026318823</v>
      </c>
      <c r="GC28" s="20">
        <f t="shared" si="25"/>
        <v>195.51269709583855</v>
      </c>
      <c r="GD28" s="59">
        <f t="shared" si="26"/>
        <v>454.91822863779237</v>
      </c>
      <c r="GE28" s="59">
        <f ca="1">AVERAGE(OFFSET($GD$3,0,0,'Données projet'!$E$17+1,1))-AVERAGE(OFFSET($H$3,0,0,'Données projet'!$E$17+1,1))</f>
        <v>301.74744407733351</v>
      </c>
      <c r="GF28" s="59">
        <f t="shared" si="50"/>
        <v>292.46787700966991</v>
      </c>
      <c r="GG28" s="15">
        <f>IF(ISNA(VLOOKUP(A28,'Données projet'!$A$243:$I$263,3,0)),0,VLOOKUP(A28,'Données projet'!$A$243:$I$263,3,0))</f>
        <v>3</v>
      </c>
      <c r="GH28" s="15">
        <f>IF(ISNA(VLOOKUP(A28,'Données projet'!$A$243:$I$263,4,0)),0,VLOOKUP(A28,'Données projet'!$A$243:$I$263,4,0))</f>
        <v>27</v>
      </c>
      <c r="GI28" s="16">
        <f>IF(ISNA(VLOOKUP(A28,'Données projet'!$A$243:$I$263,5,0)),0%,VLOOKUP(A28,'Données projet'!$A$243:$I$263,5,0)*VLOOKUP('Données projet'!$B$17,Paramètres!$A$1:$I$89,7,0))</f>
        <v>8.6000000000000007E-2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3.6812811277943762</v>
      </c>
      <c r="GM28" s="21">
        <f>EXP(-LN(2)/25)*GM27+(1-EXP(-LN(2)/25))/(LN(2)/25)*Calculateur!GH28*Calculateur!GJ28*VLOOKUP('Données projet'!$B$17,Paramètres!$A$1:$I$89,3,0)*0.475*44/12</f>
        <v>0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3.6812811277943762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62.413629814472266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>
        <f>VLOOKUP(A28,'Données projet'!$A$269:$I$289,2,0)</f>
        <v>165</v>
      </c>
      <c r="GS28" s="12">
        <f>VLOOKUP(A28,'Données projet'!$A$269:$I$289,9,0)</f>
        <v>16.8</v>
      </c>
      <c r="GT28" s="12">
        <f t="array" ref="GT28">INDEX(GS:GS,MIN(IF(ISNUMBER(GS28:GS224),ROW(GS28:GS224),"")))</f>
        <v>16.8</v>
      </c>
      <c r="GU28" s="12">
        <f>IF('Données projet'!$A$270&gt;35,GU27+GT28-HC27,IF(A28&lt;'Données projet'!$A$270,$GR$205^A28,IF(A28='Données projet'!$A$270,'Données projet'!$B$270,GU27+GT28-HC27)))</f>
        <v>165.00000000000003</v>
      </c>
      <c r="GV28" s="17">
        <f>GU28*VLOOKUP('Données projet'!$B$18,Paramètres!$A$1:$I$89,3,0)*VLOOKUP('Données projet'!$B$18,Paramètres!$A$1:$I$89,5,0)</f>
        <v>97.812000000000012</v>
      </c>
      <c r="GW28" s="13">
        <f t="shared" si="51"/>
        <v>26.440067470123285</v>
      </c>
      <c r="GX28" s="20">
        <f t="shared" si="28"/>
        <v>216.40568417713141</v>
      </c>
      <c r="GY28" s="59">
        <f t="shared" si="29"/>
        <v>475.81121571908523</v>
      </c>
      <c r="GZ28" s="59">
        <f ca="1">AVERAGE(OFFSET($GY$3,0,0,'Données projet'!$E$18+1,1))-AVERAGE(OFFSET($H$3,0,0,'Données projet'!$E$18+1,1))</f>
        <v>322.78672881269978</v>
      </c>
      <c r="HA28" s="59">
        <f t="shared" si="52"/>
        <v>313.08736327626434</v>
      </c>
      <c r="HB28" s="15">
        <f>IF(ISNA(VLOOKUP(A28,'Données projet'!$A$269:$I$289,3,0)),0,VLOOKUP(A28,'Données projet'!$A$269:$I$289,3,0))</f>
        <v>4</v>
      </c>
      <c r="HC28" s="15">
        <f>IF(ISNA(VLOOKUP(A28,'Données projet'!$A$269:$I$289,4,0)),0,VLOOKUP(A28,'Données projet'!$A$269:$I$289,4,0))</f>
        <v>42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>
        <f>EXP(-LN(2)/35)*HG27+(1-EXP(-LN(2)/35))/(LN(2)/35)*HC28*HD28*VLOOKUP('Données projet'!$B$18,Paramètres!$A$1:$I$89,3,0)*0.475*44/12</f>
        <v>0</v>
      </c>
      <c r="HH28" s="21">
        <f>EXP(-LN(2)/25)*HH27+(1-EXP(-LN(2)/25))/(LN(2)/25)*Calculateur!HC28*Calculateur!HE28*VLOOKUP('Données projet'!$B$18,Paramètres!$A$1:$I$89,3,0)*0.475*44/12</f>
        <v>0</v>
      </c>
      <c r="HI28" s="21">
        <f>EXP(-LN(2)/2)*HI27+(1-EXP(-LN(2)/2))/(LN(2)/2)*HC28*HF28*VLOOKUP('Données projet'!$B$18,Paramètres!$A$1:$I$89,3,0)*0.475*44/12</f>
        <v>0</v>
      </c>
      <c r="HJ28" s="22">
        <f t="shared" si="30"/>
        <v>0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2.3499999999999996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8.6166666666666654</v>
      </c>
      <c r="H29" s="67">
        <f t="shared" si="1"/>
        <v>222.20000000000002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62.545236376608315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3.6</v>
      </c>
      <c r="N29" s="13">
        <f>IF('Données projet'!$A$36&gt;35,N28+M29-V28,IF(A29&lt;'Données projet'!$A$36,$K$205^A29,IF(A29='Données projet'!$A$36,'Données projet'!$B$36,N28+M29-V28)))</f>
        <v>106.6</v>
      </c>
      <c r="O29" s="13">
        <f>N29*VLOOKUP('Données projet'!$B$9,Paramètres!$A$1:$I$89,3,0)*VLOOKUP('Données projet'!$B$9,Paramètres!$A$1:$I$89,5,0)</f>
        <v>96.451679999999996</v>
      </c>
      <c r="P29" s="13">
        <f t="shared" si="33"/>
        <v>26.114890017542621</v>
      </c>
      <c r="Q29" s="20">
        <f t="shared" si="2"/>
        <v>213.47010944722004</v>
      </c>
      <c r="R29" s="59">
        <f t="shared" si="0"/>
        <v>474.58042060589503</v>
      </c>
      <c r="S29" s="59">
        <f ca="1">AVERAGE(OFFSET($R$3,0,0,'Données projet'!$E$9+1,1))-AVERAGE(OFFSET($H$3,0,0,'Données projet'!$E$9+1,1))</f>
        <v>473.88815717313474</v>
      </c>
      <c r="T29" s="59">
        <f t="shared" si="34"/>
        <v>287.19790203552895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62.545236376608315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3.6</v>
      </c>
      <c r="AI29" s="13">
        <f>IF('Données projet'!$A$62&gt;35,AI28+AH29-AQ28,IF(A29&lt;'Données projet'!$A$62,$AF$205^A29,IF(A29='Données projet'!$A$62,'Données projet'!$B$62,AI28+AH29-AQ28)))</f>
        <v>106.6</v>
      </c>
      <c r="AJ29" s="13">
        <f>AI29*VLOOKUP('Données projet'!$B$10,Paramètres!$A$1:$I$89,3,0)*VLOOKUP('Données projet'!$B$10,Paramètres!$A$1:$I$89,5,0)</f>
        <v>89.799840000000003</v>
      </c>
      <c r="AK29" s="13">
        <f t="shared" si="35"/>
        <v>24.516944968171948</v>
      </c>
      <c r="AL29" s="20">
        <f t="shared" si="4"/>
        <v>199.10173381956614</v>
      </c>
      <c r="AM29" s="59">
        <f t="shared" si="5"/>
        <v>460.21204497824112</v>
      </c>
      <c r="AN29" s="59">
        <f ca="1">AVERAGE(OFFSET($AM$3,0,0,'Données projet'!$E$10+1,1))-AVERAGE(OFFSET($H$3,0,0,'Données projet'!$E$10+1,1))</f>
        <v>445.19118535527258</v>
      </c>
      <c r="AO29" s="59">
        <f t="shared" si="36"/>
        <v>270.93483242839363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62.545236376608315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3.6</v>
      </c>
      <c r="BD29" s="12">
        <f>IF('Données projet'!$A$88&gt;35,BD28+BC29-BL28,IF(A29&lt;'Données projet'!$A$88,$BA$205^A29,IF(A29='Données projet'!$A$88,'Données projet'!$B$88,BD28+BC29-BL28)))</f>
        <v>106.6</v>
      </c>
      <c r="BE29" s="13">
        <f>BD29*VLOOKUP('Données projet'!$B$11,Paramètres!$A$1:$I$89,3,0)*VLOOKUP('Données projet'!$B$11,Paramètres!$A$1:$I$89,5,0)</f>
        <v>108.0924</v>
      </c>
      <c r="BF29" s="13">
        <f t="shared" si="37"/>
        <v>28.881082556732348</v>
      </c>
      <c r="BG29" s="20">
        <f t="shared" si="7"/>
        <v>238.56214878630877</v>
      </c>
      <c r="BH29" s="59">
        <f t="shared" si="8"/>
        <v>499.67245994498376</v>
      </c>
      <c r="BI29" s="59">
        <f ca="1">AVERAGE(OFFSET($BH$3,0,0,'Données projet'!$E$11+1,1))-AVERAGE(OFFSET($H$3,0,0,'Données projet'!$E$11+1,1))</f>
        <v>524.01140973345832</v>
      </c>
      <c r="BJ29" s="59">
        <f t="shared" si="38"/>
        <v>315.59942237999621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62.545236376608315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16.399999999999999</v>
      </c>
      <c r="BY29" s="12">
        <f>IF('Données projet'!$A$114&gt;35,BY28+BX29-CG28,IF(A29&lt;'Données projet'!$A$114,$BV$205^A29,IF(A29='Données projet'!$A$114,'Données projet'!$B$114,BY28+BX29-CG28)))</f>
        <v>139.40000000000003</v>
      </c>
      <c r="BZ29" s="13">
        <f>BY29*VLOOKUP('Données projet'!$B$12,Paramètres!$A$1:$I$89,3,0)*VLOOKUP('Données projet'!$B$12,Paramètres!$A$1:$I$89,5,0)</f>
        <v>93.509520000000023</v>
      </c>
      <c r="CA29" s="13">
        <f t="shared" si="39"/>
        <v>25.409743099681585</v>
      </c>
      <c r="CB29" s="20">
        <f t="shared" si="10"/>
        <v>207.11771656527881</v>
      </c>
      <c r="CC29" s="59">
        <f t="shared" si="11"/>
        <v>468.2280277239538</v>
      </c>
      <c r="CD29" s="59">
        <f ca="1">AVERAGE(OFFSET($CC$3,0,0,'Données projet'!$E$12+1,1))-AVERAGE(OFFSET($H$3,0,0,'Données projet'!$E$12+1,1))</f>
        <v>358.95222991910504</v>
      </c>
      <c r="CE29" s="59">
        <f t="shared" si="40"/>
        <v>347.37506646970905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62.545236376608315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16.399999999999999</v>
      </c>
      <c r="CT29" s="12">
        <f>IF('Données projet'!$A$140&gt;35,CT28+CS29-DB28,IF(A29&lt;'Données projet'!$A$140,$CQ$205^A29,IF(A29='Données projet'!$A$140,'Données projet'!$B$140,CT28+CS29-DB28)))</f>
        <v>139.40000000000003</v>
      </c>
      <c r="CU29" s="17">
        <f>CT29*VLOOKUP('Données projet'!$B$13,Paramètres!$A$1:$I$89,3,0)*VLOOKUP('Données projet'!$B$13,Paramètres!$A$1:$I$89,5,0)</f>
        <v>91.334880000000013</v>
      </c>
      <c r="CV29" s="13">
        <f t="shared" si="41"/>
        <v>24.886889521433787</v>
      </c>
      <c r="CW29" s="20">
        <f t="shared" si="13"/>
        <v>202.41958191649721</v>
      </c>
      <c r="CX29" s="59">
        <f t="shared" si="14"/>
        <v>463.52989307517214</v>
      </c>
      <c r="CY29" s="59">
        <f ca="1">AVERAGE(OFFSET($CX$3,0,0,'Données projet'!$E$13+1,1))-AVERAGE(OFFSET($H$3,0,0,'Données projet'!$E$13+1,1))</f>
        <v>351.7266381615546</v>
      </c>
      <c r="CZ29" s="59">
        <f t="shared" si="42"/>
        <v>340.52483243761799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8.2744701243561103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8.2744701243561103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62.545236376608315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12.2</v>
      </c>
      <c r="DO29" s="12">
        <f>IF('Données projet'!$A$166&gt;35,DO28+DN29-DW28,IF(A29&lt;'Données projet'!$A$166,$DL$205^A29,IF(A29='Données projet'!$A$166,'Données projet'!$B$166,DO28+DN29-DW28)))</f>
        <v>97.2</v>
      </c>
      <c r="DP29" s="17">
        <f>DO29*VLOOKUP('Données projet'!$B$14,Paramètres!$A$1:$I$89,3,0)*VLOOKUP('Données projet'!$B$14,Paramètres!$A$1:$I$89,5,0)</f>
        <v>83.397600000000011</v>
      </c>
      <c r="DQ29" s="13">
        <f t="shared" si="43"/>
        <v>22.965893371329315</v>
      </c>
      <c r="DR29" s="20">
        <f t="shared" si="16"/>
        <v>185.24975095506522</v>
      </c>
      <c r="DS29" s="59">
        <f t="shared" si="17"/>
        <v>446.36006211374018</v>
      </c>
      <c r="DT29" s="59">
        <f ca="1">AVERAGE(OFFSET($DS$3,0,0,'Données projet'!$E$14+1,1))-AVERAGE(OFFSET($H$3,0,0,'Données projet'!$E$14+1,1))</f>
        <v>569.21675741362196</v>
      </c>
      <c r="DU29" s="59">
        <f t="shared" si="44"/>
        <v>321.12410801891679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62.545236376608315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16.399999999999999</v>
      </c>
      <c r="EJ29" s="12">
        <f>IF('Données projet'!$A$192&gt;35,EJ28+EI29-ER28,IF(A29&lt;'Données projet'!$A$192,$EG$205^A29,IF(A29='Données projet'!$A$192,'Données projet'!$B$192,EJ28+EI29-ER28)))</f>
        <v>139.40000000000003</v>
      </c>
      <c r="EK29" s="17">
        <f>EJ29*VLOOKUP('Données projet'!$B$15,Paramètres!$A$1:$I$89,3,0)*VLOOKUP('Données projet'!$B$15,Paramètres!$A$1:$I$89,5,0)</f>
        <v>110.90664000000004</v>
      </c>
      <c r="EL29" s="13">
        <f t="shared" si="45"/>
        <v>29.544493872672952</v>
      </c>
      <c r="EM29" s="20">
        <f t="shared" si="19"/>
        <v>244.6190581615721</v>
      </c>
      <c r="EN29" s="59">
        <f t="shared" si="20"/>
        <v>505.72936932024709</v>
      </c>
      <c r="EO29" s="59">
        <f ca="1">AVERAGE(OFFSET($EN$3,0,0,'Données projet'!$E$15+1,1))-AVERAGE(OFFSET($H$3,0,0,'Données projet'!$E$15+1,1))</f>
        <v>416.63597645452791</v>
      </c>
      <c r="EP29" s="59">
        <f t="shared" si="46"/>
        <v>402.05920382353497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12.384215252566207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12.384215252566207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62.545236376608315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14.2</v>
      </c>
      <c r="FE29" s="12">
        <f>IF('Données projet'!$A$218&gt;35,FE28+FD29-FM28,IF(A29&lt;'Données projet'!$A$218,$FB$205^A29,IF(A29='Données projet'!$A$218,'Données projet'!$B$218,FE28+FD29-FM28)))</f>
        <v>120.19999999999996</v>
      </c>
      <c r="FF29" s="17">
        <f>FE29*VLOOKUP('Données projet'!$B$16,Paramètres!$A$1:$I$89,3,0)*VLOOKUP('Données projet'!$B$16,Paramètres!$A$1:$I$89,5,0)</f>
        <v>105.00671999999997</v>
      </c>
      <c r="FG29" s="13">
        <f t="shared" si="47"/>
        <v>28.151366980410856</v>
      </c>
      <c r="FH29" s="20">
        <f t="shared" si="22"/>
        <v>231.91700149088217</v>
      </c>
      <c r="FI29" s="59">
        <f t="shared" si="23"/>
        <v>493.02731264955713</v>
      </c>
      <c r="FJ29" s="59">
        <f ca="1">AVERAGE(OFFSET($FI$3,0,0,'Données projet'!$E$16+1,1))-AVERAGE(OFFSET($H$3,0,0,'Données projet'!$E$16+1,1))</f>
        <v>395.57130469647603</v>
      </c>
      <c r="FK29" s="59">
        <f t="shared" si="48"/>
        <v>383.97542781562674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11.084972773232886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11.084972773232886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62.545236376608315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11.5</v>
      </c>
      <c r="FZ29" s="12">
        <f>IF('Données projet'!$A$244&gt;35,FZ28+FY29-GH28,IF(A29&lt;'Données projet'!$A$244,$FW$205^A29,IF(A29='Données projet'!$A$244,'Données projet'!$B$244,FZ28+FY29-GH28)))</f>
        <v>97.499999999999957</v>
      </c>
      <c r="GA29" s="17">
        <f>FZ29*VLOOKUP('Données projet'!$B$17,Paramètres!$A$1:$I$89,3,0)*VLOOKUP('Données projet'!$B$17,Paramètres!$A$1:$I$89,5,0)</f>
        <v>76.049999999999969</v>
      </c>
      <c r="GB29" s="13">
        <f t="shared" si="49"/>
        <v>21.168560890749262</v>
      </c>
      <c r="GC29" s="20">
        <f t="shared" si="25"/>
        <v>169.32232688472158</v>
      </c>
      <c r="GD29" s="59">
        <f t="shared" si="26"/>
        <v>430.43263804339654</v>
      </c>
      <c r="GE29" s="59">
        <f ca="1">AVERAGE(OFFSET($GD$3,0,0,'Données projet'!$E$17+1,1))-AVERAGE(OFFSET($H$3,0,0,'Données projet'!$E$17+1,1))</f>
        <v>301.74744407733351</v>
      </c>
      <c r="GF29" s="59">
        <f t="shared" si="50"/>
        <v>292.46787700966991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3.6090934502381056</v>
      </c>
      <c r="GM29" s="21">
        <f>EXP(-LN(2)/25)*GM28+(1-EXP(-LN(2)/25))/(LN(2)/25)*Calculateur!GH29*Calculateur!GJ29*VLOOKUP('Données projet'!$B$17,Paramètres!$A$1:$I$89,3,0)*0.475*44/12</f>
        <v>0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3.6090934502381056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62.545236376608315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16.399999999999999</v>
      </c>
      <c r="GU29" s="12">
        <f>IF('Données projet'!$A$270&gt;35,GU28+GT29-HC28,IF(A29&lt;'Données projet'!$A$270,$GR$205^A29,IF(A29='Données projet'!$A$270,'Données projet'!$B$270,GU28+GT29-HC28)))</f>
        <v>139.40000000000003</v>
      </c>
      <c r="GV29" s="17">
        <f>GU29*VLOOKUP('Données projet'!$B$18,Paramètres!$A$1:$I$89,3,0)*VLOOKUP('Données projet'!$B$18,Paramètres!$A$1:$I$89,5,0)</f>
        <v>82.636320000000026</v>
      </c>
      <c r="GW29" s="13">
        <f t="shared" si="51"/>
        <v>22.780556694509155</v>
      </c>
      <c r="GX29" s="20">
        <f t="shared" si="28"/>
        <v>183.6010602429368</v>
      </c>
      <c r="GY29" s="59">
        <f t="shared" si="29"/>
        <v>444.71137140161176</v>
      </c>
      <c r="GZ29" s="59">
        <f ca="1">AVERAGE(OFFSET($GY$3,0,0,'Données projet'!$E$18+1,1))-AVERAGE(OFFSET($H$3,0,0,'Données projet'!$E$18+1,1))</f>
        <v>322.78672881269978</v>
      </c>
      <c r="HA29" s="59">
        <f t="shared" si="52"/>
        <v>313.08736327626434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0</v>
      </c>
      <c r="HH29" s="21">
        <f>EXP(-LN(2)/25)*HH28+(1-EXP(-LN(2)/25))/(LN(2)/25)*Calculateur!HC29*Calculateur!HE29*VLOOKUP('Données projet'!$B$18,Paramètres!$A$1:$I$89,3,0)*0.475*44/12</f>
        <v>0</v>
      </c>
      <c r="HI29" s="21">
        <f>EXP(-LN(2)/2)*HI28+(1-EXP(-LN(2)/2))/(LN(2)/2)*HC29*HF29*VLOOKUP('Données projet'!$B$18,Paramètres!$A$1:$I$89,3,0)*0.475*44/12</f>
        <v>0</v>
      </c>
      <c r="HJ29" s="22">
        <f t="shared" si="30"/>
        <v>0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2.3499999999999996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8.6166666666666654</v>
      </c>
      <c r="H30" s="67">
        <f t="shared" si="1"/>
        <v>222.20000000000002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62.674559859119505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3.6</v>
      </c>
      <c r="N30" s="13">
        <f>IF('Données projet'!$A$36&gt;35,N29+M30-V29,IF(A30&lt;'Données projet'!$A$36,$K$205^A30,IF(A30='Données projet'!$A$36,'Données projet'!$B$36,N29+M30-V29)))</f>
        <v>110.19999999999999</v>
      </c>
      <c r="O30" s="13">
        <f>N30*VLOOKUP('Données projet'!$B$9,Paramètres!$A$1:$I$89,3,0)*VLOOKUP('Données projet'!$B$9,Paramètres!$A$1:$I$89,5,0)</f>
        <v>99.70895999999999</v>
      </c>
      <c r="P30" s="13">
        <f t="shared" si="33"/>
        <v>26.892649524411862</v>
      </c>
      <c r="Q30" s="20">
        <f t="shared" si="2"/>
        <v>220.49780325501729</v>
      </c>
      <c r="R30" s="59">
        <f t="shared" si="0"/>
        <v>483.30452273845549</v>
      </c>
      <c r="S30" s="59">
        <f ca="1">AVERAGE(OFFSET($R$3,0,0,'Données projet'!$E$9+1,1))-AVERAGE(OFFSET($H$3,0,0,'Données projet'!$E$9+1,1))</f>
        <v>473.88815717313474</v>
      </c>
      <c r="T30" s="59">
        <f t="shared" si="34"/>
        <v>287.19790203552895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62.674559859119505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3.6</v>
      </c>
      <c r="AI30" s="13">
        <f>IF('Données projet'!$A$62&gt;35,AI29+AH30-AQ29,IF(A30&lt;'Données projet'!$A$62,$AF$205^A30,IF(A30='Données projet'!$A$62,'Données projet'!$B$62,AI29+AH30-AQ29)))</f>
        <v>110.19999999999999</v>
      </c>
      <c r="AJ30" s="13">
        <f>AI30*VLOOKUP('Données projet'!$B$10,Paramètres!$A$1:$I$89,3,0)*VLOOKUP('Données projet'!$B$10,Paramètres!$A$1:$I$89,5,0)</f>
        <v>92.83247999999999</v>
      </c>
      <c r="AK30" s="13">
        <f t="shared" si="35"/>
        <v>25.247114117480113</v>
      </c>
      <c r="AL30" s="20">
        <f t="shared" si="4"/>
        <v>205.6552930879445</v>
      </c>
      <c r="AM30" s="59">
        <f t="shared" si="5"/>
        <v>468.46201257138273</v>
      </c>
      <c r="AN30" s="59">
        <f ca="1">AVERAGE(OFFSET($AM$3,0,0,'Données projet'!$E$10+1,1))-AVERAGE(OFFSET($H$3,0,0,'Données projet'!$E$10+1,1))</f>
        <v>445.19118535527258</v>
      </c>
      <c r="AO30" s="59">
        <f t="shared" si="36"/>
        <v>270.93483242839363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62.674559859119505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3.6</v>
      </c>
      <c r="BD30" s="12">
        <f>IF('Données projet'!$A$88&gt;35,BD29+BC30-BL29,IF(A30&lt;'Données projet'!$A$88,$BA$205^A30,IF(A30='Données projet'!$A$88,'Données projet'!$B$88,BD29+BC30-BL29)))</f>
        <v>110.19999999999999</v>
      </c>
      <c r="BE30" s="13">
        <f>BD30*VLOOKUP('Données projet'!$B$11,Paramètres!$A$1:$I$89,3,0)*VLOOKUP('Données projet'!$B$11,Paramètres!$A$1:$I$89,5,0)</f>
        <v>111.7428</v>
      </c>
      <c r="BF30" s="13">
        <f t="shared" si="37"/>
        <v>29.741225429709573</v>
      </c>
      <c r="BG30" s="20">
        <f t="shared" si="7"/>
        <v>246.4180109567441</v>
      </c>
      <c r="BH30" s="59">
        <f t="shared" si="8"/>
        <v>509.22473044018227</v>
      </c>
      <c r="BI30" s="59">
        <f ca="1">AVERAGE(OFFSET($BH$3,0,0,'Données projet'!$E$11+1,1))-AVERAGE(OFFSET($H$3,0,0,'Données projet'!$E$11+1,1))</f>
        <v>524.01140973345832</v>
      </c>
      <c r="BJ30" s="59">
        <f t="shared" si="38"/>
        <v>315.59942237999621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62.674559859119505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16.399999999999999</v>
      </c>
      <c r="BY30" s="12">
        <f>IF('Données projet'!$A$114&gt;35,BY29+BX30-CG29,IF(A30&lt;'Données projet'!$A$114,$BV$205^A30,IF(A30='Données projet'!$A$114,'Données projet'!$B$114,BY29+BX30-CG29)))</f>
        <v>155.80000000000004</v>
      </c>
      <c r="BZ30" s="13">
        <f>BY30*VLOOKUP('Données projet'!$B$12,Paramètres!$A$1:$I$89,3,0)*VLOOKUP('Données projet'!$B$12,Paramètres!$A$1:$I$89,5,0)</f>
        <v>104.51064000000002</v>
      </c>
      <c r="CA30" s="13">
        <f t="shared" si="39"/>
        <v>28.033820555448408</v>
      </c>
      <c r="CB30" s="20">
        <f t="shared" si="10"/>
        <v>230.84826880073933</v>
      </c>
      <c r="CC30" s="59">
        <f t="shared" si="11"/>
        <v>493.65498828417753</v>
      </c>
      <c r="CD30" s="59">
        <f ca="1">AVERAGE(OFFSET($CC$3,0,0,'Données projet'!$E$12+1,1))-AVERAGE(OFFSET($H$3,0,0,'Données projet'!$E$12+1,1))</f>
        <v>358.95222991910504</v>
      </c>
      <c r="CE30" s="59">
        <f t="shared" si="40"/>
        <v>347.37506646970905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62.674559859119505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16.399999999999999</v>
      </c>
      <c r="CT30" s="12">
        <f>IF('Données projet'!$A$140&gt;35,CT29+CS30-DB29,IF(A30&lt;'Données projet'!$A$140,$CQ$205^A30,IF(A30='Données projet'!$A$140,'Données projet'!$B$140,CT29+CS30-DB29)))</f>
        <v>155.80000000000004</v>
      </c>
      <c r="CU30" s="17">
        <f>CT30*VLOOKUP('Données projet'!$B$13,Paramètres!$A$1:$I$89,3,0)*VLOOKUP('Données projet'!$B$13,Paramètres!$A$1:$I$89,5,0)</f>
        <v>102.08016000000003</v>
      </c>
      <c r="CV30" s="13">
        <f t="shared" si="41"/>
        <v>27.456971614793193</v>
      </c>
      <c r="CW30" s="20">
        <f t="shared" si="13"/>
        <v>225.61050422909818</v>
      </c>
      <c r="CX30" s="59">
        <f t="shared" si="14"/>
        <v>488.41722371253638</v>
      </c>
      <c r="CY30" s="59">
        <f ca="1">AVERAGE(OFFSET($CX$3,0,0,'Données projet'!$E$13+1,1))-AVERAGE(OFFSET($H$3,0,0,'Données projet'!$E$13+1,1))</f>
        <v>351.7266381615546</v>
      </c>
      <c r="CZ30" s="59">
        <f t="shared" si="42"/>
        <v>340.52483243761799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8.1122128121459198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8.1122128121459198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62.674559859119505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12.2</v>
      </c>
      <c r="DO30" s="12">
        <f>IF('Données projet'!$A$166&gt;35,DO29+DN30-DW29,IF(A30&lt;'Données projet'!$A$166,$DL$205^A30,IF(A30='Données projet'!$A$166,'Données projet'!$B$166,DO29+DN30-DW29)))</f>
        <v>109.4</v>
      </c>
      <c r="DP30" s="17">
        <f>DO30*VLOOKUP('Données projet'!$B$14,Paramètres!$A$1:$I$89,3,0)*VLOOKUP('Données projet'!$B$14,Paramètres!$A$1:$I$89,5,0)</f>
        <v>93.865200000000016</v>
      </c>
      <c r="DQ30" s="13">
        <f t="shared" si="43"/>
        <v>25.495124560846406</v>
      </c>
      <c r="DR30" s="20">
        <f t="shared" si="16"/>
        <v>207.88589861014086</v>
      </c>
      <c r="DS30" s="59">
        <f t="shared" si="17"/>
        <v>470.69261809357909</v>
      </c>
      <c r="DT30" s="59">
        <f ca="1">AVERAGE(OFFSET($DS$3,0,0,'Données projet'!$E$14+1,1))-AVERAGE(OFFSET($H$3,0,0,'Données projet'!$E$14+1,1))</f>
        <v>569.21675741362196</v>
      </c>
      <c r="DU30" s="59">
        <f t="shared" si="44"/>
        <v>321.12410801891679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62.674559859119505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16.399999999999999</v>
      </c>
      <c r="EJ30" s="12">
        <f>IF('Données projet'!$A$192&gt;35,EJ29+EI30-ER29,IF(A30&lt;'Données projet'!$A$192,$EG$205^A30,IF(A30='Données projet'!$A$192,'Données projet'!$B$192,EJ29+EI30-ER29)))</f>
        <v>155.80000000000004</v>
      </c>
      <c r="EK30" s="17">
        <f>EJ30*VLOOKUP('Données projet'!$B$15,Paramètres!$A$1:$I$89,3,0)*VLOOKUP('Données projet'!$B$15,Paramètres!$A$1:$I$89,5,0)</f>
        <v>123.95448000000005</v>
      </c>
      <c r="EL30" s="13">
        <f t="shared" si="45"/>
        <v>32.595569202682604</v>
      </c>
      <c r="EM30" s="20">
        <f t="shared" si="19"/>
        <v>272.65800236133896</v>
      </c>
      <c r="EN30" s="59">
        <f t="shared" si="20"/>
        <v>535.46472184477716</v>
      </c>
      <c r="EO30" s="59">
        <f ca="1">AVERAGE(OFFSET($EN$3,0,0,'Données projet'!$E$15+1,1))-AVERAGE(OFFSET($H$3,0,0,'Données projet'!$E$15+1,1))</f>
        <v>416.63597645452791</v>
      </c>
      <c r="EP30" s="59">
        <f t="shared" si="46"/>
        <v>402.05920382353497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12.141368345088829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12.141368345088829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62.674559859119505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14.2</v>
      </c>
      <c r="FE30" s="12">
        <f>IF('Données projet'!$A$218&gt;35,FE29+FD30-FM29,IF(A30&lt;'Données projet'!$A$218,$FB$205^A30,IF(A30='Données projet'!$A$218,'Données projet'!$B$218,FE29+FD30-FM29)))</f>
        <v>134.39999999999995</v>
      </c>
      <c r="FF30" s="17">
        <f>FE30*VLOOKUP('Données projet'!$B$16,Paramètres!$A$1:$I$89,3,0)*VLOOKUP('Données projet'!$B$16,Paramètres!$A$1:$I$89,5,0)</f>
        <v>117.41183999999997</v>
      </c>
      <c r="FG30" s="13">
        <f t="shared" si="47"/>
        <v>31.070589593507044</v>
      </c>
      <c r="FH30" s="20">
        <f t="shared" si="22"/>
        <v>258.60689820869135</v>
      </c>
      <c r="FI30" s="59">
        <f t="shared" si="23"/>
        <v>521.41361769212949</v>
      </c>
      <c r="FJ30" s="59">
        <f ca="1">AVERAGE(OFFSET($FI$3,0,0,'Données projet'!$E$16+1,1))-AVERAGE(OFFSET($H$3,0,0,'Données projet'!$E$16+1,1))</f>
        <v>395.57130469647603</v>
      </c>
      <c r="FK30" s="59">
        <f t="shared" si="48"/>
        <v>383.97542781562674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10.867603218315571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10.867603218315571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62.674559859119505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11.5</v>
      </c>
      <c r="FZ30" s="12">
        <f>IF('Données projet'!$A$244&gt;35,FZ29+FY30-GH29,IF(A30&lt;'Données projet'!$A$244,$FW$205^A30,IF(A30='Données projet'!$A$244,'Données projet'!$B$244,FZ29+FY30-GH29)))</f>
        <v>108.99999999999996</v>
      </c>
      <c r="GA30" s="17">
        <f>FZ30*VLOOKUP('Données projet'!$B$17,Paramètres!$A$1:$I$89,3,0)*VLOOKUP('Données projet'!$B$17,Paramètres!$A$1:$I$89,5,0)</f>
        <v>85.019999999999968</v>
      </c>
      <c r="GB30" s="13">
        <f t="shared" si="49"/>
        <v>23.360218970693097</v>
      </c>
      <c r="GC30" s="20">
        <f t="shared" si="25"/>
        <v>188.76221470729038</v>
      </c>
      <c r="GD30" s="59">
        <f t="shared" si="26"/>
        <v>451.56893419072856</v>
      </c>
      <c r="GE30" s="59">
        <f ca="1">AVERAGE(OFFSET($GD$3,0,0,'Données projet'!$E$17+1,1))-AVERAGE(OFFSET($H$3,0,0,'Données projet'!$E$17+1,1))</f>
        <v>301.74744407733351</v>
      </c>
      <c r="GF30" s="59">
        <f t="shared" si="50"/>
        <v>292.46787700966991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3.5383213290085775</v>
      </c>
      <c r="GM30" s="21">
        <f>EXP(-LN(2)/25)*GM29+(1-EXP(-LN(2)/25))/(LN(2)/25)*Calculateur!GH30*Calculateur!GJ30*VLOOKUP('Données projet'!$B$17,Paramètres!$A$1:$I$89,3,0)*0.475*44/12</f>
        <v>0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3.5383213290085775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62.674559859119505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16.399999999999999</v>
      </c>
      <c r="GU30" s="12">
        <f>IF('Données projet'!$A$270&gt;35,GU29+GT30-HC29,IF(A30&lt;'Données projet'!$A$270,$GR$205^A30,IF(A30='Données projet'!$A$270,'Données projet'!$B$270,GU29+GT30-HC29)))</f>
        <v>155.80000000000004</v>
      </c>
      <c r="GV30" s="17">
        <f>GU30*VLOOKUP('Données projet'!$B$18,Paramètres!$A$1:$I$89,3,0)*VLOOKUP('Données projet'!$B$18,Paramètres!$A$1:$I$89,5,0)</f>
        <v>92.358240000000023</v>
      </c>
      <c r="GW30" s="13">
        <f t="shared" si="51"/>
        <v>25.133116695504558</v>
      </c>
      <c r="GX30" s="20">
        <f t="shared" si="28"/>
        <v>204.63077957800382</v>
      </c>
      <c r="GY30" s="59">
        <f t="shared" si="29"/>
        <v>467.43749906144205</v>
      </c>
      <c r="GZ30" s="59">
        <f ca="1">AVERAGE(OFFSET($GY$3,0,0,'Données projet'!$E$18+1,1))-AVERAGE(OFFSET($H$3,0,0,'Données projet'!$E$18+1,1))</f>
        <v>322.78672881269978</v>
      </c>
      <c r="HA30" s="59">
        <f t="shared" si="52"/>
        <v>313.08736327626434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0</v>
      </c>
      <c r="HH30" s="21">
        <f>EXP(-LN(2)/25)*HH29+(1-EXP(-LN(2)/25))/(LN(2)/25)*Calculateur!HC30*Calculateur!HE30*VLOOKUP('Données projet'!$B$18,Paramètres!$A$1:$I$89,3,0)*0.475*44/12</f>
        <v>0</v>
      </c>
      <c r="HI30" s="21">
        <f>EXP(-LN(2)/2)*HI29+(1-EXP(-LN(2)/2))/(LN(2)/2)*HC30*HF30*VLOOKUP('Données projet'!$B$18,Paramètres!$A$1:$I$89,3,0)*0.475*44/12</f>
        <v>0</v>
      </c>
      <c r="HJ30" s="22">
        <f t="shared" si="30"/>
        <v>0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2.3499999999999996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8.6166666666666654</v>
      </c>
      <c r="H31" s="67">
        <f t="shared" si="1"/>
        <v>222.20000000000002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62.801639868333112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3.6</v>
      </c>
      <c r="N31" s="13">
        <f>IF('Données projet'!$A$36&gt;35,N30+M31-V30,IF(A31&lt;'Données projet'!$A$36,$K$205^A31,IF(A31='Données projet'!$A$36,'Données projet'!$B$36,N30+M31-V30)))</f>
        <v>113.79999999999998</v>
      </c>
      <c r="O31" s="13">
        <f>N31*VLOOKUP('Données projet'!$B$9,Paramètres!$A$1:$I$89,3,0)*VLOOKUP('Données projet'!$B$9,Paramètres!$A$1:$I$89,5,0)</f>
        <v>102.96623999999998</v>
      </c>
      <c r="P31" s="13">
        <f t="shared" si="33"/>
        <v>27.6674566300326</v>
      </c>
      <c r="Q31" s="20">
        <f t="shared" si="2"/>
        <v>227.5203549639734</v>
      </c>
      <c r="R31" s="59">
        <f t="shared" si="0"/>
        <v>492.01525670341698</v>
      </c>
      <c r="S31" s="59">
        <f ca="1">AVERAGE(OFFSET($R$3,0,0,'Données projet'!$E$9+1,1))-AVERAGE(OFFSET($H$3,0,0,'Données projet'!$E$9+1,1))</f>
        <v>473.88815717313474</v>
      </c>
      <c r="T31" s="59">
        <f t="shared" si="34"/>
        <v>287.19790203552895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62.801639868333112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3.6</v>
      </c>
      <c r="AI31" s="13">
        <f>IF('Données projet'!$A$62&gt;35,AI30+AH31-AQ30,IF(A31&lt;'Données projet'!$A$62,$AF$205^A31,IF(A31='Données projet'!$A$62,'Données projet'!$B$62,AI30+AH31-AQ30)))</f>
        <v>113.79999999999998</v>
      </c>
      <c r="AJ31" s="13">
        <f>AI31*VLOOKUP('Données projet'!$B$10,Paramètres!$A$1:$I$89,3,0)*VLOOKUP('Données projet'!$B$10,Paramètres!$A$1:$I$89,5,0)</f>
        <v>95.865120000000005</v>
      </c>
      <c r="AK31" s="13">
        <f t="shared" si="35"/>
        <v>25.974511520137845</v>
      </c>
      <c r="AL31" s="20">
        <f t="shared" si="4"/>
        <v>212.20402489757342</v>
      </c>
      <c r="AM31" s="59">
        <f t="shared" si="5"/>
        <v>476.69892663701705</v>
      </c>
      <c r="AN31" s="59">
        <f ca="1">AVERAGE(OFFSET($AM$3,0,0,'Données projet'!$E$10+1,1))-AVERAGE(OFFSET($H$3,0,0,'Données projet'!$E$10+1,1))</f>
        <v>445.19118535527258</v>
      </c>
      <c r="AO31" s="59">
        <f t="shared" si="36"/>
        <v>270.93483242839363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62.801639868333112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3.6</v>
      </c>
      <c r="BD31" s="12">
        <f>IF('Données projet'!$A$88&gt;35,BD30+BC31-BL30,IF(A31&lt;'Données projet'!$A$88,$BA$205^A31,IF(A31='Données projet'!$A$88,'Données projet'!$B$88,BD30+BC31-BL30)))</f>
        <v>113.79999999999998</v>
      </c>
      <c r="BE31" s="13">
        <f>BD31*VLOOKUP('Données projet'!$B$11,Paramètres!$A$1:$I$89,3,0)*VLOOKUP('Données projet'!$B$11,Paramètres!$A$1:$I$89,5,0)</f>
        <v>115.39319999999998</v>
      </c>
      <c r="BF31" s="13">
        <f t="shared" si="37"/>
        <v>30.598103171409555</v>
      </c>
      <c r="BG31" s="20">
        <f t="shared" si="7"/>
        <v>254.26818635687155</v>
      </c>
      <c r="BH31" s="59">
        <f t="shared" si="8"/>
        <v>518.76308809631519</v>
      </c>
      <c r="BI31" s="59">
        <f ca="1">AVERAGE(OFFSET($BH$3,0,0,'Données projet'!$E$11+1,1))-AVERAGE(OFFSET($H$3,0,0,'Données projet'!$E$11+1,1))</f>
        <v>524.01140973345832</v>
      </c>
      <c r="BJ31" s="59">
        <f t="shared" si="38"/>
        <v>315.59942237999621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62.801639868333112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16.399999999999999</v>
      </c>
      <c r="BY31" s="12">
        <f>IF('Données projet'!$A$114&gt;35,BY30+BX31-CG30,IF(A31&lt;'Données projet'!$A$114,$BV$205^A31,IF(A31='Données projet'!$A$114,'Données projet'!$B$114,BY30+BX31-CG30)))</f>
        <v>172.20000000000005</v>
      </c>
      <c r="BZ31" s="13">
        <f>BY31*VLOOKUP('Données projet'!$B$12,Paramètres!$A$1:$I$89,3,0)*VLOOKUP('Données projet'!$B$12,Paramètres!$A$1:$I$89,5,0)</f>
        <v>115.51176000000004</v>
      </c>
      <c r="CA31" s="13">
        <f t="shared" si="39"/>
        <v>30.625879972253081</v>
      </c>
      <c r="CB31" s="20">
        <f t="shared" si="10"/>
        <v>254.52305628500753</v>
      </c>
      <c r="CC31" s="59">
        <f t="shared" si="11"/>
        <v>519.0179580244511</v>
      </c>
      <c r="CD31" s="59">
        <f ca="1">AVERAGE(OFFSET($CC$3,0,0,'Données projet'!$E$12+1,1))-AVERAGE(OFFSET($H$3,0,0,'Données projet'!$E$12+1,1))</f>
        <v>358.95222991910504</v>
      </c>
      <c r="CE31" s="59">
        <f t="shared" si="40"/>
        <v>347.37506646970905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62.801639868333112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16.399999999999999</v>
      </c>
      <c r="CT31" s="12">
        <f>IF('Données projet'!$A$140&gt;35,CT30+CS31-DB30,IF(A31&lt;'Données projet'!$A$140,$CQ$205^A31,IF(A31='Données projet'!$A$140,'Données projet'!$B$140,CT30+CS31-DB30)))</f>
        <v>172.20000000000005</v>
      </c>
      <c r="CU31" s="17">
        <f>CT31*VLOOKUP('Données projet'!$B$13,Paramètres!$A$1:$I$89,3,0)*VLOOKUP('Données projet'!$B$13,Paramètres!$A$1:$I$89,5,0)</f>
        <v>112.82544000000003</v>
      </c>
      <c r="CV31" s="13">
        <f t="shared" si="41"/>
        <v>29.995694500969023</v>
      </c>
      <c r="CW31" s="20">
        <f t="shared" si="13"/>
        <v>248.7468092558544</v>
      </c>
      <c r="CX31" s="59">
        <f t="shared" si="14"/>
        <v>513.24171099529804</v>
      </c>
      <c r="CY31" s="59">
        <f ca="1">AVERAGE(OFFSET($CX$3,0,0,'Données projet'!$E$13+1,1))-AVERAGE(OFFSET($H$3,0,0,'Données projet'!$E$13+1,1))</f>
        <v>351.7266381615546</v>
      </c>
      <c r="CZ31" s="59">
        <f t="shared" si="42"/>
        <v>340.52483243761799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7.953137266860983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7.953137266860983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62.801639868333112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12.2</v>
      </c>
      <c r="DO31" s="12">
        <f>IF('Données projet'!$A$166&gt;35,DO30+DN31-DW30,IF(A31&lt;'Données projet'!$A$166,$DL$205^A31,IF(A31='Données projet'!$A$166,'Données projet'!$B$166,DO30+DN31-DW30)))</f>
        <v>121.60000000000001</v>
      </c>
      <c r="DP31" s="17">
        <f>DO31*VLOOKUP('Données projet'!$B$14,Paramètres!$A$1:$I$89,3,0)*VLOOKUP('Données projet'!$B$14,Paramètres!$A$1:$I$89,5,0)</f>
        <v>104.33280000000002</v>
      </c>
      <c r="DQ31" s="13">
        <f t="shared" si="43"/>
        <v>27.991665469945552</v>
      </c>
      <c r="DR31" s="20">
        <f t="shared" si="16"/>
        <v>230.46511069348855</v>
      </c>
      <c r="DS31" s="59">
        <f t="shared" si="17"/>
        <v>494.96001243293216</v>
      </c>
      <c r="DT31" s="59">
        <f ca="1">AVERAGE(OFFSET($DS$3,0,0,'Données projet'!$E$14+1,1))-AVERAGE(OFFSET($H$3,0,0,'Données projet'!$E$14+1,1))</f>
        <v>569.21675741362196</v>
      </c>
      <c r="DU31" s="59">
        <f t="shared" si="44"/>
        <v>321.12410801891679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62.801639868333112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16.399999999999999</v>
      </c>
      <c r="EJ31" s="12">
        <f>IF('Données projet'!$A$192&gt;35,EJ30+EI31-ER30,IF(A31&lt;'Données projet'!$A$192,$EG$205^A31,IF(A31='Données projet'!$A$192,'Données projet'!$B$192,EJ30+EI31-ER30)))</f>
        <v>172.20000000000005</v>
      </c>
      <c r="EK31" s="17">
        <f>EJ31*VLOOKUP('Données projet'!$B$15,Paramètres!$A$1:$I$89,3,0)*VLOOKUP('Données projet'!$B$15,Paramètres!$A$1:$I$89,5,0)</f>
        <v>137.00232000000005</v>
      </c>
      <c r="EL31" s="13">
        <f t="shared" si="45"/>
        <v>35.609416420931346</v>
      </c>
      <c r="EM31" s="20">
        <f t="shared" si="19"/>
        <v>300.63210759978887</v>
      </c>
      <c r="EN31" s="59">
        <f t="shared" si="20"/>
        <v>565.12700933923247</v>
      </c>
      <c r="EO31" s="59">
        <f ca="1">AVERAGE(OFFSET($EN$3,0,0,'Données projet'!$E$15+1,1))-AVERAGE(OFFSET($H$3,0,0,'Données projet'!$E$15+1,1))</f>
        <v>416.63597645452791</v>
      </c>
      <c r="EP31" s="59">
        <f t="shared" si="46"/>
        <v>402.05920382353497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11.903283517345095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11.903283517345095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62.801639868333112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14.2</v>
      </c>
      <c r="FE31" s="12">
        <f>IF('Données projet'!$A$218&gt;35,FE30+FD31-FM30,IF(A31&lt;'Données projet'!$A$218,$FB$205^A31,IF(A31='Données projet'!$A$218,'Données projet'!$B$218,FE30+FD31-FM30)))</f>
        <v>148.59999999999994</v>
      </c>
      <c r="FF31" s="17">
        <f>FE31*VLOOKUP('Données projet'!$B$16,Paramètres!$A$1:$I$89,3,0)*VLOOKUP('Données projet'!$B$16,Paramètres!$A$1:$I$89,5,0)</f>
        <v>129.81695999999997</v>
      </c>
      <c r="FG31" s="13">
        <f t="shared" si="47"/>
        <v>33.954060694815986</v>
      </c>
      <c r="FH31" s="20">
        <f t="shared" si="22"/>
        <v>285.23452771013774</v>
      </c>
      <c r="FI31" s="59">
        <f t="shared" si="23"/>
        <v>549.7294294495814</v>
      </c>
      <c r="FJ31" s="59">
        <f ca="1">AVERAGE(OFFSET($FI$3,0,0,'Données projet'!$E$16+1,1))-AVERAGE(OFFSET($H$3,0,0,'Données projet'!$E$16+1,1))</f>
        <v>395.57130469647603</v>
      </c>
      <c r="FK31" s="59">
        <f t="shared" si="48"/>
        <v>383.97542781562674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10.654496147787848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10.654496147787848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62.801639868333112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11.5</v>
      </c>
      <c r="FZ31" s="12">
        <f>IF('Données projet'!$A$244&gt;35,FZ30+FY31-GH30,IF(A31&lt;'Données projet'!$A$244,$FW$205^A31,IF(A31='Données projet'!$A$244,'Données projet'!$B$244,FZ30+FY31-GH30)))</f>
        <v>120.49999999999996</v>
      </c>
      <c r="GA31" s="17">
        <f>FZ31*VLOOKUP('Données projet'!$B$17,Paramètres!$A$1:$I$89,3,0)*VLOOKUP('Données projet'!$B$17,Paramètres!$A$1:$I$89,5,0)</f>
        <v>93.989999999999966</v>
      </c>
      <c r="GB31" s="13">
        <f t="shared" si="49"/>
        <v>25.525074036970054</v>
      </c>
      <c r="GC31" s="20">
        <f t="shared" si="25"/>
        <v>208.15542061438944</v>
      </c>
      <c r="GD31" s="59">
        <f t="shared" si="26"/>
        <v>472.65032235383308</v>
      </c>
      <c r="GE31" s="59">
        <f ca="1">AVERAGE(OFFSET($GD$3,0,0,'Données projet'!$E$17+1,1))-AVERAGE(OFFSET($H$3,0,0,'Données projet'!$E$17+1,1))</f>
        <v>301.74744407733351</v>
      </c>
      <c r="GF31" s="59">
        <f t="shared" si="50"/>
        <v>292.46787700966991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3.4689370059096292</v>
      </c>
      <c r="GM31" s="21">
        <f>EXP(-LN(2)/25)*GM30+(1-EXP(-LN(2)/25))/(LN(2)/25)*Calculateur!GH31*Calculateur!GJ31*VLOOKUP('Données projet'!$B$17,Paramètres!$A$1:$I$89,3,0)*0.475*44/12</f>
        <v>0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3.4689370059096292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62.801639868333112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16.399999999999999</v>
      </c>
      <c r="GU31" s="12">
        <f>IF('Données projet'!$A$270&gt;35,GU30+GT31-HC30,IF(A31&lt;'Données projet'!$A$270,$GR$205^A31,IF(A31='Données projet'!$A$270,'Données projet'!$B$270,GU30+GT31-HC30)))</f>
        <v>172.20000000000005</v>
      </c>
      <c r="GV31" s="17">
        <f>GU31*VLOOKUP('Données projet'!$B$18,Paramètres!$A$1:$I$89,3,0)*VLOOKUP('Données projet'!$B$18,Paramètres!$A$1:$I$89,5,0)</f>
        <v>102.08016000000003</v>
      </c>
      <c r="GW31" s="13">
        <f t="shared" si="51"/>
        <v>27.456971614793193</v>
      </c>
      <c r="GX31" s="20">
        <f t="shared" si="28"/>
        <v>225.61050422909818</v>
      </c>
      <c r="GY31" s="59">
        <f t="shared" si="29"/>
        <v>490.10540596854179</v>
      </c>
      <c r="GZ31" s="59">
        <f ca="1">AVERAGE(OFFSET($GY$3,0,0,'Données projet'!$E$18+1,1))-AVERAGE(OFFSET($H$3,0,0,'Données projet'!$E$18+1,1))</f>
        <v>322.78672881269978</v>
      </c>
      <c r="HA31" s="59">
        <f t="shared" si="52"/>
        <v>313.08736327626434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>
        <f>EXP(-LN(2)/35)*HG30+(1-EXP(-LN(2)/35))/(LN(2)/35)*HC31*HD31*VLOOKUP('Données projet'!$B$18,Paramètres!$A$1:$I$89,3,0)*0.475*44/12</f>
        <v>0</v>
      </c>
      <c r="HH31" s="21">
        <f>EXP(-LN(2)/25)*HH30+(1-EXP(-LN(2)/25))/(LN(2)/25)*Calculateur!HC31*Calculateur!HE31*VLOOKUP('Données projet'!$B$18,Paramètres!$A$1:$I$89,3,0)*0.475*44/12</f>
        <v>0</v>
      </c>
      <c r="HI31" s="21">
        <f>EXP(-LN(2)/2)*HI30+(1-EXP(-LN(2)/2))/(LN(2)/2)*HC31*HF31*VLOOKUP('Données projet'!$B$18,Paramètres!$A$1:$I$89,3,0)*0.475*44/12</f>
        <v>0</v>
      </c>
      <c r="HJ31" s="22">
        <f t="shared" si="30"/>
        <v>0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2.3499999999999996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8.6166666666666654</v>
      </c>
      <c r="H32" s="67">
        <f t="shared" si="1"/>
        <v>222.20000000000002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62.926515323495202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3.6</v>
      </c>
      <c r="N32" s="13">
        <f>IF('Données projet'!$A$36&gt;35,N31+M32-V31,IF(A32&lt;'Données projet'!$A$36,$K$205^A32,IF(A32='Données projet'!$A$36,'Données projet'!$B$36,N31+M32-V31)))</f>
        <v>117.39999999999998</v>
      </c>
      <c r="O32" s="13">
        <f>N32*VLOOKUP('Données projet'!$B$9,Paramètres!$A$1:$I$89,3,0)*VLOOKUP('Données projet'!$B$9,Paramètres!$A$1:$I$89,5,0)</f>
        <v>106.22351999999998</v>
      </c>
      <c r="P32" s="13">
        <f t="shared" si="33"/>
        <v>28.439415446966855</v>
      </c>
      <c r="Q32" s="20">
        <f t="shared" si="2"/>
        <v>234.5379459034672</v>
      </c>
      <c r="R32" s="59">
        <f t="shared" si="0"/>
        <v>500.71294653406073</v>
      </c>
      <c r="S32" s="59">
        <f ca="1">AVERAGE(OFFSET($R$3,0,0,'Données projet'!$E$9+1,1))-AVERAGE(OFFSET($H$3,0,0,'Données projet'!$E$9+1,1))</f>
        <v>473.88815717313474</v>
      </c>
      <c r="T32" s="59">
        <f t="shared" si="34"/>
        <v>287.19790203552895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62.926515323495202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3.6</v>
      </c>
      <c r="AI32" s="13">
        <f>IF('Données projet'!$A$62&gt;35,AI31+AH32-AQ31,IF(A32&lt;'Données projet'!$A$62,$AF$205^A32,IF(A32='Données projet'!$A$62,'Données projet'!$B$62,AI31+AH32-AQ31)))</f>
        <v>117.39999999999998</v>
      </c>
      <c r="AJ32" s="13">
        <f>AI32*VLOOKUP('Données projet'!$B$10,Paramètres!$A$1:$I$89,3,0)*VLOOKUP('Données projet'!$B$10,Paramètres!$A$1:$I$89,5,0)</f>
        <v>98.897759999999991</v>
      </c>
      <c r="AK32" s="13">
        <f t="shared" si="35"/>
        <v>26.699234918159362</v>
      </c>
      <c r="AL32" s="20">
        <f t="shared" si="4"/>
        <v>218.7480994824609</v>
      </c>
      <c r="AM32" s="59">
        <f t="shared" si="5"/>
        <v>484.92310011305437</v>
      </c>
      <c r="AN32" s="59">
        <f ca="1">AVERAGE(OFFSET($AM$3,0,0,'Données projet'!$E$10+1,1))-AVERAGE(OFFSET($H$3,0,0,'Données projet'!$E$10+1,1))</f>
        <v>445.19118535527258</v>
      </c>
      <c r="AO32" s="59">
        <f t="shared" si="36"/>
        <v>270.93483242839363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62.926515323495202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3.6</v>
      </c>
      <c r="BD32" s="12">
        <f>IF('Données projet'!$A$88&gt;35,BD31+BC32-BL31,IF(A32&lt;'Données projet'!$A$88,$BA$205^A32,IF(A32='Données projet'!$A$88,'Données projet'!$B$88,BD31+BC32-BL31)))</f>
        <v>117.39999999999998</v>
      </c>
      <c r="BE32" s="13">
        <f>BD32*VLOOKUP('Données projet'!$B$11,Paramètres!$A$1:$I$89,3,0)*VLOOKUP('Données projet'!$B$11,Paramètres!$A$1:$I$89,5,0)</f>
        <v>119.04359999999998</v>
      </c>
      <c r="BF32" s="13">
        <f t="shared" si="37"/>
        <v>31.451830922409044</v>
      </c>
      <c r="BG32" s="20">
        <f t="shared" si="7"/>
        <v>262.11287552319567</v>
      </c>
      <c r="BH32" s="59">
        <f t="shared" si="8"/>
        <v>528.28787615378917</v>
      </c>
      <c r="BI32" s="59">
        <f ca="1">AVERAGE(OFFSET($BH$3,0,0,'Données projet'!$E$11+1,1))-AVERAGE(OFFSET($H$3,0,0,'Données projet'!$E$11+1,1))</f>
        <v>524.01140973345832</v>
      </c>
      <c r="BJ32" s="59">
        <f t="shared" si="38"/>
        <v>315.59942237999621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62.926515323495202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16.399999999999999</v>
      </c>
      <c r="BY32" s="12">
        <f>IF('Données projet'!$A$114&gt;35,BY31+BX32-CG31,IF(A32&lt;'Données projet'!$A$114,$BV$205^A32,IF(A32='Données projet'!$A$114,'Données projet'!$B$114,BY31+BX32-CG31)))</f>
        <v>188.60000000000005</v>
      </c>
      <c r="BZ32" s="13">
        <f>BY32*VLOOKUP('Données projet'!$B$12,Paramètres!$A$1:$I$89,3,0)*VLOOKUP('Données projet'!$B$12,Paramètres!$A$1:$I$89,5,0)</f>
        <v>126.51288000000005</v>
      </c>
      <c r="CA32" s="13">
        <f t="shared" si="39"/>
        <v>33.189317611674916</v>
      </c>
      <c r="CB32" s="20">
        <f t="shared" si="10"/>
        <v>278.1479941736672</v>
      </c>
      <c r="CC32" s="59">
        <f t="shared" si="11"/>
        <v>544.3229948042607</v>
      </c>
      <c r="CD32" s="59">
        <f ca="1">AVERAGE(OFFSET($CC$3,0,0,'Données projet'!$E$12+1,1))-AVERAGE(OFFSET($H$3,0,0,'Données projet'!$E$12+1,1))</f>
        <v>358.95222991910504</v>
      </c>
      <c r="CE32" s="59">
        <f t="shared" si="40"/>
        <v>347.37506646970905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62.926515323495202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16.399999999999999</v>
      </c>
      <c r="CT32" s="12">
        <f>IF('Données projet'!$A$140&gt;35,CT31+CS32-DB31,IF(A32&lt;'Données projet'!$A$140,$CQ$205^A32,IF(A32='Données projet'!$A$140,'Données projet'!$B$140,CT31+CS32-DB31)))</f>
        <v>188.60000000000005</v>
      </c>
      <c r="CU32" s="17">
        <f>CT32*VLOOKUP('Données projet'!$B$13,Paramètres!$A$1:$I$89,3,0)*VLOOKUP('Données projet'!$B$13,Paramètres!$A$1:$I$89,5,0)</f>
        <v>123.57072000000004</v>
      </c>
      <c r="CV32" s="13">
        <f t="shared" si="41"/>
        <v>32.506384557027701</v>
      </c>
      <c r="CW32" s="20">
        <f t="shared" si="13"/>
        <v>271.83429043682327</v>
      </c>
      <c r="CX32" s="59">
        <f t="shared" si="14"/>
        <v>538.00929106741683</v>
      </c>
      <c r="CY32" s="59">
        <f ca="1">AVERAGE(OFFSET($CX$3,0,0,'Données projet'!$E$13+1,1))-AVERAGE(OFFSET($H$3,0,0,'Données projet'!$E$13+1,1))</f>
        <v>351.7266381615546</v>
      </c>
      <c r="CZ32" s="59">
        <f t="shared" si="42"/>
        <v>340.52483243761799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7.797181095992582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7.797181095992582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62.926515323495202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12.2</v>
      </c>
      <c r="DO32" s="12">
        <f>IF('Données projet'!$A$166&gt;35,DO31+DN32-DW31,IF(A32&lt;'Données projet'!$A$166,$DL$205^A32,IF(A32='Données projet'!$A$166,'Données projet'!$B$166,DO31+DN32-DW31)))</f>
        <v>133.80000000000001</v>
      </c>
      <c r="DP32" s="17">
        <f>DO32*VLOOKUP('Données projet'!$B$14,Paramètres!$A$1:$I$89,3,0)*VLOOKUP('Données projet'!$B$14,Paramètres!$A$1:$I$89,5,0)</f>
        <v>114.80040000000002</v>
      </c>
      <c r="DQ32" s="13">
        <f t="shared" si="43"/>
        <v>30.459169258522444</v>
      </c>
      <c r="DR32" s="20">
        <f t="shared" si="16"/>
        <v>252.99374979192666</v>
      </c>
      <c r="DS32" s="59">
        <f t="shared" si="17"/>
        <v>519.16875042252013</v>
      </c>
      <c r="DT32" s="59">
        <f ca="1">AVERAGE(OFFSET($DS$3,0,0,'Données projet'!$E$14+1,1))-AVERAGE(OFFSET($H$3,0,0,'Données projet'!$E$14+1,1))</f>
        <v>569.21675741362196</v>
      </c>
      <c r="DU32" s="59">
        <f t="shared" si="44"/>
        <v>321.12410801891679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62.926515323495202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16.399999999999999</v>
      </c>
      <c r="EJ32" s="12">
        <f>IF('Données projet'!$A$192&gt;35,EJ31+EI32-ER31,IF(A32&lt;'Données projet'!$A$192,$EG$205^A32,IF(A32='Données projet'!$A$192,'Données projet'!$B$192,EJ31+EI32-ER31)))</f>
        <v>188.60000000000005</v>
      </c>
      <c r="EK32" s="17">
        <f>EJ32*VLOOKUP('Données projet'!$B$15,Paramètres!$A$1:$I$89,3,0)*VLOOKUP('Données projet'!$B$15,Paramètres!$A$1:$I$89,5,0)</f>
        <v>150.05016000000003</v>
      </c>
      <c r="EL32" s="13">
        <f t="shared" si="45"/>
        <v>38.589984439024605</v>
      </c>
      <c r="EM32" s="20">
        <f t="shared" si="19"/>
        <v>328.5482515646346</v>
      </c>
      <c r="EN32" s="59">
        <f t="shared" si="20"/>
        <v>594.72325219522804</v>
      </c>
      <c r="EO32" s="59">
        <f ca="1">AVERAGE(OFFSET($EN$3,0,0,'Données projet'!$E$15+1,1))-AVERAGE(OFFSET($H$3,0,0,'Données projet'!$E$15+1,1))</f>
        <v>416.63597645452791</v>
      </c>
      <c r="EP32" s="59">
        <f t="shared" si="46"/>
        <v>402.05920382353497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11.669867387856009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11.669867387856009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62.926515323495202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14.2</v>
      </c>
      <c r="FE32" s="12">
        <f>IF('Données projet'!$A$218&gt;35,FE31+FD32-FM31,IF(A32&lt;'Données projet'!$A$218,$FB$205^A32,IF(A32='Données projet'!$A$218,'Données projet'!$B$218,FE31+FD32-FM31)))</f>
        <v>162.79999999999993</v>
      </c>
      <c r="FF32" s="17">
        <f>FE32*VLOOKUP('Données projet'!$B$16,Paramètres!$A$1:$I$89,3,0)*VLOOKUP('Données projet'!$B$16,Paramètres!$A$1:$I$89,5,0)</f>
        <v>142.22207999999995</v>
      </c>
      <c r="FG32" s="13">
        <f t="shared" si="47"/>
        <v>36.805585341198615</v>
      </c>
      <c r="FH32" s="20">
        <f t="shared" si="22"/>
        <v>311.80651713592084</v>
      </c>
      <c r="FI32" s="59">
        <f t="shared" si="23"/>
        <v>577.98151776651434</v>
      </c>
      <c r="FJ32" s="59">
        <f ca="1">AVERAGE(OFFSET($FI$3,0,0,'Données projet'!$E$16+1,1))-AVERAGE(OFFSET($H$3,0,0,'Données projet'!$E$16+1,1))</f>
        <v>395.57130469647603</v>
      </c>
      <c r="FK32" s="59">
        <f t="shared" si="48"/>
        <v>383.97542781562674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10.445567976930695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10.445567976930695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62.926515323495202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11.5</v>
      </c>
      <c r="FZ32" s="12">
        <f>IF('Données projet'!$A$244&gt;35,FZ31+FY32-GH31,IF(A32&lt;'Données projet'!$A$244,$FW$205^A32,IF(A32='Données projet'!$A$244,'Données projet'!$B$244,FZ31+FY32-GH31)))</f>
        <v>131.99999999999994</v>
      </c>
      <c r="GA32" s="17">
        <f>FZ32*VLOOKUP('Données projet'!$B$17,Paramètres!$A$1:$I$89,3,0)*VLOOKUP('Données projet'!$B$17,Paramètres!$A$1:$I$89,5,0)</f>
        <v>102.95999999999997</v>
      </c>
      <c r="GB32" s="13">
        <f t="shared" si="49"/>
        <v>27.665975080374633</v>
      </c>
      <c r="GC32" s="20">
        <f t="shared" si="25"/>
        <v>227.50690659831903</v>
      </c>
      <c r="GD32" s="59">
        <f t="shared" si="26"/>
        <v>493.68190722891256</v>
      </c>
      <c r="GE32" s="59">
        <f ca="1">AVERAGE(OFFSET($GD$3,0,0,'Données projet'!$E$17+1,1))-AVERAGE(OFFSET($H$3,0,0,'Données projet'!$E$17+1,1))</f>
        <v>301.74744407733351</v>
      </c>
      <c r="GF32" s="59">
        <f t="shared" si="50"/>
        <v>292.46787700966991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3.4009132670663926</v>
      </c>
      <c r="GM32" s="21">
        <f>EXP(-LN(2)/25)*GM31+(1-EXP(-LN(2)/25))/(LN(2)/25)*Calculateur!GH32*Calculateur!GJ32*VLOOKUP('Données projet'!$B$17,Paramètres!$A$1:$I$89,3,0)*0.475*44/12</f>
        <v>0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3.4009132670663926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62.926515323495202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16.399999999999999</v>
      </c>
      <c r="GU32" s="12">
        <f>IF('Données projet'!$A$270&gt;35,GU31+GT32-HC31,IF(A32&lt;'Données projet'!$A$270,$GR$205^A32,IF(A32='Données projet'!$A$270,'Données projet'!$B$270,GU31+GT32-HC31)))</f>
        <v>188.60000000000005</v>
      </c>
      <c r="GV32" s="17">
        <f>GU32*VLOOKUP('Données projet'!$B$18,Paramètres!$A$1:$I$89,3,0)*VLOOKUP('Données projet'!$B$18,Paramètres!$A$1:$I$89,5,0)</f>
        <v>111.80208000000003</v>
      </c>
      <c r="GW32" s="13">
        <f t="shared" si="51"/>
        <v>29.755166297383994</v>
      </c>
      <c r="GX32" s="20">
        <f t="shared" si="28"/>
        <v>246.54553730127722</v>
      </c>
      <c r="GY32" s="59">
        <f t="shared" si="29"/>
        <v>512.72053793187069</v>
      </c>
      <c r="GZ32" s="59">
        <f ca="1">AVERAGE(OFFSET($GY$3,0,0,'Données projet'!$E$18+1,1))-AVERAGE(OFFSET($H$3,0,0,'Données projet'!$E$18+1,1))</f>
        <v>322.78672881269978</v>
      </c>
      <c r="HA32" s="59">
        <f t="shared" si="52"/>
        <v>313.08736327626434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projet'!$B$18,Paramètres!$A$1:$I$89,3,0)*0.475*44/12</f>
        <v>0</v>
      </c>
      <c r="HH32" s="21">
        <f>EXP(-LN(2)/25)*HH31+(1-EXP(-LN(2)/25))/(LN(2)/25)*Calculateur!HC32*Calculateur!HE32*VLOOKUP('Données projet'!$B$18,Paramètres!$A$1:$I$89,3,0)*0.475*44/12</f>
        <v>0</v>
      </c>
      <c r="HI32" s="21">
        <f>EXP(-LN(2)/2)*HI31+(1-EXP(-LN(2)/2))/(LN(2)/2)*HC32*HF32*VLOOKUP('Données projet'!$B$18,Paramètres!$A$1:$I$89,3,0)*0.475*44/12</f>
        <v>0</v>
      </c>
      <c r="HJ32" s="22">
        <f t="shared" si="30"/>
        <v>0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2.3499999999999996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8.6166666666666654</v>
      </c>
      <c r="H33" s="67">
        <f t="shared" si="1"/>
        <v>222.20000000000002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63.049224468689928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</v>
      </c>
      <c r="L33" s="12">
        <f>VLOOKUP(A33,'Données projet'!$A$35:$I$55,9,0)</f>
        <v>3.6</v>
      </c>
      <c r="M33" s="12">
        <f t="array" ref="M33">INDEX(L:L,MIN(IF(ISNUMBER(L33:L229),ROW(L33:L229),"")))</f>
        <v>3.6</v>
      </c>
      <c r="N33" s="13">
        <f>IF('Données projet'!$A$36&gt;35,N32+M33-V32,IF(A33&lt;'Données projet'!$A$36,$K$205^A33,IF(A33='Données projet'!$A$36,'Données projet'!$B$36,N32+M33-V32)))</f>
        <v>120.99999999999997</v>
      </c>
      <c r="O33" s="13">
        <f>N33*VLOOKUP('Données projet'!$B$9,Paramètres!$A$1:$I$89,3,0)*VLOOKUP('Données projet'!$B$9,Paramètres!$A$1:$I$89,5,0)</f>
        <v>109.48079999999997</v>
      </c>
      <c r="P33" s="13">
        <f t="shared" si="33"/>
        <v>29.208623339903898</v>
      </c>
      <c r="Q33" s="20">
        <f t="shared" si="2"/>
        <v>241.55074565033257</v>
      </c>
      <c r="R33" s="59">
        <f t="shared" si="0"/>
        <v>509.397902035529</v>
      </c>
      <c r="S33" s="59">
        <f ca="1">AVERAGE(OFFSET($R$3,0,0,'Données projet'!$E$9+1,1))-AVERAGE(OFFSET($H$3,0,0,'Données projet'!$E$9+1,1))</f>
        <v>473.88815717313474</v>
      </c>
      <c r="T33" s="59">
        <f t="shared" si="34"/>
        <v>287.19790203552895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28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63.049224468689928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121</v>
      </c>
      <c r="AG33" s="12">
        <f>VLOOKUP(A33,'Données projet'!$A$61:$I$81,9,0)</f>
        <v>3.6</v>
      </c>
      <c r="AH33" s="12">
        <f t="array" ref="AH33">INDEX(AG:AG,MIN(IF(ISNUMBER(AG33:AG229),ROW(AG33:AG229),"")))</f>
        <v>3.6</v>
      </c>
      <c r="AI33" s="13">
        <f>IF('Données projet'!$A$62&gt;35,AI32+AH33-AQ32,IF(A33&lt;'Données projet'!$A$62,$AF$205^A33,IF(A33='Données projet'!$A$62,'Données projet'!$B$62,AI32+AH33-AQ32)))</f>
        <v>120.99999999999997</v>
      </c>
      <c r="AJ33" s="13">
        <f>AI33*VLOOKUP('Données projet'!$B$10,Paramètres!$A$1:$I$89,3,0)*VLOOKUP('Données projet'!$B$10,Paramètres!$A$1:$I$89,5,0)</f>
        <v>101.93039999999999</v>
      </c>
      <c r="AK33" s="13">
        <f t="shared" si="35"/>
        <v>27.421375718582158</v>
      </c>
      <c r="AL33" s="20">
        <f t="shared" si="4"/>
        <v>225.28767604319728</v>
      </c>
      <c r="AM33" s="59">
        <f t="shared" si="5"/>
        <v>493.13483242839368</v>
      </c>
      <c r="AN33" s="59">
        <f ca="1">AVERAGE(OFFSET($AM$3,0,0,'Données projet'!$E$10+1,1))-AVERAGE(OFFSET($H$3,0,0,'Données projet'!$E$10+1,1))</f>
        <v>445.19118535527258</v>
      </c>
      <c r="AO33" s="59">
        <f t="shared" si="36"/>
        <v>270.93483242839363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28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63.049224468689928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121</v>
      </c>
      <c r="BB33" s="12">
        <f>VLOOKUP(A33,'Données projet'!$A$87:$I$107,9,0)</f>
        <v>3.6</v>
      </c>
      <c r="BC33" s="12">
        <f t="array" ref="BC33">INDEX(BB:BB,MIN(IF(ISNUMBER(BB33:BB229),ROW(BB33:BB229),"")))</f>
        <v>3.6</v>
      </c>
      <c r="BD33" s="12">
        <f>IF('Données projet'!$A$88&gt;35,BD32+BC33-BL32,IF(A33&lt;'Données projet'!$A$88,$BA$205^A33,IF(A33='Données projet'!$A$88,'Données projet'!$B$88,BD32+BC33-BL32)))</f>
        <v>120.99999999999997</v>
      </c>
      <c r="BE33" s="13">
        <f>BD33*VLOOKUP('Données projet'!$B$11,Paramètres!$A$1:$I$89,3,0)*VLOOKUP('Données projet'!$B$11,Paramètres!$A$1:$I$89,5,0)</f>
        <v>122.69399999999997</v>
      </c>
      <c r="BF33" s="13">
        <f t="shared" si="37"/>
        <v>32.302516360650685</v>
      </c>
      <c r="BG33" s="20">
        <f t="shared" si="7"/>
        <v>269.95226599479992</v>
      </c>
      <c r="BH33" s="59">
        <f t="shared" si="8"/>
        <v>537.79942237999626</v>
      </c>
      <c r="BI33" s="59">
        <f ca="1">AVERAGE(OFFSET($BH$3,0,0,'Données projet'!$E$11+1,1))-AVERAGE(OFFSET($H$3,0,0,'Données projet'!$E$11+1,1))</f>
        <v>524.01140973345832</v>
      </c>
      <c r="BJ33" s="59">
        <f t="shared" si="38"/>
        <v>315.59942237999621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28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63.049224468689928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205</v>
      </c>
      <c r="BW33" s="12">
        <f>VLOOKUP(A33,'Données projet'!$A$113:$I$133,9,0)</f>
        <v>16.399999999999999</v>
      </c>
      <c r="BX33" s="12">
        <f t="array" ref="BX33">INDEX(BW:BW,MIN(IF(ISNUMBER(BW33:BW229),ROW(BW33:BW229),"")))</f>
        <v>16.399999999999999</v>
      </c>
      <c r="BY33" s="12">
        <f>IF('Données projet'!$A$114&gt;35,BY32+BX33-CG32,IF(A33&lt;'Données projet'!$A$114,$BV$205^A33,IF(A33='Données projet'!$A$114,'Données projet'!$B$114,BY32+BX33-CG32)))</f>
        <v>205.00000000000006</v>
      </c>
      <c r="BZ33" s="13">
        <f>BY33*VLOOKUP('Données projet'!$B$12,Paramètres!$A$1:$I$89,3,0)*VLOOKUP('Données projet'!$B$12,Paramètres!$A$1:$I$89,5,0)</f>
        <v>137.51400000000004</v>
      </c>
      <c r="CA33" s="13">
        <f t="shared" si="39"/>
        <v>35.726905311681854</v>
      </c>
      <c r="CB33" s="20">
        <f t="shared" si="10"/>
        <v>301.72791008451264</v>
      </c>
      <c r="CC33" s="59">
        <f t="shared" si="11"/>
        <v>569.5750664697091</v>
      </c>
      <c r="CD33" s="59">
        <f ca="1">AVERAGE(OFFSET($CC$3,0,0,'Données projet'!$E$12+1,1))-AVERAGE(OFFSET($H$3,0,0,'Données projet'!$E$12+1,1))</f>
        <v>358.95222991910504</v>
      </c>
      <c r="CE33" s="59">
        <f t="shared" si="40"/>
        <v>347.37506646970905</v>
      </c>
      <c r="CF33" s="15">
        <f>IF(ISNA(VLOOKUP(A33,'Données projet'!$A$113:$I$133,3,0)),0,VLOOKUP(A33,'Données projet'!$A$113:$I$133,3,0))</f>
        <v>5</v>
      </c>
      <c r="CG33" s="15">
        <f>IF(ISNA(VLOOKUP(A33,'Données projet'!$A$113:$I$133,4,0)),0,VLOOKUP(A33,'Données projet'!$A$113:$I$133,4,0))</f>
        <v>42</v>
      </c>
      <c r="CH33" s="16">
        <f>IF(ISNA(VLOOKUP(A33,'Données projet'!$A$113:$I$133,5,0)),0%,VLOOKUP(A33,'Données projet'!$A$113:$I$133,5,0)*VLOOKUP('Données projet'!$B$12,Paramètres!$A$1:$I$89,7,0))</f>
        <v>0.10600000000000001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3.3013785101898101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3.3013785101898101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63.049224468689928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205</v>
      </c>
      <c r="CR33" s="12">
        <f>VLOOKUP(A33,'Données projet'!$A$139:$I$159,9,0)</f>
        <v>16.399999999999999</v>
      </c>
      <c r="CS33" s="12">
        <f t="array" ref="CS33">INDEX(CR:CR,MIN(IF(ISNUMBER(CR33:CR229),ROW(CR33:CR229),"")))</f>
        <v>16.399999999999999</v>
      </c>
      <c r="CT33" s="12">
        <f>IF('Données projet'!$A$140&gt;35,CT32+CS33-DB32,IF(A33&lt;'Données projet'!$A$140,$CQ$205^A33,IF(A33='Données projet'!$A$140,'Données projet'!$B$140,CT32+CS33-DB32)))</f>
        <v>205.00000000000006</v>
      </c>
      <c r="CU33" s="17">
        <f>CT33*VLOOKUP('Données projet'!$B$13,Paramètres!$A$1:$I$89,3,0)*VLOOKUP('Données projet'!$B$13,Paramètres!$A$1:$I$89,5,0)</f>
        <v>134.31600000000003</v>
      </c>
      <c r="CV33" s="13">
        <f t="shared" si="41"/>
        <v>34.991756585122445</v>
      </c>
      <c r="CW33" s="20">
        <f t="shared" si="13"/>
        <v>294.87767605242163</v>
      </c>
      <c r="CX33" s="59">
        <f t="shared" si="14"/>
        <v>562.72483243761803</v>
      </c>
      <c r="CY33" s="59">
        <f ca="1">AVERAGE(OFFSET($CX$3,0,0,'Données projet'!$E$13+1,1))-AVERAGE(OFFSET($H$3,0,0,'Données projet'!$E$13+1,1))</f>
        <v>351.7266381615546</v>
      </c>
      <c r="CZ33" s="59">
        <f t="shared" si="42"/>
        <v>340.52483243761799</v>
      </c>
      <c r="DA33" s="15">
        <f>IF(ISNA(VLOOKUP(A33,'Données projet'!$A$139:$I$159,3,0)),0,VLOOKUP(A33,'Données projet'!$A$139:$I$159,3,0))</f>
        <v>5</v>
      </c>
      <c r="DB33" s="15">
        <f>IF(ISNA(VLOOKUP(A33,'Données projet'!$A$139:$I$159,4,0)),0,VLOOKUP(A33,'Données projet'!$A$139:$I$159,4,0))</f>
        <v>42</v>
      </c>
      <c r="DC33" s="16">
        <f>IF(ISNA(VLOOKUP(A33,'Données projet'!$A$139:$I$159,5,0)),0%,VLOOKUP(A33,'Données projet'!$A$139:$I$159,5,0)*VLOOKUP('Données projet'!$B$13,Paramètres!$A$1:$I$89,7,0))</f>
        <v>0.129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11.568563246397039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11.568563246397039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63.049224468689928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146</v>
      </c>
      <c r="DM33" s="12">
        <f>VLOOKUP(A33,'Données projet'!$A$165:$I$185,9,0)</f>
        <v>12.2</v>
      </c>
      <c r="DN33" s="12">
        <f t="array" ref="DN33">INDEX(DM:DM,MIN(IF(ISNUMBER(DM33:DM229),ROW(DM33:DM229),"")))</f>
        <v>12.2</v>
      </c>
      <c r="DO33" s="12">
        <f>IF('Données projet'!$A$166&gt;35,DO32+DN33-DW32,IF(A33&lt;'Données projet'!$A$166,$DL$205^A33,IF(A33='Données projet'!$A$166,'Données projet'!$B$166,DO32+DN33-DW32)))</f>
        <v>146</v>
      </c>
      <c r="DP33" s="17">
        <f>DO33*VLOOKUP('Données projet'!$B$14,Paramètres!$A$1:$I$89,3,0)*VLOOKUP('Données projet'!$B$14,Paramètres!$A$1:$I$89,5,0)</f>
        <v>125.26800000000003</v>
      </c>
      <c r="DQ33" s="13">
        <f t="shared" si="43"/>
        <v>32.9005846700787</v>
      </c>
      <c r="DR33" s="20">
        <f t="shared" si="16"/>
        <v>275.47695163372049</v>
      </c>
      <c r="DS33" s="59">
        <f t="shared" si="17"/>
        <v>543.32410801891683</v>
      </c>
      <c r="DT33" s="59">
        <f ca="1">AVERAGE(OFFSET($DS$3,0,0,'Données projet'!$E$14+1,1))-AVERAGE(OFFSET($H$3,0,0,'Données projet'!$E$14+1,1))</f>
        <v>569.21675741362196</v>
      </c>
      <c r="DU33" s="59">
        <f t="shared" si="44"/>
        <v>321.12410801891679</v>
      </c>
      <c r="DV33" s="15">
        <f>IF(ISNA(VLOOKUP(A33,'Données projet'!$A$165:$I$185,3,0)),0,VLOOKUP(A33,'Données projet'!$A$165:$I$185,3,0))</f>
        <v>3</v>
      </c>
      <c r="DW33" s="15">
        <f>IF(ISNA(VLOOKUP(A33,'Données projet'!$A$165:$I$185,4,0)),0,VLOOKUP(A33,'Données projet'!$A$165:$I$185,4,0))</f>
        <v>35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63.049224468689928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205</v>
      </c>
      <c r="EH33" s="12">
        <f>VLOOKUP(A33,'Données projet'!$A$191:$I$211,9,0)</f>
        <v>16.399999999999999</v>
      </c>
      <c r="EI33" s="12">
        <f t="array" ref="EI33">INDEX(EH:EH,MIN(IF(ISNUMBER(EH33:EH229),ROW(EH33:EH229),"")))</f>
        <v>16.399999999999999</v>
      </c>
      <c r="EJ33" s="12">
        <f>IF('Données projet'!$A$192&gt;35,EJ32+EI33-ER32,IF(A33&lt;'Données projet'!$A$192,$EG$205^A33,IF(A33='Données projet'!$A$192,'Données projet'!$B$192,EJ32+EI33-ER32)))</f>
        <v>205.00000000000006</v>
      </c>
      <c r="EK33" s="17">
        <f>EJ33*VLOOKUP('Données projet'!$B$15,Paramètres!$A$1:$I$89,3,0)*VLOOKUP('Données projet'!$B$15,Paramètres!$A$1:$I$89,5,0)</f>
        <v>163.09800000000004</v>
      </c>
      <c r="EL33" s="13">
        <f t="shared" si="45"/>
        <v>41.540496136845142</v>
      </c>
      <c r="EM33" s="20">
        <f t="shared" si="19"/>
        <v>356.41204743833867</v>
      </c>
      <c r="EN33" s="59">
        <f t="shared" si="20"/>
        <v>624.25920382353502</v>
      </c>
      <c r="EO33" s="59">
        <f ca="1">AVERAGE(OFFSET($EN$3,0,0,'Données projet'!$E$15+1,1))-AVERAGE(OFFSET($H$3,0,0,'Données projet'!$E$15+1,1))</f>
        <v>416.63597645452791</v>
      </c>
      <c r="EP33" s="59">
        <f t="shared" si="46"/>
        <v>402.05920382353497</v>
      </c>
      <c r="EQ33" s="15">
        <f>IF(ISNA(VLOOKUP(A33,'Données projet'!$A$191:$I$211,3,0)),0,VLOOKUP(A33,'Données projet'!$A$191:$I$211,3,0))</f>
        <v>5</v>
      </c>
      <c r="ER33" s="15">
        <f>IF(ISNA(VLOOKUP(A33,'Données projet'!$A$191:$I$211,4,0)),0,VLOOKUP(A33,'Données projet'!$A$191:$I$211,4,0))</f>
        <v>42</v>
      </c>
      <c r="ES33" s="16">
        <f>IF(ISNA(VLOOKUP(A33,'Données projet'!$A$191:$I$211,5,0)),0%,VLOOKUP(A33,'Données projet'!$A$191:$I$211,5,0)*VLOOKUP('Données projet'!$B$15,Paramètres!$A$1:$I$89,7,0))</f>
        <v>0.159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17.314411104657363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17.314411104657363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63.049224468689928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177</v>
      </c>
      <c r="FC33" s="12">
        <f>VLOOKUP(A33,'Données projet'!$A$217:$I$237,9,0)</f>
        <v>14.2</v>
      </c>
      <c r="FD33" s="12">
        <f t="array" ref="FD33">INDEX(FC:FC,MIN(IF(ISNUMBER(FC33:FC229),ROW(FC33:FC229),"")))</f>
        <v>14.2</v>
      </c>
      <c r="FE33" s="12">
        <f>IF('Données projet'!$A$218&gt;35,FE32+FD33-FM32,IF(A33&lt;'Données projet'!$A$218,$FB$205^A33,IF(A33='Données projet'!$A$218,'Données projet'!$B$218,FE32+FD33-FM32)))</f>
        <v>176.99999999999991</v>
      </c>
      <c r="FF33" s="17">
        <f>FE33*VLOOKUP('Données projet'!$B$16,Paramètres!$A$1:$I$89,3,0)*VLOOKUP('Données projet'!$B$16,Paramètres!$A$1:$I$89,5,0)</f>
        <v>154.62719999999996</v>
      </c>
      <c r="FG33" s="13">
        <f t="shared" si="47"/>
        <v>39.62826685000794</v>
      </c>
      <c r="FH33" s="20">
        <f t="shared" si="22"/>
        <v>338.32827143043039</v>
      </c>
      <c r="FI33" s="59">
        <f t="shared" si="23"/>
        <v>606.17542781562679</v>
      </c>
      <c r="FJ33" s="59">
        <f ca="1">AVERAGE(OFFSET($FI$3,0,0,'Données projet'!$E$16+1,1))-AVERAGE(OFFSET($H$3,0,0,'Données projet'!$E$16+1,1))</f>
        <v>395.57130469647603</v>
      </c>
      <c r="FK33" s="59">
        <f t="shared" si="48"/>
        <v>383.97542781562674</v>
      </c>
      <c r="FL33" s="15">
        <f>IF(ISNA(VLOOKUP(A33,'Données projet'!$A$217:$I$237,3,0)),0,VLOOKUP(A33,'Données projet'!$A$217:$I$237,3,0))</f>
        <v>5</v>
      </c>
      <c r="FM33" s="15">
        <f>IF(ISNA(VLOOKUP(A33,'Données projet'!$A$217:$I$237,4,0)),0,VLOOKUP(A33,'Données projet'!$A$217:$I$237,4,0))</f>
        <v>35</v>
      </c>
      <c r="FN33" s="16">
        <f>IF(ISNA(VLOOKUP(A33,'Données projet'!$A$217:$I$237,5,0)),0%,VLOOKUP(A33,'Données projet'!$A$217:$I$237,5,0)*VLOOKUP('Données projet'!$B$16,Paramètres!$A$1:$I$89,7,0))</f>
        <v>0.159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15.615073869681769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15.615073869681769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63.049224468689928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11.5</v>
      </c>
      <c r="FZ33" s="12">
        <f>IF('Données projet'!$A$244&gt;35,FZ32+FY33-GH32,IF(A33&lt;'Données projet'!$A$244,$FW$205^A33,IF(A33='Données projet'!$A$244,'Données projet'!$B$244,FZ32+FY33-GH32)))</f>
        <v>143.49999999999994</v>
      </c>
      <c r="GA33" s="17">
        <f>FZ33*VLOOKUP('Données projet'!$B$17,Paramètres!$A$1:$I$89,3,0)*VLOOKUP('Données projet'!$B$17,Paramètres!$A$1:$I$89,5,0)</f>
        <v>111.92999999999996</v>
      </c>
      <c r="GB33" s="13">
        <f t="shared" si="49"/>
        <v>29.785246291563833</v>
      </c>
      <c r="GC33" s="20">
        <f t="shared" si="25"/>
        <v>246.82072062447358</v>
      </c>
      <c r="GD33" s="59">
        <f t="shared" si="26"/>
        <v>514.66787700966995</v>
      </c>
      <c r="GE33" s="59">
        <f ca="1">AVERAGE(OFFSET($GD$3,0,0,'Données projet'!$E$17+1,1))-AVERAGE(OFFSET($H$3,0,0,'Données projet'!$E$17+1,1))</f>
        <v>301.74744407733351</v>
      </c>
      <c r="GF33" s="59">
        <f t="shared" si="50"/>
        <v>292.46787700966991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3.3342234322514881</v>
      </c>
      <c r="GM33" s="21">
        <f>EXP(-LN(2)/25)*GM32+(1-EXP(-LN(2)/25))/(LN(2)/25)*Calculateur!GH33*Calculateur!GJ33*VLOOKUP('Données projet'!$B$17,Paramètres!$A$1:$I$89,3,0)*0.475*44/12</f>
        <v>0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3.3342234322514881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63.049224468689928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>
        <f>VLOOKUP(A33,'Données projet'!$A$269:$I$289,2,0)</f>
        <v>205</v>
      </c>
      <c r="GS33" s="12">
        <f>VLOOKUP(A33,'Données projet'!$A$269:$I$289,9,0)</f>
        <v>16.399999999999999</v>
      </c>
      <c r="GT33" s="12">
        <f t="array" ref="GT33">INDEX(GS:GS,MIN(IF(ISNUMBER(GS33:GS229),ROW(GS33:GS229),"")))</f>
        <v>16.399999999999999</v>
      </c>
      <c r="GU33" s="12">
        <f>IF('Données projet'!$A$270&gt;35,GU32+GT33-HC32,IF(A33&lt;'Données projet'!$A$270,$GR$205^A33,IF(A33='Données projet'!$A$270,'Données projet'!$B$270,GU32+GT33-HC32)))</f>
        <v>205.00000000000006</v>
      </c>
      <c r="GV33" s="17">
        <f>GU33*VLOOKUP('Données projet'!$B$18,Paramètres!$A$1:$I$89,3,0)*VLOOKUP('Données projet'!$B$18,Paramètres!$A$1:$I$89,5,0)</f>
        <v>121.52400000000003</v>
      </c>
      <c r="GW33" s="13">
        <f t="shared" si="51"/>
        <v>32.030185774775809</v>
      </c>
      <c r="GX33" s="20">
        <f t="shared" si="28"/>
        <v>267.44020689106793</v>
      </c>
      <c r="GY33" s="59">
        <f t="shared" si="29"/>
        <v>535.28736327626439</v>
      </c>
      <c r="GZ33" s="59">
        <f ca="1">AVERAGE(OFFSET($GY$3,0,0,'Données projet'!$E$18+1,1))-AVERAGE(OFFSET($H$3,0,0,'Données projet'!$E$18+1,1))</f>
        <v>322.78672881269978</v>
      </c>
      <c r="HA33" s="59">
        <f t="shared" si="52"/>
        <v>313.08736327626434</v>
      </c>
      <c r="HB33" s="15">
        <f>IF(ISNA(VLOOKUP(A33,'Données projet'!$A$269:$I$289,3,0)),0,VLOOKUP(A33,'Données projet'!$A$269:$I$289,3,0))</f>
        <v>5</v>
      </c>
      <c r="HC33" s="15">
        <f>IF(ISNA(VLOOKUP(A33,'Données projet'!$A$269:$I$289,4,0)),0,VLOOKUP(A33,'Données projet'!$A$269:$I$289,4,0))</f>
        <v>42</v>
      </c>
      <c r="HD33" s="16">
        <f>IF(ISNA(VLOOKUP(A33,'Données projet'!$A$269:$I$289,5,0)),0%,VLOOKUP(A33,'Données projet'!$A$269:$I$289,5,0)*VLOOKUP('Données projet'!$B$18,Paramètres!$A$1:$I$89,7,0))</f>
        <v>0.12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>
        <f>EXP(-LN(2)/35)*HG32+(1-EXP(-LN(2)/35))/(LN(2)/35)*HC33*HD33*VLOOKUP('Données projet'!$B$18,Paramètres!$A$1:$I$89,3,0)*0.475*44/12</f>
        <v>3.302827118575149</v>
      </c>
      <c r="HH33" s="21">
        <f>EXP(-LN(2)/25)*HH32+(1-EXP(-LN(2)/25))/(LN(2)/25)*Calculateur!HC33*Calculateur!HE33*VLOOKUP('Données projet'!$B$18,Paramètres!$A$1:$I$89,3,0)*0.475*44/12</f>
        <v>0</v>
      </c>
      <c r="HI33" s="21">
        <f>EXP(-LN(2)/2)*HI32+(1-EXP(-LN(2)/2))/(LN(2)/2)*HC33*HF33*VLOOKUP('Données projet'!$B$18,Paramètres!$A$1:$I$89,3,0)*0.475*44/12</f>
        <v>0</v>
      </c>
      <c r="HJ33" s="22">
        <f t="shared" si="30"/>
        <v>3.302827118575149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2.3499999999999996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8.6166666666666654</v>
      </c>
      <c r="H34" s="67">
        <f t="shared" si="1"/>
        <v>222.20000000000002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63.169804884552065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10.8</v>
      </c>
      <c r="N34" s="13">
        <f>IF('Données projet'!$A$36&gt;35,N33+M34-V33,IF(A34&lt;'Données projet'!$A$36,$K$205^A34,IF(A34='Données projet'!$A$36,'Données projet'!$B$36,N33+M34-V33)))</f>
        <v>103.79999999999998</v>
      </c>
      <c r="O34" s="13">
        <f>N34*VLOOKUP('Données projet'!$B$9,Paramètres!$A$1:$I$89,3,0)*VLOOKUP('Données projet'!$B$9,Paramètres!$A$1:$I$89,5,0)</f>
        <v>93.918239999999983</v>
      </c>
      <c r="P34" s="13">
        <f t="shared" si="33"/>
        <v>25.507853654185997</v>
      </c>
      <c r="Q34" s="20">
        <f t="shared" si="2"/>
        <v>208.00044644770722</v>
      </c>
      <c r="R34" s="59">
        <f t="shared" si="0"/>
        <v>476.28973102439818</v>
      </c>
      <c r="S34" s="59">
        <f ca="1">AVERAGE(OFFSET($R$3,0,0,'Données projet'!$E$9+1,1))-AVERAGE(OFFSET($H$3,0,0,'Données projet'!$E$9+1,1))</f>
        <v>473.88815717313474</v>
      </c>
      <c r="T34" s="59">
        <f t="shared" si="34"/>
        <v>287.19790203552895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63.169804884552065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10.8</v>
      </c>
      <c r="AI34" s="13">
        <f>IF('Données projet'!$A$62&gt;35,AI33+AH34-AQ33,IF(A34&lt;'Données projet'!$A$62,$AF$205^A34,IF(A34='Données projet'!$A$62,'Données projet'!$B$62,AI33+AH34-AQ33)))</f>
        <v>103.79999999999998</v>
      </c>
      <c r="AJ34" s="13">
        <f>AI34*VLOOKUP('Données projet'!$B$10,Paramètres!$A$1:$I$89,3,0)*VLOOKUP('Données projet'!$B$10,Paramètres!$A$1:$I$89,5,0)</f>
        <v>87.441119999999998</v>
      </c>
      <c r="AK34" s="13">
        <f t="shared" si="35"/>
        <v>23.947052577122403</v>
      </c>
      <c r="AL34" s="20">
        <f t="shared" si="4"/>
        <v>194.00106723848819</v>
      </c>
      <c r="AM34" s="59">
        <f t="shared" si="5"/>
        <v>462.29035181517912</v>
      </c>
      <c r="AN34" s="59">
        <f ca="1">AVERAGE(OFFSET($AM$3,0,0,'Données projet'!$E$10+1,1))-AVERAGE(OFFSET($H$3,0,0,'Données projet'!$E$10+1,1))</f>
        <v>445.19118535527258</v>
      </c>
      <c r="AO34" s="59">
        <f t="shared" si="36"/>
        <v>270.93483242839363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63.169804884552065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10.8</v>
      </c>
      <c r="BD34" s="12">
        <f>IF('Données projet'!$A$88&gt;35,BD33+BC34-BL33,IF(A34&lt;'Données projet'!$A$88,$BA$205^A34,IF(A34='Données projet'!$A$88,'Données projet'!$B$88,BD33+BC34-BL33)))</f>
        <v>103.79999999999998</v>
      </c>
      <c r="BE34" s="13">
        <f>BD34*VLOOKUP('Données projet'!$B$11,Paramètres!$A$1:$I$89,3,0)*VLOOKUP('Données projet'!$B$11,Paramètres!$A$1:$I$89,5,0)</f>
        <v>105.25319999999998</v>
      </c>
      <c r="BF34" s="13">
        <f t="shared" si="37"/>
        <v>28.209746498519397</v>
      </c>
      <c r="BG34" s="20">
        <f t="shared" si="7"/>
        <v>232.44796515158791</v>
      </c>
      <c r="BH34" s="59">
        <f t="shared" si="8"/>
        <v>500.73724972827881</v>
      </c>
      <c r="BI34" s="59">
        <f ca="1">AVERAGE(OFFSET($BH$3,0,0,'Données projet'!$E$11+1,1))-AVERAGE(OFFSET($H$3,0,0,'Données projet'!$E$11+1,1))</f>
        <v>524.01140973345832</v>
      </c>
      <c r="BJ34" s="59">
        <f t="shared" si="38"/>
        <v>315.59942237999621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63.169804884552065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15.2</v>
      </c>
      <c r="BY34" s="12">
        <f>IF('Données projet'!$A$114&gt;35,BY33+BX34-CG33,IF(A34&lt;'Données projet'!$A$114,$BV$205^A34,IF(A34='Données projet'!$A$114,'Données projet'!$B$114,BY33+BX34-CG33)))</f>
        <v>178.20000000000005</v>
      </c>
      <c r="BZ34" s="13">
        <f>BY34*VLOOKUP('Données projet'!$B$12,Paramètres!$A$1:$I$89,3,0)*VLOOKUP('Données projet'!$B$12,Paramètres!$A$1:$I$89,5,0)</f>
        <v>119.53656000000004</v>
      </c>
      <c r="CA34" s="13">
        <f t="shared" si="39"/>
        <v>31.566885194519276</v>
      </c>
      <c r="CB34" s="20">
        <f t="shared" si="10"/>
        <v>263.17183371378781</v>
      </c>
      <c r="CC34" s="59">
        <f t="shared" si="11"/>
        <v>531.46111829047868</v>
      </c>
      <c r="CD34" s="59">
        <f ca="1">AVERAGE(OFFSET($CC$3,0,0,'Données projet'!$E$12+1,1))-AVERAGE(OFFSET($H$3,0,0,'Données projet'!$E$12+1,1))</f>
        <v>358.95222991910504</v>
      </c>
      <c r="CE34" s="59">
        <f t="shared" si="40"/>
        <v>347.37506646970905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3.2366404912470483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3.2366404912470483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63.169804884552065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15.2</v>
      </c>
      <c r="CT34" s="12">
        <f>IF('Données projet'!$A$140&gt;35,CT33+CS34-DB33,IF(A34&lt;'Données projet'!$A$140,$CQ$205^A34,IF(A34='Données projet'!$A$140,'Données projet'!$B$140,CT33+CS34-DB33)))</f>
        <v>178.20000000000005</v>
      </c>
      <c r="CU34" s="17">
        <f>CT34*VLOOKUP('Données projet'!$B$13,Paramètres!$A$1:$I$89,3,0)*VLOOKUP('Données projet'!$B$13,Paramètres!$A$1:$I$89,5,0)</f>
        <v>116.75664000000003</v>
      </c>
      <c r="CV34" s="13">
        <f t="shared" si="41"/>
        <v>30.91733675897062</v>
      </c>
      <c r="CW34" s="20">
        <f t="shared" si="13"/>
        <v>257.19884285520715</v>
      </c>
      <c r="CX34" s="59">
        <f t="shared" si="14"/>
        <v>525.48812743189808</v>
      </c>
      <c r="CY34" s="59">
        <f ca="1">AVERAGE(OFFSET($CX$3,0,0,'Données projet'!$E$13+1,1))-AVERAGE(OFFSET($H$3,0,0,'Données projet'!$E$13+1,1))</f>
        <v>351.7266381615546</v>
      </c>
      <c r="CZ34" s="59">
        <f t="shared" si="42"/>
        <v>340.52483243761799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11.341710777262039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11.341710777262039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63.169804884552065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12.8</v>
      </c>
      <c r="DO34" s="12">
        <f>IF('Données projet'!$A$166&gt;35,DO33+DN34-DW33,IF(A34&lt;'Données projet'!$A$166,$DL$205^A34,IF(A34='Données projet'!$A$166,'Données projet'!$B$166,DO33+DN34-DW33)))</f>
        <v>123.80000000000001</v>
      </c>
      <c r="DP34" s="17">
        <f>DO34*VLOOKUP('Données projet'!$B$14,Paramètres!$A$1:$I$89,3,0)*VLOOKUP('Données projet'!$B$14,Paramètres!$A$1:$I$89,5,0)</f>
        <v>106.22040000000003</v>
      </c>
      <c r="DQ34" s="13">
        <f t="shared" si="43"/>
        <v>28.438677354079406</v>
      </c>
      <c r="DR34" s="20">
        <f t="shared" si="16"/>
        <v>234.53122639168836</v>
      </c>
      <c r="DS34" s="59">
        <f t="shared" si="17"/>
        <v>502.82051096837927</v>
      </c>
      <c r="DT34" s="59">
        <f ca="1">AVERAGE(OFFSET($DS$3,0,0,'Données projet'!$E$14+1,1))-AVERAGE(OFFSET($H$3,0,0,'Données projet'!$E$14+1,1))</f>
        <v>569.21675741362196</v>
      </c>
      <c r="DU34" s="59">
        <f t="shared" si="44"/>
        <v>321.12410801891679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63.169804884552065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15.2</v>
      </c>
      <c r="EJ34" s="12">
        <f>IF('Données projet'!$A$192&gt;35,EJ33+EI34-ER33,IF(A34&lt;'Données projet'!$A$192,$EG$205^A34,IF(A34='Données projet'!$A$192,'Données projet'!$B$192,EJ33+EI34-ER33)))</f>
        <v>178.20000000000005</v>
      </c>
      <c r="EK34" s="17">
        <f>EJ34*VLOOKUP('Données projet'!$B$15,Paramètres!$A$1:$I$89,3,0)*VLOOKUP('Données projet'!$B$15,Paramètres!$A$1:$I$89,5,0)</f>
        <v>141.77592000000004</v>
      </c>
      <c r="EL34" s="13">
        <f t="shared" si="45"/>
        <v>36.703544878441981</v>
      </c>
      <c r="EM34" s="20">
        <f t="shared" si="19"/>
        <v>310.85173466328649</v>
      </c>
      <c r="EN34" s="59">
        <f t="shared" si="20"/>
        <v>579.14101923997737</v>
      </c>
      <c r="EO34" s="59">
        <f ca="1">AVERAGE(OFFSET($EN$3,0,0,'Données projet'!$E$15+1,1))-AVERAGE(OFFSET($H$3,0,0,'Données projet'!$E$15+1,1))</f>
        <v>416.63597645452791</v>
      </c>
      <c r="EP34" s="59">
        <f t="shared" si="46"/>
        <v>402.05920382353497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16.974886063643019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16.974886063643019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63.169804884552065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12.8</v>
      </c>
      <c r="FE34" s="12">
        <f>IF('Données projet'!$A$218&gt;35,FE33+FD34-FM33,IF(A34&lt;'Données projet'!$A$218,$FB$205^A34,IF(A34='Données projet'!$A$218,'Données projet'!$B$218,FE33+FD34-FM33)))</f>
        <v>154.79999999999993</v>
      </c>
      <c r="FF34" s="17">
        <f>FE34*VLOOKUP('Données projet'!$B$16,Paramètres!$A$1:$I$89,3,0)*VLOOKUP('Données projet'!$B$16,Paramètres!$A$1:$I$89,5,0)</f>
        <v>135.23327999999995</v>
      </c>
      <c r="FG34" s="13">
        <f t="shared" si="47"/>
        <v>35.202825080004438</v>
      </c>
      <c r="FH34" s="20">
        <f t="shared" si="22"/>
        <v>296.842883014341</v>
      </c>
      <c r="FI34" s="59">
        <f t="shared" si="23"/>
        <v>565.13216759103193</v>
      </c>
      <c r="FJ34" s="59">
        <f ca="1">AVERAGE(OFFSET($FI$3,0,0,'Données projet'!$E$16+1,1))-AVERAGE(OFFSET($H$3,0,0,'Données projet'!$E$16+1,1))</f>
        <v>395.57130469647603</v>
      </c>
      <c r="FK34" s="59">
        <f t="shared" si="48"/>
        <v>383.97542781562674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15.308871795351928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15.308871795351928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63.169804884552065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>
        <f>VLOOKUP(A34,'Données projet'!$A$243:$I$263,2,0)</f>
        <v>155</v>
      </c>
      <c r="FX34" s="12">
        <f>VLOOKUP(A34,'Données projet'!$A$243:$I$263,9,0)</f>
        <v>11.5</v>
      </c>
      <c r="FY34" s="12">
        <f t="array" ref="FY34">INDEX(FX:FX,MIN(IF(ISNUMBER(FX34:FX230),ROW(FX34:FX230),"")))</f>
        <v>11.5</v>
      </c>
      <c r="FZ34" s="12">
        <f>IF('Données projet'!$A$244&gt;35,FZ33+FY34-GH33,IF(A34&lt;'Données projet'!$A$244,$FW$205^A34,IF(A34='Données projet'!$A$244,'Données projet'!$B$244,FZ33+FY34-GH33)))</f>
        <v>154.99999999999994</v>
      </c>
      <c r="GA34" s="17">
        <f>FZ34*VLOOKUP('Données projet'!$B$17,Paramètres!$A$1:$I$89,3,0)*VLOOKUP('Données projet'!$B$17,Paramètres!$A$1:$I$89,5,0)</f>
        <v>120.89999999999996</v>
      </c>
      <c r="GB34" s="13">
        <f t="shared" si="49"/>
        <v>31.884818143351602</v>
      </c>
      <c r="GC34" s="20">
        <f t="shared" si="25"/>
        <v>266.10022493300397</v>
      </c>
      <c r="GD34" s="59">
        <f t="shared" si="26"/>
        <v>534.3895095096949</v>
      </c>
      <c r="GE34" s="59">
        <f ca="1">AVERAGE(OFFSET($GD$3,0,0,'Données projet'!$E$17+1,1))-AVERAGE(OFFSET($H$3,0,0,'Données projet'!$E$17+1,1))</f>
        <v>301.74744407733351</v>
      </c>
      <c r="GF34" s="59">
        <f t="shared" si="50"/>
        <v>292.46787700966991</v>
      </c>
      <c r="GG34" s="15">
        <f>IF(ISNA(VLOOKUP(A34,'Données projet'!$A$243:$I$263,3,0)),0,VLOOKUP(A34,'Données projet'!$A$243:$I$263,3,0))</f>
        <v>4</v>
      </c>
      <c r="GH34" s="15">
        <f>IF(ISNA(VLOOKUP(A34,'Données projet'!$A$243:$I$263,4,0)),0,VLOOKUP(A34,'Données projet'!$A$243:$I$263,4,0))</f>
        <v>36</v>
      </c>
      <c r="GI34" s="16">
        <f>IF(ISNA(VLOOKUP(A34,'Données projet'!$A$243:$I$263,5,0)),0%,VLOOKUP(A34,'Données projet'!$A$243:$I$263,5,0)*VLOOKUP('Données projet'!$B$17,Paramètres!$A$1:$I$89,7,0))</f>
        <v>0.129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7.2732088096103169</v>
      </c>
      <c r="GM34" s="21">
        <f>EXP(-LN(2)/25)*GM33+(1-EXP(-LN(2)/25))/(LN(2)/25)*Calculateur!GH34*Calculateur!GJ34*VLOOKUP('Données projet'!$B$17,Paramètres!$A$1:$I$89,3,0)*0.475*44/12</f>
        <v>0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7.2732088096103169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63.169804884552065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15.2</v>
      </c>
      <c r="GU34" s="12">
        <f>IF('Données projet'!$A$270&gt;35,GU33+GT34-HC33,IF(A34&lt;'Données projet'!$A$270,$GR$205^A34,IF(A34='Données projet'!$A$270,'Données projet'!$B$270,GU33+GT34-HC33)))</f>
        <v>178.20000000000005</v>
      </c>
      <c r="GV34" s="17">
        <f>GU34*VLOOKUP('Données projet'!$B$18,Paramètres!$A$1:$I$89,3,0)*VLOOKUP('Données projet'!$B$18,Paramètres!$A$1:$I$89,5,0)</f>
        <v>105.63696000000004</v>
      </c>
      <c r="GW34" s="13">
        <f t="shared" si="51"/>
        <v>28.300609534766192</v>
      </c>
      <c r="GX34" s="20">
        <f t="shared" si="28"/>
        <v>233.27460027305116</v>
      </c>
      <c r="GY34" s="59">
        <f t="shared" si="29"/>
        <v>501.56388484974207</v>
      </c>
      <c r="GZ34" s="59">
        <f ca="1">AVERAGE(OFFSET($GY$3,0,0,'Données projet'!$E$18+1,1))-AVERAGE(OFFSET($H$3,0,0,'Données projet'!$E$18+1,1))</f>
        <v>322.78672881269978</v>
      </c>
      <c r="HA34" s="59">
        <f t="shared" si="52"/>
        <v>313.08736327626434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projet'!$B$18,Paramètres!$A$1:$I$89,3,0)*0.475*44/12</f>
        <v>3.2380606933055147</v>
      </c>
      <c r="HH34" s="21">
        <f>EXP(-LN(2)/25)*HH33+(1-EXP(-LN(2)/25))/(LN(2)/25)*Calculateur!HC34*Calculateur!HE34*VLOOKUP('Données projet'!$B$18,Paramètres!$A$1:$I$89,3,0)*0.475*44/12</f>
        <v>0</v>
      </c>
      <c r="HI34" s="21">
        <f>EXP(-LN(2)/2)*HI33+(1-EXP(-LN(2)/2))/(LN(2)/2)*HC34*HF34*VLOOKUP('Données projet'!$B$18,Paramètres!$A$1:$I$89,3,0)*0.475*44/12</f>
        <v>0</v>
      </c>
      <c r="HJ34" s="22">
        <f t="shared" si="30"/>
        <v>3.2380606933055147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2.3499999999999996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8.6166666666666654</v>
      </c>
      <c r="H35" s="67">
        <f t="shared" si="1"/>
        <v>222.20000000000002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63.288293499776429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10.8</v>
      </c>
      <c r="N35" s="13">
        <f>IF('Données projet'!$A$36&gt;35,N34+M35-V34,IF(A35&lt;'Données projet'!$A$36,$K$205^A35,IF(A35='Données projet'!$A$36,'Données projet'!$B$36,N34+M35-V34)))</f>
        <v>114.59999999999998</v>
      </c>
      <c r="O35" s="13">
        <f>N35*VLOOKUP('Données projet'!$B$9,Paramètres!$A$1:$I$89,3,0)*VLOOKUP('Données projet'!$B$9,Paramètres!$A$1:$I$89,5,0)</f>
        <v>103.69007999999998</v>
      </c>
      <c r="P35" s="13">
        <f t="shared" si="33"/>
        <v>27.83924565319537</v>
      </c>
      <c r="Q35" s="20">
        <f t="shared" ref="Q35:Q66" si="53">(O35+P35)*0.475*44/12</f>
        <v>229.08024217931521</v>
      </c>
      <c r="R35" s="59">
        <f t="shared" si="0"/>
        <v>497.80398501182879</v>
      </c>
      <c r="S35" s="59">
        <f ca="1">AVERAGE(OFFSET($R$3,0,0,'Données projet'!$E$9+1,1))-AVERAGE(OFFSET($H$3,0,0,'Données projet'!$E$9+1,1))</f>
        <v>473.88815717313474</v>
      </c>
      <c r="T35" s="59">
        <f t="shared" si="34"/>
        <v>287.19790203552895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63.288293499776429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10.8</v>
      </c>
      <c r="AI35" s="13">
        <f>IF('Données projet'!$A$62&gt;35,AI34+AH35-AQ34,IF(A35&lt;'Données projet'!$A$62,$AF$205^A35,IF(A35='Données projet'!$A$62,'Données projet'!$B$62,AI34+AH35-AQ34)))</f>
        <v>114.59999999999998</v>
      </c>
      <c r="AJ35" s="13">
        <f>AI35*VLOOKUP('Données projet'!$B$10,Paramètres!$A$1:$I$89,3,0)*VLOOKUP('Données projet'!$B$10,Paramètres!$A$1:$I$89,5,0)</f>
        <v>96.539039999999986</v>
      </c>
      <c r="AK35" s="13">
        <f t="shared" si="35"/>
        <v>26.13578893789407</v>
      </c>
      <c r="AL35" s="20">
        <f t="shared" si="4"/>
        <v>213.65866040016547</v>
      </c>
      <c r="AM35" s="59">
        <f t="shared" si="5"/>
        <v>482.38240323267905</v>
      </c>
      <c r="AN35" s="59">
        <f ca="1">AVERAGE(OFFSET($AM$3,0,0,'Données projet'!$E$10+1,1))-AVERAGE(OFFSET($H$3,0,0,'Données projet'!$E$10+1,1))</f>
        <v>445.19118535527258</v>
      </c>
      <c r="AO35" s="59">
        <f t="shared" si="36"/>
        <v>270.93483242839363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63.288293499776429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10.8</v>
      </c>
      <c r="BD35" s="12">
        <f>IF('Données projet'!$A$88&gt;35,BD34+BC35-BL34,IF(A35&lt;'Données projet'!$A$88,$BA$205^A35,IF(A35='Données projet'!$A$88,'Données projet'!$B$88,BD34+BC35-BL34)))</f>
        <v>114.59999999999998</v>
      </c>
      <c r="BE35" s="13">
        <f>BD35*VLOOKUP('Données projet'!$B$11,Paramètres!$A$1:$I$89,3,0)*VLOOKUP('Données projet'!$B$11,Paramètres!$A$1:$I$89,5,0)</f>
        <v>116.20439999999999</v>
      </c>
      <c r="BF35" s="13">
        <f t="shared" si="37"/>
        <v>30.788088768016376</v>
      </c>
      <c r="BG35" s="20">
        <f t="shared" si="7"/>
        <v>256.01191793762843</v>
      </c>
      <c r="BH35" s="59">
        <f t="shared" si="8"/>
        <v>524.73566077014198</v>
      </c>
      <c r="BI35" s="59">
        <f ca="1">AVERAGE(OFFSET($BH$3,0,0,'Données projet'!$E$11+1,1))-AVERAGE(OFFSET($H$3,0,0,'Données projet'!$E$11+1,1))</f>
        <v>524.01140973345832</v>
      </c>
      <c r="BJ35" s="59">
        <f t="shared" si="38"/>
        <v>315.59942237999621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63.288293499776429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15.2</v>
      </c>
      <c r="BY35" s="12">
        <f>IF('Données projet'!$A$114&gt;35,BY34+BX35-CG34,IF(A35&lt;'Données projet'!$A$114,$BV$205^A35,IF(A35='Données projet'!$A$114,'Données projet'!$B$114,BY34+BX35-CG34)))</f>
        <v>193.40000000000003</v>
      </c>
      <c r="BZ35" s="13">
        <f>BY35*VLOOKUP('Données projet'!$B$12,Paramètres!$A$1:$I$89,3,0)*VLOOKUP('Données projet'!$B$12,Paramètres!$A$1:$I$89,5,0)</f>
        <v>129.73272000000003</v>
      </c>
      <c r="CA35" s="13">
        <f t="shared" si="39"/>
        <v>33.934591376003993</v>
      </c>
      <c r="CB35" s="20">
        <f t="shared" si="10"/>
        <v>285.05390064654028</v>
      </c>
      <c r="CC35" s="59">
        <f t="shared" si="11"/>
        <v>553.77764347905384</v>
      </c>
      <c r="CD35" s="59">
        <f ca="1">AVERAGE(OFFSET($CC$3,0,0,'Données projet'!$E$12+1,1))-AVERAGE(OFFSET($H$3,0,0,'Données projet'!$E$12+1,1))</f>
        <v>358.95222991910504</v>
      </c>
      <c r="CE35" s="59">
        <f t="shared" si="40"/>
        <v>347.37506646970905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3.1731719453694618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3.1731719453694618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63.288293499776429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15.2</v>
      </c>
      <c r="CT35" s="12">
        <f>IF('Données projet'!$A$140&gt;35,CT34+CS35-DB34,IF(A35&lt;'Données projet'!$A$140,$CQ$205^A35,IF(A35='Données projet'!$A$140,'Données projet'!$B$140,CT34+CS35-DB34)))</f>
        <v>193.40000000000003</v>
      </c>
      <c r="CU35" s="17">
        <f>CT35*VLOOKUP('Données projet'!$B$13,Paramètres!$A$1:$I$89,3,0)*VLOOKUP('Données projet'!$B$13,Paramètres!$A$1:$I$89,5,0)</f>
        <v>126.71568000000002</v>
      </c>
      <c r="CV35" s="13">
        <f t="shared" si="41"/>
        <v>33.236322902461559</v>
      </c>
      <c r="CW35" s="20">
        <f t="shared" si="13"/>
        <v>278.58307172178723</v>
      </c>
      <c r="CX35" s="59">
        <f t="shared" si="14"/>
        <v>547.30681455430079</v>
      </c>
      <c r="CY35" s="59">
        <f ca="1">AVERAGE(OFFSET($CX$3,0,0,'Données projet'!$E$13+1,1))-AVERAGE(OFFSET($H$3,0,0,'Données projet'!$E$13+1,1))</f>
        <v>351.7266381615546</v>
      </c>
      <c r="CZ35" s="59">
        <f t="shared" si="42"/>
        <v>340.52483243761799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11.119306746680433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11.119306746680433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63.288293499776429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12.8</v>
      </c>
      <c r="DO35" s="12">
        <f>IF('Données projet'!$A$166&gt;35,DO34+DN35-DW34,IF(A35&lt;'Données projet'!$A$166,$DL$205^A35,IF(A35='Données projet'!$A$166,'Données projet'!$B$166,DO34+DN35-DW34)))</f>
        <v>136.60000000000002</v>
      </c>
      <c r="DP35" s="17">
        <f>DO35*VLOOKUP('Données projet'!$B$14,Paramètres!$A$1:$I$89,3,0)*VLOOKUP('Données projet'!$B$14,Paramètres!$A$1:$I$89,5,0)</f>
        <v>117.20280000000004</v>
      </c>
      <c r="DQ35" s="13">
        <f t="shared" si="43"/>
        <v>31.021705481209352</v>
      </c>
      <c r="DR35" s="20">
        <f t="shared" si="16"/>
        <v>258.15768037977301</v>
      </c>
      <c r="DS35" s="59">
        <f t="shared" si="17"/>
        <v>526.88142321228656</v>
      </c>
      <c r="DT35" s="59">
        <f ca="1">AVERAGE(OFFSET($DS$3,0,0,'Données projet'!$E$14+1,1))-AVERAGE(OFFSET($H$3,0,0,'Données projet'!$E$14+1,1))</f>
        <v>569.21675741362196</v>
      </c>
      <c r="DU35" s="59">
        <f t="shared" si="44"/>
        <v>321.12410801891679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63.288293499776429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15.2</v>
      </c>
      <c r="EJ35" s="12">
        <f>IF('Données projet'!$A$192&gt;35,EJ34+EI35-ER34,IF(A35&lt;'Données projet'!$A$192,$EG$205^A35,IF(A35='Données projet'!$A$192,'Données projet'!$B$192,EJ34+EI35-ER34)))</f>
        <v>193.40000000000003</v>
      </c>
      <c r="EK35" s="17">
        <f>EJ35*VLOOKUP('Données projet'!$B$15,Paramètres!$A$1:$I$89,3,0)*VLOOKUP('Données projet'!$B$15,Paramètres!$A$1:$I$89,5,0)</f>
        <v>153.86904000000004</v>
      </c>
      <c r="EL35" s="13">
        <f t="shared" si="45"/>
        <v>39.456531419736123</v>
      </c>
      <c r="EM35" s="20">
        <f t="shared" si="19"/>
        <v>336.70870355604046</v>
      </c>
      <c r="EN35" s="59">
        <f t="shared" si="20"/>
        <v>605.43244638855401</v>
      </c>
      <c r="EO35" s="59">
        <f ca="1">AVERAGE(OFFSET($EN$3,0,0,'Données projet'!$E$15+1,1))-AVERAGE(OFFSET($H$3,0,0,'Données projet'!$E$15+1,1))</f>
        <v>416.63597645452791</v>
      </c>
      <c r="EP35" s="59">
        <f t="shared" si="46"/>
        <v>402.05920382353497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16.64201890159314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16.64201890159314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63.288293499776429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12.8</v>
      </c>
      <c r="FE35" s="12">
        <f>IF('Données projet'!$A$218&gt;35,FE34+FD35-FM34,IF(A35&lt;'Données projet'!$A$218,$FB$205^A35,IF(A35='Données projet'!$A$218,'Données projet'!$B$218,FE34+FD35-FM34)))</f>
        <v>167.59999999999994</v>
      </c>
      <c r="FF35" s="17">
        <f>FE35*VLOOKUP('Données projet'!$B$16,Paramètres!$A$1:$I$89,3,0)*VLOOKUP('Données projet'!$B$16,Paramètres!$A$1:$I$89,5,0)</f>
        <v>146.41535999999996</v>
      </c>
      <c r="FG35" s="13">
        <f t="shared" si="47"/>
        <v>37.762820103024467</v>
      </c>
      <c r="FH35" s="20">
        <f t="shared" si="22"/>
        <v>320.77699701276748</v>
      </c>
      <c r="FI35" s="59">
        <f t="shared" si="23"/>
        <v>589.50073984528103</v>
      </c>
      <c r="FJ35" s="59">
        <f ca="1">AVERAGE(OFFSET($FI$3,0,0,'Données projet'!$E$16+1,1))-AVERAGE(OFFSET($H$3,0,0,'Données projet'!$E$16+1,1))</f>
        <v>395.57130469647603</v>
      </c>
      <c r="FK35" s="59">
        <f t="shared" si="48"/>
        <v>383.97542781562674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15.008674156934871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15.008674156934871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63.288293499776429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11.5</v>
      </c>
      <c r="FZ35" s="12">
        <f>IF('Données projet'!$A$244&gt;35,FZ34+FY35-GH34,IF(A35&lt;'Données projet'!$A$244,$FW$205^A35,IF(A35='Données projet'!$A$244,'Données projet'!$B$244,FZ34+FY35-GH34)))</f>
        <v>130.49999999999994</v>
      </c>
      <c r="GA35" s="17">
        <f>FZ35*VLOOKUP('Données projet'!$B$17,Paramètres!$A$1:$I$89,3,0)*VLOOKUP('Données projet'!$B$17,Paramètres!$A$1:$I$89,5,0)</f>
        <v>101.78999999999996</v>
      </c>
      <c r="GB35" s="13">
        <f t="shared" si="49"/>
        <v>27.38799903683508</v>
      </c>
      <c r="GC35" s="20">
        <f t="shared" si="25"/>
        <v>224.98501498915437</v>
      </c>
      <c r="GD35" s="59">
        <f t="shared" si="26"/>
        <v>493.70875782166792</v>
      </c>
      <c r="GE35" s="59">
        <f ca="1">AVERAGE(OFFSET($GD$3,0,0,'Données projet'!$E$17+1,1))-AVERAGE(OFFSET($H$3,0,0,'Données projet'!$E$17+1,1))</f>
        <v>301.74744407733351</v>
      </c>
      <c r="GF35" s="59">
        <f t="shared" si="50"/>
        <v>292.46787700966991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7.1305856210731919</v>
      </c>
      <c r="GM35" s="21">
        <f>EXP(-LN(2)/25)*GM34+(1-EXP(-LN(2)/25))/(LN(2)/25)*Calculateur!GH35*Calculateur!GJ35*VLOOKUP('Données projet'!$B$17,Paramètres!$A$1:$I$89,3,0)*0.475*44/12</f>
        <v>0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7.1305856210731919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63.288293499776429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15.2</v>
      </c>
      <c r="GU35" s="12">
        <f>IF('Données projet'!$A$270&gt;35,GU34+GT35-HC34,IF(A35&lt;'Données projet'!$A$270,$GR$205^A35,IF(A35='Données projet'!$A$270,'Données projet'!$B$270,GU34+GT35-HC34)))</f>
        <v>193.40000000000003</v>
      </c>
      <c r="GV35" s="17">
        <f>GU35*VLOOKUP('Données projet'!$B$18,Paramètres!$A$1:$I$89,3,0)*VLOOKUP('Données projet'!$B$18,Paramètres!$A$1:$I$89,5,0)</f>
        <v>114.64752000000003</v>
      </c>
      <c r="GW35" s="13">
        <f t="shared" si="51"/>
        <v>30.423325403701064</v>
      </c>
      <c r="GX35" s="20">
        <f t="shared" si="28"/>
        <v>252.66505574477944</v>
      </c>
      <c r="GY35" s="59">
        <f t="shared" si="29"/>
        <v>521.38879857729296</v>
      </c>
      <c r="GZ35" s="59">
        <f ca="1">AVERAGE(OFFSET($GY$3,0,0,'Données projet'!$E$18+1,1))-AVERAGE(OFFSET($H$3,0,0,'Données projet'!$E$18+1,1))</f>
        <v>322.78672881269978</v>
      </c>
      <c r="HA35" s="59">
        <f t="shared" si="52"/>
        <v>313.08736327626434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3.1745642981317994</v>
      </c>
      <c r="HH35" s="21">
        <f>EXP(-LN(2)/25)*HH34+(1-EXP(-LN(2)/25))/(LN(2)/25)*Calculateur!HC35*Calculateur!HE35*VLOOKUP('Données projet'!$B$18,Paramètres!$A$1:$I$89,3,0)*0.475*44/12</f>
        <v>0</v>
      </c>
      <c r="HI35" s="21">
        <f>EXP(-LN(2)/2)*HI34+(1-EXP(-LN(2)/2))/(LN(2)/2)*HC35*HF35*VLOOKUP('Données projet'!$B$18,Paramètres!$A$1:$I$89,3,0)*0.475*44/12</f>
        <v>0</v>
      </c>
      <c r="HJ35" s="22">
        <f t="shared" si="30"/>
        <v>3.1745642981317994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2.3499999999999996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8.6166666666666654</v>
      </c>
      <c r="H36" s="67">
        <f t="shared" si="1"/>
        <v>222.20000000000002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63.404726602427502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10.8</v>
      </c>
      <c r="N36" s="13">
        <f>IF('Données projet'!$A$36&gt;35,N35+M36-V35,IF(A36&lt;'Données projet'!$A$36,$K$205^A36,IF(A36='Données projet'!$A$36,'Données projet'!$B$36,N35+M36-V35)))</f>
        <v>125.39999999999998</v>
      </c>
      <c r="O36" s="13">
        <f>N36*VLOOKUP('Données projet'!$B$9,Paramètres!$A$1:$I$89,3,0)*VLOOKUP('Données projet'!$B$9,Paramètres!$A$1:$I$89,5,0)</f>
        <v>113.46191999999998</v>
      </c>
      <c r="P36" s="13">
        <f t="shared" si="33"/>
        <v>30.145163126535493</v>
      </c>
      <c r="Q36" s="20">
        <f t="shared" si="53"/>
        <v>250.11566977871595</v>
      </c>
      <c r="R36" s="59">
        <f t="shared" si="0"/>
        <v>519.2663339876168</v>
      </c>
      <c r="S36" s="59">
        <f ca="1">AVERAGE(OFFSET($R$3,0,0,'Données projet'!$E$9+1,1))-AVERAGE(OFFSET($H$3,0,0,'Données projet'!$E$9+1,1))</f>
        <v>473.88815717313474</v>
      </c>
      <c r="T36" s="59">
        <f t="shared" si="34"/>
        <v>287.19790203552895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63.404726602427502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10.8</v>
      </c>
      <c r="AI36" s="13">
        <f>IF('Données projet'!$A$62&gt;35,AI35+AH36-AQ35,IF(A36&lt;'Données projet'!$A$62,$AF$205^A36,IF(A36='Données projet'!$A$62,'Données projet'!$B$62,AI35+AH36-AQ35)))</f>
        <v>125.39999999999998</v>
      </c>
      <c r="AJ36" s="13">
        <f>AI36*VLOOKUP('Données projet'!$B$10,Paramètres!$A$1:$I$89,3,0)*VLOOKUP('Données projet'!$B$10,Paramètres!$A$1:$I$89,5,0)</f>
        <v>105.63695999999999</v>
      </c>
      <c r="AK36" s="13">
        <f t="shared" si="35"/>
        <v>28.300609534766192</v>
      </c>
      <c r="AL36" s="20">
        <f t="shared" si="4"/>
        <v>233.27460027305105</v>
      </c>
      <c r="AM36" s="59">
        <f t="shared" si="5"/>
        <v>502.4252644819519</v>
      </c>
      <c r="AN36" s="59">
        <f ca="1">AVERAGE(OFFSET($AM$3,0,0,'Données projet'!$E$10+1,1))-AVERAGE(OFFSET($H$3,0,0,'Données projet'!$E$10+1,1))</f>
        <v>445.19118535527258</v>
      </c>
      <c r="AO36" s="59">
        <f t="shared" si="36"/>
        <v>270.93483242839363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63.404726602427502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10.8</v>
      </c>
      <c r="BD36" s="12">
        <f>IF('Données projet'!$A$88&gt;35,BD35+BC36-BL35,IF(A36&lt;'Données projet'!$A$88,$BA$205^A36,IF(A36='Données projet'!$A$88,'Données projet'!$B$88,BD35+BC36-BL35)))</f>
        <v>125.39999999999998</v>
      </c>
      <c r="BE36" s="13">
        <f>BD36*VLOOKUP('Données projet'!$B$11,Paramètres!$A$1:$I$89,3,0)*VLOOKUP('Données projet'!$B$11,Paramètres!$A$1:$I$89,5,0)</f>
        <v>127.15559999999999</v>
      </c>
      <c r="BF36" s="13">
        <f t="shared" si="37"/>
        <v>33.338258149231912</v>
      </c>
      <c r="BG36" s="20">
        <f t="shared" si="7"/>
        <v>279.52680294324551</v>
      </c>
      <c r="BH36" s="59">
        <f t="shared" si="8"/>
        <v>548.67746715214639</v>
      </c>
      <c r="BI36" s="59">
        <f ca="1">AVERAGE(OFFSET($BH$3,0,0,'Données projet'!$E$11+1,1))-AVERAGE(OFFSET($H$3,0,0,'Données projet'!$E$11+1,1))</f>
        <v>524.01140973345832</v>
      </c>
      <c r="BJ36" s="59">
        <f t="shared" si="38"/>
        <v>315.59942237999621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63.404726602427502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15.2</v>
      </c>
      <c r="BY36" s="12">
        <f>IF('Données projet'!$A$114&gt;35,BY35+BX36-CG35,IF(A36&lt;'Données projet'!$A$114,$BV$205^A36,IF(A36='Données projet'!$A$114,'Données projet'!$B$114,BY35+BX36-CG35)))</f>
        <v>208.60000000000002</v>
      </c>
      <c r="BZ36" s="13">
        <f>BY36*VLOOKUP('Données projet'!$B$12,Paramètres!$A$1:$I$89,3,0)*VLOOKUP('Données projet'!$B$12,Paramètres!$A$1:$I$89,5,0)</f>
        <v>139.92888000000002</v>
      </c>
      <c r="CA36" s="13">
        <f t="shared" si="39"/>
        <v>36.280712419916505</v>
      </c>
      <c r="CB36" s="20">
        <f t="shared" si="10"/>
        <v>306.89837346468795</v>
      </c>
      <c r="CC36" s="59">
        <f t="shared" si="11"/>
        <v>576.04903767358883</v>
      </c>
      <c r="CD36" s="59">
        <f ca="1">AVERAGE(OFFSET($CC$3,0,0,'Données projet'!$E$12+1,1))-AVERAGE(OFFSET($H$3,0,0,'Données projet'!$E$12+1,1))</f>
        <v>358.95222991910504</v>
      </c>
      <c r="CE36" s="59">
        <f t="shared" si="40"/>
        <v>347.37506646970905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3.110947978964544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3.110947978964544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63.404726602427502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15.2</v>
      </c>
      <c r="CT36" s="12">
        <f>IF('Données projet'!$A$140&gt;35,CT35+CS36-DB35,IF(A36&lt;'Données projet'!$A$140,$CQ$205^A36,IF(A36='Données projet'!$A$140,'Données projet'!$B$140,CT35+CS36-DB35)))</f>
        <v>208.60000000000002</v>
      </c>
      <c r="CU36" s="17">
        <f>CT36*VLOOKUP('Données projet'!$B$13,Paramètres!$A$1:$I$89,3,0)*VLOOKUP('Données projet'!$B$13,Paramètres!$A$1:$I$89,5,0)</f>
        <v>136.67472000000001</v>
      </c>
      <c r="CV36" s="13">
        <f t="shared" si="41"/>
        <v>35.534168063457791</v>
      </c>
      <c r="CW36" s="20">
        <f t="shared" si="13"/>
        <v>299.93048004385565</v>
      </c>
      <c r="CX36" s="59">
        <f t="shared" si="14"/>
        <v>569.08114425275653</v>
      </c>
      <c r="CY36" s="59">
        <f ca="1">AVERAGE(OFFSET($CX$3,0,0,'Données projet'!$E$13+1,1))-AVERAGE(OFFSET($H$3,0,0,'Données projet'!$E$13+1,1))</f>
        <v>351.7266381615546</v>
      </c>
      <c r="CZ36" s="59">
        <f t="shared" si="42"/>
        <v>340.52483243761799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10.901263923485468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10.901263923485468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63.404726602427502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12.8</v>
      </c>
      <c r="DO36" s="12">
        <f>IF('Données projet'!$A$166&gt;35,DO35+DN36-DW35,IF(A36&lt;'Données projet'!$A$166,$DL$205^A36,IF(A36='Données projet'!$A$166,'Données projet'!$B$166,DO35+DN36-DW35)))</f>
        <v>149.40000000000003</v>
      </c>
      <c r="DP36" s="17">
        <f>DO36*VLOOKUP('Données projet'!$B$14,Paramètres!$A$1:$I$89,3,0)*VLOOKUP('Données projet'!$B$14,Paramètres!$A$1:$I$89,5,0)</f>
        <v>128.18520000000004</v>
      </c>
      <c r="DQ36" s="13">
        <f t="shared" si="43"/>
        <v>33.57666984533806</v>
      </c>
      <c r="DR36" s="20">
        <f t="shared" si="16"/>
        <v>281.73525664729715</v>
      </c>
      <c r="DS36" s="59">
        <f t="shared" si="17"/>
        <v>550.88592085619803</v>
      </c>
      <c r="DT36" s="59">
        <f ca="1">AVERAGE(OFFSET($DS$3,0,0,'Données projet'!$E$14+1,1))-AVERAGE(OFFSET($H$3,0,0,'Données projet'!$E$14+1,1))</f>
        <v>569.21675741362196</v>
      </c>
      <c r="DU36" s="59">
        <f t="shared" si="44"/>
        <v>321.12410801891679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63.404726602427502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15.2</v>
      </c>
      <c r="EJ36" s="12">
        <f>IF('Données projet'!$A$192&gt;35,EJ35+EI36-ER35,IF(A36&lt;'Données projet'!$A$192,$EG$205^A36,IF(A36='Données projet'!$A$192,'Données projet'!$B$192,EJ35+EI36-ER35)))</f>
        <v>208.60000000000002</v>
      </c>
      <c r="EK36" s="17">
        <f>EJ36*VLOOKUP('Données projet'!$B$15,Paramètres!$A$1:$I$89,3,0)*VLOOKUP('Données projet'!$B$15,Paramètres!$A$1:$I$89,5,0)</f>
        <v>165.96216000000001</v>
      </c>
      <c r="EL36" s="13">
        <f t="shared" si="45"/>
        <v>42.184420424142857</v>
      </c>
      <c r="EM36" s="20">
        <f t="shared" si="19"/>
        <v>362.52196090538217</v>
      </c>
      <c r="EN36" s="59">
        <f t="shared" si="20"/>
        <v>631.67262511428305</v>
      </c>
      <c r="EO36" s="59">
        <f ca="1">AVERAGE(OFFSET($EN$3,0,0,'Données projet'!$E$15+1,1))-AVERAGE(OFFSET($H$3,0,0,'Données projet'!$E$15+1,1))</f>
        <v>416.63597645452791</v>
      </c>
      <c r="EP36" s="59">
        <f t="shared" si="46"/>
        <v>402.05920382353497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16.315679061562136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16.315679061562136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63.404726602427502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12.8</v>
      </c>
      <c r="FE36" s="12">
        <f>IF('Données projet'!$A$218&gt;35,FE35+FD36-FM35,IF(A36&lt;'Données projet'!$A$218,$FB$205^A36,IF(A36='Données projet'!$A$218,'Données projet'!$B$218,FE35+FD36-FM35)))</f>
        <v>180.39999999999995</v>
      </c>
      <c r="FF36" s="17">
        <f>FE36*VLOOKUP('Données projet'!$B$16,Paramètres!$A$1:$I$89,3,0)*VLOOKUP('Données projet'!$B$16,Paramètres!$A$1:$I$89,5,0)</f>
        <v>157.59743999999998</v>
      </c>
      <c r="FG36" s="13">
        <f t="shared" si="47"/>
        <v>40.300135037830529</v>
      </c>
      <c r="FH36" s="20">
        <f t="shared" si="22"/>
        <v>344.67160985755481</v>
      </c>
      <c r="FI36" s="59">
        <f t="shared" si="23"/>
        <v>613.82227406645575</v>
      </c>
      <c r="FJ36" s="59">
        <f ca="1">AVERAGE(OFFSET($FI$3,0,0,'Données projet'!$E$16+1,1))-AVERAGE(OFFSET($H$3,0,0,'Données projet'!$E$16+1,1))</f>
        <v>395.57130469647603</v>
      </c>
      <c r="FK36" s="59">
        <f t="shared" si="48"/>
        <v>383.97542781562674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14.714363211104693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14.714363211104693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63.404726602427502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11.5</v>
      </c>
      <c r="FZ36" s="12">
        <f>IF('Données projet'!$A$244&gt;35,FZ35+FY36-GH35,IF(A36&lt;'Données projet'!$A$244,$FW$205^A36,IF(A36='Données projet'!$A$244,'Données projet'!$B$244,FZ35+FY36-GH35)))</f>
        <v>141.99999999999994</v>
      </c>
      <c r="GA36" s="17">
        <f>FZ36*VLOOKUP('Données projet'!$B$17,Paramètres!$A$1:$I$89,3,0)*VLOOKUP('Données projet'!$B$17,Paramètres!$A$1:$I$89,5,0)</f>
        <v>110.75999999999996</v>
      </c>
      <c r="GB36" s="13">
        <f t="shared" si="49"/>
        <v>29.509974682362923</v>
      </c>
      <c r="GC36" s="20">
        <f t="shared" si="25"/>
        <v>244.30353923844871</v>
      </c>
      <c r="GD36" s="59">
        <f t="shared" si="26"/>
        <v>513.45420344734953</v>
      </c>
      <c r="GE36" s="59">
        <f ca="1">AVERAGE(OFFSET($GD$3,0,0,'Données projet'!$E$17+1,1))-AVERAGE(OFFSET($H$3,0,0,'Données projet'!$E$17+1,1))</f>
        <v>301.74744407733351</v>
      </c>
      <c r="GF36" s="59">
        <f t="shared" si="50"/>
        <v>292.46787700966991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6.9907591862717249</v>
      </c>
      <c r="GM36" s="21">
        <f>EXP(-LN(2)/25)*GM35+(1-EXP(-LN(2)/25))/(LN(2)/25)*Calculateur!GH36*Calculateur!GJ36*VLOOKUP('Données projet'!$B$17,Paramètres!$A$1:$I$89,3,0)*0.475*44/12</f>
        <v>0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6.9907591862717249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63.404726602427502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15.2</v>
      </c>
      <c r="GU36" s="12">
        <f>IF('Données projet'!$A$270&gt;35,GU35+GT36-HC35,IF(A36&lt;'Données projet'!$A$270,$GR$205^A36,IF(A36='Données projet'!$A$270,'Données projet'!$B$270,GU35+GT36-HC35)))</f>
        <v>208.60000000000002</v>
      </c>
      <c r="GV36" s="17">
        <f>GU36*VLOOKUP('Données projet'!$B$18,Paramètres!$A$1:$I$89,3,0)*VLOOKUP('Données projet'!$B$18,Paramètres!$A$1:$I$89,5,0)</f>
        <v>123.65808000000003</v>
      </c>
      <c r="GW36" s="13">
        <f t="shared" si="51"/>
        <v>32.526689583471104</v>
      </c>
      <c r="GX36" s="20">
        <f t="shared" si="28"/>
        <v>272.02180702454558</v>
      </c>
      <c r="GY36" s="59">
        <f t="shared" si="29"/>
        <v>541.17247123344646</v>
      </c>
      <c r="GZ36" s="59">
        <f ca="1">AVERAGE(OFFSET($GY$3,0,0,'Données projet'!$E$18+1,1))-AVERAGE(OFFSET($H$3,0,0,'Données projet'!$E$18+1,1))</f>
        <v>322.78672881269978</v>
      </c>
      <c r="HA36" s="59">
        <f t="shared" si="52"/>
        <v>313.08736327626434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3.1123130285384635</v>
      </c>
      <c r="HH36" s="21">
        <f>EXP(-LN(2)/25)*HH35+(1-EXP(-LN(2)/25))/(LN(2)/25)*Calculateur!HC36*Calculateur!HE36*VLOOKUP('Données projet'!$B$18,Paramètres!$A$1:$I$89,3,0)*0.475*44/12</f>
        <v>0</v>
      </c>
      <c r="HI36" s="21">
        <f>EXP(-LN(2)/2)*HI35+(1-EXP(-LN(2)/2))/(LN(2)/2)*HC36*HF36*VLOOKUP('Données projet'!$B$18,Paramètres!$A$1:$I$89,3,0)*0.475*44/12</f>
        <v>0</v>
      </c>
      <c r="HJ36" s="22">
        <f t="shared" si="30"/>
        <v>3.1123130285384635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2.3499999999999996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8.6166666666666654</v>
      </c>
      <c r="H37" s="67">
        <f t="shared" si="1"/>
        <v>222.20000000000002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63.519139851052998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10.8</v>
      </c>
      <c r="N37" s="13">
        <f>IF('Données projet'!$A$36&gt;35,N36+M37-V36,IF(A37&lt;'Données projet'!$A$36,$K$205^A37,IF(A37='Données projet'!$A$36,'Données projet'!$B$36,N36+M37-V36)))</f>
        <v>136.19999999999999</v>
      </c>
      <c r="O37" s="13">
        <f>N37*VLOOKUP('Données projet'!$B$9,Paramètres!$A$1:$I$89,3,0)*VLOOKUP('Données projet'!$B$9,Paramètres!$A$1:$I$89,5,0)</f>
        <v>123.23375999999998</v>
      </c>
      <c r="P37" s="13">
        <f t="shared" si="33"/>
        <v>32.428049504876462</v>
      </c>
      <c r="Q37" s="20">
        <f t="shared" si="53"/>
        <v>271.11098488765975</v>
      </c>
      <c r="R37" s="59">
        <f t="shared" si="0"/>
        <v>540.6811643415208</v>
      </c>
      <c r="S37" s="59">
        <f ca="1">AVERAGE(OFFSET($R$3,0,0,'Données projet'!$E$9+1,1))-AVERAGE(OFFSET($H$3,0,0,'Données projet'!$E$9+1,1))</f>
        <v>473.88815717313474</v>
      </c>
      <c r="T37" s="59">
        <f t="shared" si="34"/>
        <v>287.19790203552895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63.519139851052998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10.8</v>
      </c>
      <c r="AI37" s="13">
        <f>IF('Données projet'!$A$62&gt;35,AI36+AH37-AQ36,IF(A37&lt;'Données projet'!$A$62,$AF$205^A37,IF(A37='Données projet'!$A$62,'Données projet'!$B$62,AI36+AH37-AQ36)))</f>
        <v>136.19999999999999</v>
      </c>
      <c r="AJ37" s="13">
        <f>AI37*VLOOKUP('Données projet'!$B$10,Paramètres!$A$1:$I$89,3,0)*VLOOKUP('Données projet'!$B$10,Paramètres!$A$1:$I$89,5,0)</f>
        <v>114.73488</v>
      </c>
      <c r="AK37" s="13">
        <f t="shared" si="35"/>
        <v>30.443808287231843</v>
      </c>
      <c r="AL37" s="20">
        <f t="shared" si="4"/>
        <v>252.85288210026212</v>
      </c>
      <c r="AM37" s="59">
        <f t="shared" si="5"/>
        <v>522.42306155412314</v>
      </c>
      <c r="AN37" s="59">
        <f ca="1">AVERAGE(OFFSET($AM$3,0,0,'Données projet'!$E$10+1,1))-AVERAGE(OFFSET($H$3,0,0,'Données projet'!$E$10+1,1))</f>
        <v>445.19118535527258</v>
      </c>
      <c r="AO37" s="59">
        <f t="shared" si="36"/>
        <v>270.93483242839363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63.519139851052998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10.8</v>
      </c>
      <c r="BD37" s="12">
        <f>IF('Données projet'!$A$88&gt;35,BD36+BC37-BL36,IF(A37&lt;'Données projet'!$A$88,$BA$205^A37,IF(A37='Données projet'!$A$88,'Données projet'!$B$88,BD36+BC37-BL36)))</f>
        <v>136.19999999999999</v>
      </c>
      <c r="BE37" s="13">
        <f>BD37*VLOOKUP('Données projet'!$B$11,Paramètres!$A$1:$I$89,3,0)*VLOOKUP('Données projet'!$B$11,Paramètres!$A$1:$I$89,5,0)</f>
        <v>138.10679999999999</v>
      </c>
      <c r="BF37" s="13">
        <f t="shared" si="37"/>
        <v>35.862956890686135</v>
      </c>
      <c r="BG37" s="20">
        <f t="shared" si="7"/>
        <v>302.9973265846117</v>
      </c>
      <c r="BH37" s="59">
        <f t="shared" si="8"/>
        <v>572.56750603847263</v>
      </c>
      <c r="BI37" s="59">
        <f ca="1">AVERAGE(OFFSET($BH$3,0,0,'Données projet'!$E$11+1,1))-AVERAGE(OFFSET($H$3,0,0,'Données projet'!$E$11+1,1))</f>
        <v>524.01140973345832</v>
      </c>
      <c r="BJ37" s="59">
        <f t="shared" si="38"/>
        <v>315.59942237999621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63.519139851052998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15.2</v>
      </c>
      <c r="BY37" s="12">
        <f>IF('Données projet'!$A$114&gt;35,BY36+BX37-CG36,IF(A37&lt;'Données projet'!$A$114,$BV$205^A37,IF(A37='Données projet'!$A$114,'Données projet'!$B$114,BY36+BX37-CG36)))</f>
        <v>223.8</v>
      </c>
      <c r="BZ37" s="13">
        <f>BY37*VLOOKUP('Données projet'!$B$12,Paramètres!$A$1:$I$89,3,0)*VLOOKUP('Données projet'!$B$12,Paramètres!$A$1:$I$89,5,0)</f>
        <v>150.12504000000001</v>
      </c>
      <c r="CA37" s="13">
        <f t="shared" si="39"/>
        <v>38.607000031363413</v>
      </c>
      <c r="CB37" s="20">
        <f t="shared" si="10"/>
        <v>328.70830305462459</v>
      </c>
      <c r="CC37" s="59">
        <f t="shared" si="11"/>
        <v>598.27848250848558</v>
      </c>
      <c r="CD37" s="59">
        <f ca="1">AVERAGE(OFFSET($CC$3,0,0,'Données projet'!$E$12+1,1))-AVERAGE(OFFSET($H$3,0,0,'Données projet'!$E$12+1,1))</f>
        <v>358.95222991910504</v>
      </c>
      <c r="CE37" s="59">
        <f t="shared" si="40"/>
        <v>347.37506646970905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3.0499441865879549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3.0499441865879549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63.519139851052998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15.2</v>
      </c>
      <c r="CT37" s="12">
        <f>IF('Données projet'!$A$140&gt;35,CT36+CS37-DB36,IF(A37&lt;'Données projet'!$A$140,$CQ$205^A37,IF(A37='Données projet'!$A$140,'Données projet'!$B$140,CT36+CS37-DB36)))</f>
        <v>223.8</v>
      </c>
      <c r="CU37" s="17">
        <f>CT37*VLOOKUP('Données projet'!$B$13,Paramètres!$A$1:$I$89,3,0)*VLOOKUP('Données projet'!$B$13,Paramètres!$A$1:$I$89,5,0)</f>
        <v>146.63376</v>
      </c>
      <c r="CV37" s="13">
        <f t="shared" si="41"/>
        <v>37.812587902416553</v>
      </c>
      <c r="CW37" s="20">
        <f t="shared" si="13"/>
        <v>321.24405593004218</v>
      </c>
      <c r="CX37" s="59">
        <f t="shared" si="14"/>
        <v>590.81423538390322</v>
      </c>
      <c r="CY37" s="59">
        <f ca="1">AVERAGE(OFFSET($CX$3,0,0,'Données projet'!$E$13+1,1))-AVERAGE(OFFSET($H$3,0,0,'Données projet'!$E$13+1,1))</f>
        <v>351.7266381615546</v>
      </c>
      <c r="CZ37" s="59">
        <f t="shared" si="42"/>
        <v>340.52483243761799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10.687496787060365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10.687496787060365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63.519139851052998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12.8</v>
      </c>
      <c r="DO37" s="12">
        <f>IF('Données projet'!$A$166&gt;35,DO36+DN37-DW36,IF(A37&lt;'Données projet'!$A$166,$DL$205^A37,IF(A37='Données projet'!$A$166,'Données projet'!$B$166,DO36+DN37-DW36)))</f>
        <v>162.20000000000005</v>
      </c>
      <c r="DP37" s="17">
        <f>DO37*VLOOKUP('Données projet'!$B$14,Paramètres!$A$1:$I$89,3,0)*VLOOKUP('Données projet'!$B$14,Paramètres!$A$1:$I$89,5,0)</f>
        <v>139.16760000000005</v>
      </c>
      <c r="DQ37" s="13">
        <f t="shared" si="43"/>
        <v>36.106248210614609</v>
      </c>
      <c r="DR37" s="20">
        <f t="shared" si="16"/>
        <v>305.2686189668205</v>
      </c>
      <c r="DS37" s="59">
        <f t="shared" si="17"/>
        <v>574.83879842068154</v>
      </c>
      <c r="DT37" s="59">
        <f ca="1">AVERAGE(OFFSET($DS$3,0,0,'Données projet'!$E$14+1,1))-AVERAGE(OFFSET($H$3,0,0,'Données projet'!$E$14+1,1))</f>
        <v>569.21675741362196</v>
      </c>
      <c r="DU37" s="59">
        <f t="shared" si="44"/>
        <v>321.12410801891679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63.519139851052998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15.2</v>
      </c>
      <c r="EJ37" s="12">
        <f>IF('Données projet'!$A$192&gt;35,EJ36+EI37-ER36,IF(A37&lt;'Données projet'!$A$192,$EG$205^A37,IF(A37='Données projet'!$A$192,'Données projet'!$B$192,EJ36+EI37-ER36)))</f>
        <v>223.8</v>
      </c>
      <c r="EK37" s="17">
        <f>EJ37*VLOOKUP('Données projet'!$B$15,Paramètres!$A$1:$I$89,3,0)*VLOOKUP('Données projet'!$B$15,Paramètres!$A$1:$I$89,5,0)</f>
        <v>178.05528000000001</v>
      </c>
      <c r="EL37" s="13">
        <f t="shared" si="45"/>
        <v>44.889248639558041</v>
      </c>
      <c r="EM37" s="20">
        <f t="shared" si="19"/>
        <v>388.29505404723028</v>
      </c>
      <c r="EN37" s="59">
        <f t="shared" si="20"/>
        <v>657.86523350109132</v>
      </c>
      <c r="EO37" s="59">
        <f ca="1">AVERAGE(OFFSET($EN$3,0,0,'Données projet'!$E$15+1,1))-AVERAGE(OFFSET($H$3,0,0,'Données projet'!$E$15+1,1))</f>
        <v>416.63597645452791</v>
      </c>
      <c r="EP37" s="59">
        <f t="shared" si="46"/>
        <v>402.05920382353497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15.995738546746493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15.995738546746493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63.519139851052998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12.8</v>
      </c>
      <c r="FE37" s="12">
        <f>IF('Données projet'!$A$218&gt;35,FE36+FD37-FM36,IF(A37&lt;'Données projet'!$A$218,$FB$205^A37,IF(A37='Données projet'!$A$218,'Données projet'!$B$218,FE36+FD37-FM36)))</f>
        <v>193.19999999999996</v>
      </c>
      <c r="FF37" s="17">
        <f>FE37*VLOOKUP('Données projet'!$B$16,Paramètres!$A$1:$I$89,3,0)*VLOOKUP('Données projet'!$B$16,Paramètres!$A$1:$I$89,5,0)</f>
        <v>168.77951999999999</v>
      </c>
      <c r="FG37" s="13">
        <f t="shared" si="47"/>
        <v>42.816562145177031</v>
      </c>
      <c r="FH37" s="20">
        <f t="shared" si="22"/>
        <v>368.52984306951663</v>
      </c>
      <c r="FI37" s="59">
        <f t="shared" si="23"/>
        <v>638.10002252337767</v>
      </c>
      <c r="FJ37" s="59">
        <f ca="1">AVERAGE(OFFSET($FI$3,0,0,'Données projet'!$E$16+1,1))-AVERAGE(OFFSET($H$3,0,0,'Données projet'!$E$16+1,1))</f>
        <v>395.57130469647603</v>
      </c>
      <c r="FK37" s="59">
        <f t="shared" si="48"/>
        <v>383.97542781562674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14.425823523410294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14.425823523410294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63.519139851052998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11.5</v>
      </c>
      <c r="FZ37" s="12">
        <f>IF('Données projet'!$A$244&gt;35,FZ36+FY37-GH36,IF(A37&lt;'Données projet'!$A$244,$FW$205^A37,IF(A37='Données projet'!$A$244,'Données projet'!$B$244,FZ36+FY37-GH36)))</f>
        <v>153.49999999999994</v>
      </c>
      <c r="GA37" s="17">
        <f>FZ37*VLOOKUP('Données projet'!$B$17,Paramètres!$A$1:$I$89,3,0)*VLOOKUP('Données projet'!$B$17,Paramètres!$A$1:$I$89,5,0)</f>
        <v>119.72999999999996</v>
      </c>
      <c r="GB37" s="13">
        <f t="shared" si="49"/>
        <v>31.612017974790529</v>
      </c>
      <c r="GC37" s="20">
        <f t="shared" si="25"/>
        <v>263.58734797276003</v>
      </c>
      <c r="GD37" s="59">
        <f t="shared" si="26"/>
        <v>533.15752742662107</v>
      </c>
      <c r="GE37" s="59">
        <f ca="1">AVERAGE(OFFSET($GD$3,0,0,'Données projet'!$E$17+1,1))-AVERAGE(OFFSET($H$3,0,0,'Données projet'!$E$17+1,1))</f>
        <v>301.74744407733351</v>
      </c>
      <c r="GF37" s="59">
        <f t="shared" si="50"/>
        <v>292.46787700966991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6.8536746625710103</v>
      </c>
      <c r="GM37" s="21">
        <f>EXP(-LN(2)/25)*GM36+(1-EXP(-LN(2)/25))/(LN(2)/25)*Calculateur!GH37*Calculateur!GJ37*VLOOKUP('Données projet'!$B$17,Paramètres!$A$1:$I$89,3,0)*0.475*44/12</f>
        <v>0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6.8536746625710103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63.519139851052998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15.2</v>
      </c>
      <c r="GU37" s="12">
        <f>IF('Données projet'!$A$270&gt;35,GU36+GT37-HC36,IF(A37&lt;'Données projet'!$A$270,$GR$205^A37,IF(A37='Données projet'!$A$270,'Données projet'!$B$270,GU36+GT37-HC36)))</f>
        <v>223.8</v>
      </c>
      <c r="GV37" s="17">
        <f>GU37*VLOOKUP('Données projet'!$B$18,Paramètres!$A$1:$I$89,3,0)*VLOOKUP('Données projet'!$B$18,Paramètres!$A$1:$I$89,5,0)</f>
        <v>132.66864000000001</v>
      </c>
      <c r="GW37" s="13">
        <f t="shared" si="51"/>
        <v>34.612272527478332</v>
      </c>
      <c r="GX37" s="20">
        <f t="shared" si="28"/>
        <v>291.3475893186914</v>
      </c>
      <c r="GY37" s="59">
        <f t="shared" si="29"/>
        <v>560.91776877255234</v>
      </c>
      <c r="GZ37" s="59">
        <f ca="1">AVERAGE(OFFSET($GY$3,0,0,'Données projet'!$E$18+1,1))-AVERAGE(OFFSET($H$3,0,0,'Données projet'!$E$18+1,1))</f>
        <v>322.78672881269978</v>
      </c>
      <c r="HA37" s="59">
        <f t="shared" si="52"/>
        <v>313.08736327626434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3.0512824683723276</v>
      </c>
      <c r="HH37" s="21">
        <f>EXP(-LN(2)/25)*HH36+(1-EXP(-LN(2)/25))/(LN(2)/25)*Calculateur!HC37*Calculateur!HE37*VLOOKUP('Données projet'!$B$18,Paramètres!$A$1:$I$89,3,0)*0.475*44/12</f>
        <v>0</v>
      </c>
      <c r="HI37" s="21">
        <f>EXP(-LN(2)/2)*HI36+(1-EXP(-LN(2)/2))/(LN(2)/2)*HC37*HF37*VLOOKUP('Données projet'!$B$18,Paramètres!$A$1:$I$89,3,0)*0.475*44/12</f>
        <v>0</v>
      </c>
      <c r="HJ37" s="22">
        <f t="shared" si="30"/>
        <v>3.0512824683723276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2.3499999999999996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8.6166666666666654</v>
      </c>
      <c r="H38" s="67">
        <f t="shared" si="1"/>
        <v>222.20000000000002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63.631568285604544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147</v>
      </c>
      <c r="L38" s="12">
        <f>VLOOKUP(A38,'Données projet'!$A$35:$I$55,9,0)</f>
        <v>10.8</v>
      </c>
      <c r="M38" s="12">
        <f t="array" ref="M38">INDEX(L:L,MIN(IF(ISNUMBER(L38:L234),ROW(L38:L234),"")))</f>
        <v>10.8</v>
      </c>
      <c r="N38" s="13">
        <f>IF('Données projet'!$A$36&gt;35,N37+M38-V37,IF(A38&lt;'Données projet'!$A$36,$K$205^A38,IF(A38='Données projet'!$A$36,'Données projet'!$B$36,N37+M38-V37)))</f>
        <v>147</v>
      </c>
      <c r="O38" s="13">
        <f>N38*VLOOKUP('Données projet'!$B$9,Paramètres!$A$1:$I$89,3,0)*VLOOKUP('Données projet'!$B$9,Paramètres!$A$1:$I$89,5,0)</f>
        <v>133.00559999999999</v>
      </c>
      <c r="P38" s="13">
        <f t="shared" si="33"/>
        <v>34.689938673073549</v>
      </c>
      <c r="Q38" s="20">
        <f t="shared" si="53"/>
        <v>292.06972985560304</v>
      </c>
      <c r="R38" s="59">
        <f t="shared" si="0"/>
        <v>562.05214690281969</v>
      </c>
      <c r="S38" s="59">
        <f ca="1">AVERAGE(OFFSET($R$3,0,0,'Données projet'!$E$9+1,1))-AVERAGE(OFFSET($H$3,0,0,'Données projet'!$E$9+1,1))</f>
        <v>473.88815717313474</v>
      </c>
      <c r="T38" s="59">
        <f t="shared" si="34"/>
        <v>287.19790203552895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28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63.631568285604544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147</v>
      </c>
      <c r="AG38" s="12">
        <f>VLOOKUP(A38,'Données projet'!$A$61:$I$81,9,0)</f>
        <v>10.8</v>
      </c>
      <c r="AH38" s="12">
        <f t="array" ref="AH38">INDEX(AG:AG,MIN(IF(ISNUMBER(AG38:AG234),ROW(AG38:AG234),"")))</f>
        <v>10.8</v>
      </c>
      <c r="AI38" s="13">
        <f>IF('Données projet'!$A$62&gt;35,AI37+AH38-AQ37,IF(A38&lt;'Données projet'!$A$62,$AF$205^A38,IF(A38='Données projet'!$A$62,'Données projet'!$B$62,AI37+AH38-AQ37)))</f>
        <v>147</v>
      </c>
      <c r="AJ38" s="13">
        <f>AI38*VLOOKUP('Données projet'!$B$10,Paramètres!$A$1:$I$89,3,0)*VLOOKUP('Données projet'!$B$10,Paramètres!$A$1:$I$89,5,0)</f>
        <v>123.83280000000002</v>
      </c>
      <c r="AK38" s="13">
        <f t="shared" si="35"/>
        <v>32.567294628684579</v>
      </c>
      <c r="AL38" s="20">
        <f t="shared" si="4"/>
        <v>272.39683147829231</v>
      </c>
      <c r="AM38" s="59">
        <f t="shared" si="5"/>
        <v>542.37924852550896</v>
      </c>
      <c r="AN38" s="59">
        <f ca="1">AVERAGE(OFFSET($AM$3,0,0,'Données projet'!$E$10+1,1))-AVERAGE(OFFSET($H$3,0,0,'Données projet'!$E$10+1,1))</f>
        <v>445.19118535527258</v>
      </c>
      <c r="AO38" s="59">
        <f t="shared" si="36"/>
        <v>270.93483242839363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28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63.631568285604544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147</v>
      </c>
      <c r="BB38" s="12">
        <f>VLOOKUP(A38,'Données projet'!$A$87:$I$107,9,0)</f>
        <v>10.8</v>
      </c>
      <c r="BC38" s="12">
        <f t="array" ref="BC38">INDEX(BB:BB,MIN(IF(ISNUMBER(BB38:BB234),ROW(BB38:BB234),"")))</f>
        <v>10.8</v>
      </c>
      <c r="BD38" s="12">
        <f>IF('Données projet'!$A$88&gt;35,BD37+BC38-BL37,IF(A38&lt;'Données projet'!$A$88,$BA$205^A38,IF(A38='Données projet'!$A$88,'Données projet'!$B$88,BD37+BC38-BL37)))</f>
        <v>147</v>
      </c>
      <c r="BE38" s="13">
        <f>BD38*VLOOKUP('Données projet'!$B$11,Paramètres!$A$1:$I$89,3,0)*VLOOKUP('Données projet'!$B$11,Paramètres!$A$1:$I$89,5,0)</f>
        <v>149.05799999999999</v>
      </c>
      <c r="BF38" s="13">
        <f t="shared" si="37"/>
        <v>38.364434314370335</v>
      </c>
      <c r="BG38" s="20">
        <f t="shared" si="7"/>
        <v>326.42740643086165</v>
      </c>
      <c r="BH38" s="59">
        <f t="shared" si="8"/>
        <v>596.40982347807835</v>
      </c>
      <c r="BI38" s="59">
        <f ca="1">AVERAGE(OFFSET($BH$3,0,0,'Données projet'!$E$11+1,1))-AVERAGE(OFFSET($H$3,0,0,'Données projet'!$E$11+1,1))</f>
        <v>524.01140973345832</v>
      </c>
      <c r="BJ38" s="59">
        <f t="shared" si="38"/>
        <v>315.59942237999621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28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63.631568285604544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239</v>
      </c>
      <c r="BW38" s="12">
        <f>VLOOKUP(A38,'Données projet'!$A$113:$I$133,9,0)</f>
        <v>15.2</v>
      </c>
      <c r="BX38" s="12">
        <f t="array" ref="BX38">INDEX(BW:BW,MIN(IF(ISNUMBER(BW38:BW234),ROW(BW38:BW234),"")))</f>
        <v>15.2</v>
      </c>
      <c r="BY38" s="12">
        <f>IF('Données projet'!$A$114&gt;35,BY37+BX38-CG37,IF(A38&lt;'Données projet'!$A$114,$BV$205^A38,IF(A38='Données projet'!$A$114,'Données projet'!$B$114,BY37+BX38-CG37)))</f>
        <v>239</v>
      </c>
      <c r="BZ38" s="13">
        <f>BY38*VLOOKUP('Données projet'!$B$12,Paramètres!$A$1:$I$89,3,0)*VLOOKUP('Données projet'!$B$12,Paramètres!$A$1:$I$89,5,0)</f>
        <v>160.3212</v>
      </c>
      <c r="CA38" s="13">
        <f t="shared" si="39"/>
        <v>40.914954505069986</v>
      </c>
      <c r="CB38" s="20">
        <f t="shared" si="10"/>
        <v>350.48630242966351</v>
      </c>
      <c r="CC38" s="59">
        <f t="shared" si="11"/>
        <v>620.4687194768801</v>
      </c>
      <c r="CD38" s="59">
        <f ca="1">AVERAGE(OFFSET($CC$3,0,0,'Données projet'!$E$12+1,1))-AVERAGE(OFFSET($H$3,0,0,'Données projet'!$E$12+1,1))</f>
        <v>358.95222991910504</v>
      </c>
      <c r="CE38" s="59">
        <f t="shared" si="40"/>
        <v>347.37506646970905</v>
      </c>
      <c r="CF38" s="15">
        <f>IF(ISNA(VLOOKUP(A38,'Données projet'!$A$113:$I$133,3,0)),0,VLOOKUP(A38,'Données projet'!$A$113:$I$133,3,0))</f>
        <v>6</v>
      </c>
      <c r="CG38" s="15">
        <f>IF(ISNA(VLOOKUP(A38,'Données projet'!$A$113:$I$133,4,0)),0,VLOOKUP(A38,'Données projet'!$A$113:$I$133,4,0))</f>
        <v>42</v>
      </c>
      <c r="CH38" s="16">
        <f>IF(ISNA(VLOOKUP(A38,'Données projet'!$A$113:$I$133,5,0)),0%,VLOOKUP(A38,'Données projet'!$A$113:$I$133,5,0)*VLOOKUP('Données projet'!$B$12,Paramètres!$A$1:$I$89,7,0))</f>
        <v>0.10600000000000001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6.2915151515610415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6.2915151515610415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63.631568285604544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239</v>
      </c>
      <c r="CR38" s="12">
        <f>VLOOKUP(A38,'Données projet'!$A$139:$I$159,9,0)</f>
        <v>15.2</v>
      </c>
      <c r="CS38" s="12">
        <f t="array" ref="CS38">INDEX(CR:CR,MIN(IF(ISNUMBER(CR38:CR234),ROW(CR38:CR234),"")))</f>
        <v>15.2</v>
      </c>
      <c r="CT38" s="12">
        <f>IF('Données projet'!$A$140&gt;35,CT37+CS38-DB37,IF(A38&lt;'Données projet'!$A$140,$CQ$205^A38,IF(A38='Données projet'!$A$140,'Données projet'!$B$140,CT37+CS38-DB37)))</f>
        <v>239</v>
      </c>
      <c r="CU38" s="17">
        <f>CT38*VLOOKUP('Données projet'!$B$13,Paramètres!$A$1:$I$89,3,0)*VLOOKUP('Données projet'!$B$13,Paramètres!$A$1:$I$89,5,0)</f>
        <v>156.59280000000001</v>
      </c>
      <c r="CV38" s="13">
        <f t="shared" si="41"/>
        <v>40.073051842658209</v>
      </c>
      <c r="CW38" s="20">
        <f t="shared" si="13"/>
        <v>342.52635862596304</v>
      </c>
      <c r="CX38" s="59">
        <f t="shared" si="14"/>
        <v>612.50877567317968</v>
      </c>
      <c r="CY38" s="59">
        <f ca="1">AVERAGE(OFFSET($CX$3,0,0,'Données projet'!$E$13+1,1))-AVERAGE(OFFSET($H$3,0,0,'Données projet'!$E$13+1,1))</f>
        <v>351.7266381615546</v>
      </c>
      <c r="CZ38" s="59">
        <f t="shared" si="42"/>
        <v>340.52483243761799</v>
      </c>
      <c r="DA38" s="15">
        <f>IF(ISNA(VLOOKUP(A38,'Données projet'!$A$139:$I$159,3,0)),0,VLOOKUP(A38,'Données projet'!$A$139:$I$159,3,0))</f>
        <v>6</v>
      </c>
      <c r="DB38" s="15">
        <f>IF(ISNA(VLOOKUP(A38,'Données projet'!$A$139:$I$159,4,0)),0,VLOOKUP(A38,'Données projet'!$A$139:$I$159,4,0))</f>
        <v>42</v>
      </c>
      <c r="DC38" s="16">
        <f>IF(ISNA(VLOOKUP(A38,'Données projet'!$A$139:$I$159,5,0)),0%,VLOOKUP(A38,'Données projet'!$A$139:$I$159,5,0)*VLOOKUP('Données projet'!$B$13,Paramètres!$A$1:$I$89,7,0))</f>
        <v>0.17200000000000001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15.71029498164348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15.71029498164348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63.631568285604544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175</v>
      </c>
      <c r="DM38" s="12">
        <f>VLOOKUP(A38,'Données projet'!$A$165:$I$185,9,0)</f>
        <v>12.8</v>
      </c>
      <c r="DN38" s="12">
        <f t="array" ref="DN38">INDEX(DM:DM,MIN(IF(ISNUMBER(DM38:DM234),ROW(DM38:DM234),"")))</f>
        <v>12.8</v>
      </c>
      <c r="DO38" s="12">
        <f>IF('Données projet'!$A$166&gt;35,DO37+DN38-DW37,IF(A38&lt;'Données projet'!$A$166,$DL$205^A38,IF(A38='Données projet'!$A$166,'Données projet'!$B$166,DO37+DN38-DW37)))</f>
        <v>175.00000000000006</v>
      </c>
      <c r="DP38" s="17">
        <f>DO38*VLOOKUP('Données projet'!$B$14,Paramètres!$A$1:$I$89,3,0)*VLOOKUP('Données projet'!$B$14,Paramètres!$A$1:$I$89,5,0)</f>
        <v>150.15000000000006</v>
      </c>
      <c r="DQ38" s="13">
        <f t="shared" si="43"/>
        <v>38.612671675922371</v>
      </c>
      <c r="DR38" s="20">
        <f t="shared" si="16"/>
        <v>328.76165316889825</v>
      </c>
      <c r="DS38" s="59">
        <f t="shared" si="17"/>
        <v>598.74407021611489</v>
      </c>
      <c r="DT38" s="59">
        <f ca="1">AVERAGE(OFFSET($DS$3,0,0,'Données projet'!$E$14+1,1))-AVERAGE(OFFSET($H$3,0,0,'Données projet'!$E$14+1,1))</f>
        <v>569.21675741362196</v>
      </c>
      <c r="DU38" s="59">
        <f t="shared" si="44"/>
        <v>321.12410801891679</v>
      </c>
      <c r="DV38" s="15">
        <f>IF(ISNA(VLOOKUP(A38,'Données projet'!$A$165:$I$185,3,0)),0,VLOOKUP(A38,'Données projet'!$A$165:$I$185,3,0))</f>
        <v>4</v>
      </c>
      <c r="DW38" s="15">
        <f>IF(ISNA(VLOOKUP(A38,'Données projet'!$A$165:$I$185,4,0)),0,VLOOKUP(A38,'Données projet'!$A$165:$I$185,4,0))</f>
        <v>35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63.631568285604544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239</v>
      </c>
      <c r="EH38" s="12">
        <f>VLOOKUP(A38,'Données projet'!$A$191:$I$211,9,0)</f>
        <v>15.2</v>
      </c>
      <c r="EI38" s="12">
        <f t="array" ref="EI38">INDEX(EH:EH,MIN(IF(ISNUMBER(EH38:EH234),ROW(EH38:EH234),"")))</f>
        <v>15.2</v>
      </c>
      <c r="EJ38" s="12">
        <f>IF('Données projet'!$A$192&gt;35,EJ37+EI38-ER37,IF(A38&lt;'Données projet'!$A$192,$EG$205^A38,IF(A38='Données projet'!$A$192,'Données projet'!$B$192,EJ37+EI38-ER37)))</f>
        <v>239</v>
      </c>
      <c r="EK38" s="17">
        <f>EJ38*VLOOKUP('Données projet'!$B$15,Paramètres!$A$1:$I$89,3,0)*VLOOKUP('Données projet'!$B$15,Paramètres!$A$1:$I$89,5,0)</f>
        <v>190.14840000000001</v>
      </c>
      <c r="EL38" s="13">
        <f t="shared" si="45"/>
        <v>47.572760493232991</v>
      </c>
      <c r="EM38" s="20">
        <f t="shared" si="19"/>
        <v>414.03102119238082</v>
      </c>
      <c r="EN38" s="59">
        <f t="shared" si="20"/>
        <v>684.01343823959746</v>
      </c>
      <c r="EO38" s="59">
        <f ca="1">AVERAGE(OFFSET($EN$3,0,0,'Données projet'!$E$15+1,1))-AVERAGE(OFFSET($H$3,0,0,'Données projet'!$E$15+1,1))</f>
        <v>416.63597645452791</v>
      </c>
      <c r="EP38" s="59">
        <f t="shared" si="46"/>
        <v>402.05920382353497</v>
      </c>
      <c r="EQ38" s="15">
        <f>IF(ISNA(VLOOKUP(A38,'Données projet'!$A$191:$I$211,3,0)),0,VLOOKUP(A38,'Données projet'!$A$191:$I$211,3,0))</f>
        <v>6</v>
      </c>
      <c r="ER38" s="15">
        <f>IF(ISNA(VLOOKUP(A38,'Données projet'!$A$191:$I$211,4,0)),0,VLOOKUP(A38,'Données projet'!$A$191:$I$211,4,0))</f>
        <v>42</v>
      </c>
      <c r="ES38" s="16">
        <f>IF(ISNA(VLOOKUP(A38,'Données projet'!$A$191:$I$211,5,0)),0%,VLOOKUP(A38,'Données projet'!$A$191:$I$211,5,0)*VLOOKUP('Données projet'!$B$15,Paramètres!$A$1:$I$89,7,0))</f>
        <v>0.21200000000000002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23.51324880142986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23.51324880142986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63.631568285604544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206</v>
      </c>
      <c r="FC38" s="12">
        <f>VLOOKUP(A38,'Données projet'!$A$217:$I$237,9,0)</f>
        <v>12.8</v>
      </c>
      <c r="FD38" s="12">
        <f t="array" ref="FD38">INDEX(FC:FC,MIN(IF(ISNUMBER(FC38:FC234),ROW(FC38:FC234),"")))</f>
        <v>12.8</v>
      </c>
      <c r="FE38" s="12">
        <f>IF('Données projet'!$A$218&gt;35,FE37+FD38-FM37,IF(A38&lt;'Données projet'!$A$218,$FB$205^A38,IF(A38='Données projet'!$A$218,'Données projet'!$B$218,FE37+FD38-FM37)))</f>
        <v>205.99999999999997</v>
      </c>
      <c r="FF38" s="17">
        <f>FE38*VLOOKUP('Données projet'!$B$16,Paramètres!$A$1:$I$89,3,0)*VLOOKUP('Données projet'!$B$16,Paramètres!$A$1:$I$89,5,0)</f>
        <v>179.9616</v>
      </c>
      <c r="FG38" s="13">
        <f t="shared" si="47"/>
        <v>45.313642767960104</v>
      </c>
      <c r="FH38" s="20">
        <f t="shared" si="22"/>
        <v>392.35438115419714</v>
      </c>
      <c r="FI38" s="59">
        <f t="shared" si="23"/>
        <v>662.33679820141379</v>
      </c>
      <c r="FJ38" s="59">
        <f ca="1">AVERAGE(OFFSET($FI$3,0,0,'Données projet'!$E$16+1,1))-AVERAGE(OFFSET($H$3,0,0,'Données projet'!$E$16+1,1))</f>
        <v>395.57130469647603</v>
      </c>
      <c r="FK38" s="59">
        <f t="shared" si="48"/>
        <v>383.97542781562674</v>
      </c>
      <c r="FL38" s="15">
        <f>IF(ISNA(VLOOKUP(A38,'Données projet'!$A$217:$I$237,3,0)),0,VLOOKUP(A38,'Données projet'!$A$217:$I$237,3,0))</f>
        <v>6</v>
      </c>
      <c r="FM38" s="15">
        <f>IF(ISNA(VLOOKUP(A38,'Données projet'!$A$217:$I$237,4,0)),0,VLOOKUP(A38,'Données projet'!$A$217:$I$237,4,0))</f>
        <v>35</v>
      </c>
      <c r="FN38" s="16">
        <f>IF(ISNA(VLOOKUP(A38,'Données projet'!$A$217:$I$237,5,0)),0%,VLOOKUP(A38,'Données projet'!$A$217:$I$237,5,0)*VLOOKUP('Données projet'!$B$16,Paramètres!$A$1:$I$89,7,0))</f>
        <v>0.21200000000000002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21.308724735814842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21.308724735814842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63.631568285604544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11.5</v>
      </c>
      <c r="FZ38" s="12">
        <f>IF('Données projet'!$A$244&gt;35,FZ37+FY38-GH37,IF(A38&lt;'Données projet'!$A$244,$FW$205^A38,IF(A38='Données projet'!$A$244,'Données projet'!$B$244,FZ37+FY38-GH37)))</f>
        <v>164.99999999999994</v>
      </c>
      <c r="GA38" s="17">
        <f>FZ38*VLOOKUP('Données projet'!$B$17,Paramètres!$A$1:$I$89,3,0)*VLOOKUP('Données projet'!$B$17,Paramètres!$A$1:$I$89,5,0)</f>
        <v>128.69999999999996</v>
      </c>
      <c r="GB38" s="13">
        <f t="shared" si="49"/>
        <v>33.695792019186115</v>
      </c>
      <c r="GC38" s="20">
        <f t="shared" si="25"/>
        <v>282.83933776674911</v>
      </c>
      <c r="GD38" s="59">
        <f t="shared" si="26"/>
        <v>552.82175481396575</v>
      </c>
      <c r="GE38" s="59">
        <f ca="1">AVERAGE(OFFSET($GD$3,0,0,'Données projet'!$E$17+1,1))-AVERAGE(OFFSET($H$3,0,0,'Données projet'!$E$17+1,1))</f>
        <v>301.74744407733351</v>
      </c>
      <c r="GF38" s="59">
        <f t="shared" si="50"/>
        <v>292.46787700966991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6.7192782827667639</v>
      </c>
      <c r="GM38" s="21">
        <f>EXP(-LN(2)/25)*GM37+(1-EXP(-LN(2)/25))/(LN(2)/25)*Calculateur!GH38*Calculateur!GJ38*VLOOKUP('Données projet'!$B$17,Paramètres!$A$1:$I$89,3,0)*0.475*44/12</f>
        <v>0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6.7192782827667639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63.631568285604544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>
        <f>VLOOKUP(A38,'Données projet'!$A$269:$I$289,2,0)</f>
        <v>239</v>
      </c>
      <c r="GS38" s="12">
        <f>VLOOKUP(A38,'Données projet'!$A$269:$I$289,9,0)</f>
        <v>15.2</v>
      </c>
      <c r="GT38" s="12">
        <f t="array" ref="GT38">INDEX(GS:GS,MIN(IF(ISNUMBER(GS38:GS234),ROW(GS38:GS234),"")))</f>
        <v>15.2</v>
      </c>
      <c r="GU38" s="12">
        <f>IF('Données projet'!$A$270&gt;35,GU37+GT38-HC37,IF(A38&lt;'Données projet'!$A$270,$GR$205^A38,IF(A38='Données projet'!$A$270,'Données projet'!$B$270,GU37+GT38-HC37)))</f>
        <v>239</v>
      </c>
      <c r="GV38" s="17">
        <f>GU38*VLOOKUP('Données projet'!$B$18,Paramètres!$A$1:$I$89,3,0)*VLOOKUP('Données projet'!$B$18,Paramètres!$A$1:$I$89,5,0)</f>
        <v>141.67920000000001</v>
      </c>
      <c r="GW38" s="13">
        <f t="shared" si="51"/>
        <v>36.68141929257402</v>
      </c>
      <c r="GX38" s="20">
        <f t="shared" si="28"/>
        <v>310.64474526789974</v>
      </c>
      <c r="GY38" s="59">
        <f t="shared" si="29"/>
        <v>580.62716231511638</v>
      </c>
      <c r="GZ38" s="59">
        <f ca="1">AVERAGE(OFFSET($GY$3,0,0,'Données projet'!$E$18+1,1))-AVERAGE(OFFSET($H$3,0,0,'Données projet'!$E$18+1,1))</f>
        <v>322.78672881269978</v>
      </c>
      <c r="HA38" s="59">
        <f t="shared" si="52"/>
        <v>313.08736327626434</v>
      </c>
      <c r="HB38" s="15">
        <f>IF(ISNA(VLOOKUP(A38,'Données projet'!$A$269:$I$289,3,0)),0,VLOOKUP(A38,'Données projet'!$A$269:$I$289,3,0))</f>
        <v>6</v>
      </c>
      <c r="HC38" s="15">
        <f>IF(ISNA(VLOOKUP(A38,'Données projet'!$A$269:$I$289,4,0)),0,VLOOKUP(A38,'Données projet'!$A$269:$I$289,4,0))</f>
        <v>42</v>
      </c>
      <c r="HD38" s="16">
        <f>IF(ISNA(VLOOKUP(A38,'Données projet'!$A$269:$I$289,5,0)),0%,VLOOKUP(A38,'Données projet'!$A$269:$I$289,5,0)*VLOOKUP('Données projet'!$B$18,Paramètres!$A$1:$I$89,7,0))</f>
        <v>0.12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>
        <f>EXP(-LN(2)/35)*HG37+(1-EXP(-LN(2)/35))/(LN(2)/35)*HC38*HD38*VLOOKUP('Données projet'!$B$18,Paramètres!$A$1:$I$89,3,0)*0.475*44/12</f>
        <v>6.2942757988412321</v>
      </c>
      <c r="HH38" s="21">
        <f>EXP(-LN(2)/25)*HH37+(1-EXP(-LN(2)/25))/(LN(2)/25)*Calculateur!HC38*Calculateur!HE38*VLOOKUP('Données projet'!$B$18,Paramètres!$A$1:$I$89,3,0)*0.475*44/12</f>
        <v>0</v>
      </c>
      <c r="HI38" s="21">
        <f>EXP(-LN(2)/2)*HI37+(1-EXP(-LN(2)/2))/(LN(2)/2)*HC38*HF38*VLOOKUP('Données projet'!$B$18,Paramètres!$A$1:$I$89,3,0)*0.475*44/12</f>
        <v>0</v>
      </c>
      <c r="HJ38" s="22">
        <f t="shared" si="30"/>
        <v>6.2942757988412321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2.3499999999999996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8.6166666666666654</v>
      </c>
      <c r="H39" s="67">
        <f t="shared" si="1"/>
        <v>222.20000000000002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63.742046338168961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11.2</v>
      </c>
      <c r="N39" s="13">
        <f>IF('Données projet'!$A$36&gt;35,N38+M39-V38,IF(A39&lt;'Données projet'!$A$36,$K$205^A39,IF(A39='Données projet'!$A$36,'Données projet'!$B$36,N38+M39-V38)))</f>
        <v>130.19999999999999</v>
      </c>
      <c r="O39" s="13">
        <f>N39*VLOOKUP('Données projet'!$B$9,Paramètres!$A$1:$I$89,3,0)*VLOOKUP('Données projet'!$B$9,Paramètres!$A$1:$I$89,5,0)</f>
        <v>117.80495999999999</v>
      </c>
      <c r="P39" s="13">
        <f t="shared" si="33"/>
        <v>31.162493487829593</v>
      </c>
      <c r="Q39" s="20">
        <f t="shared" si="53"/>
        <v>259.45164815796983</v>
      </c>
      <c r="R39" s="59">
        <f t="shared" si="0"/>
        <v>529.83915139792271</v>
      </c>
      <c r="S39" s="59">
        <f ca="1">AVERAGE(OFFSET($R$3,0,0,'Données projet'!$E$9+1,1))-AVERAGE(OFFSET($H$3,0,0,'Données projet'!$E$9+1,1))</f>
        <v>473.88815717313474</v>
      </c>
      <c r="T39" s="59">
        <f t="shared" si="34"/>
        <v>287.19790203552895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63.742046338168961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11.2</v>
      </c>
      <c r="AI39" s="13">
        <f>IF('Données projet'!$A$62&gt;35,AI38+AH39-AQ38,IF(A39&lt;'Données projet'!$A$62,$AF$205^A39,IF(A39='Données projet'!$A$62,'Données projet'!$B$62,AI38+AH39-AQ38)))</f>
        <v>130.19999999999999</v>
      </c>
      <c r="AJ39" s="13">
        <f>AI39*VLOOKUP('Données projet'!$B$10,Paramètres!$A$1:$I$89,3,0)*VLOOKUP('Données projet'!$B$10,Paramètres!$A$1:$I$89,5,0)</f>
        <v>109.68047999999999</v>
      </c>
      <c r="AK39" s="13">
        <f t="shared" si="35"/>
        <v>29.255690427909634</v>
      </c>
      <c r="AL39" s="20">
        <f t="shared" si="4"/>
        <v>241.98049682860923</v>
      </c>
      <c r="AM39" s="59">
        <f t="shared" si="5"/>
        <v>512.36800006856208</v>
      </c>
      <c r="AN39" s="59">
        <f ca="1">AVERAGE(OFFSET($AM$3,0,0,'Données projet'!$E$10+1,1))-AVERAGE(OFFSET($H$3,0,0,'Données projet'!$E$10+1,1))</f>
        <v>445.19118535527258</v>
      </c>
      <c r="AO39" s="59">
        <f t="shared" si="36"/>
        <v>270.93483242839363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63.742046338168961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11.2</v>
      </c>
      <c r="BD39" s="12">
        <f>IF('Données projet'!$A$88&gt;35,BD38+BC39-BL38,IF(A39&lt;'Données projet'!$A$88,$BA$205^A39,IF(A39='Données projet'!$A$88,'Données projet'!$B$88,BD38+BC39-BL38)))</f>
        <v>130.19999999999999</v>
      </c>
      <c r="BE39" s="13">
        <f>BD39*VLOOKUP('Données projet'!$B$11,Paramètres!$A$1:$I$89,3,0)*VLOOKUP('Données projet'!$B$11,Paramètres!$A$1:$I$89,5,0)</f>
        <v>132.02279999999999</v>
      </c>
      <c r="BF39" s="13">
        <f t="shared" si="37"/>
        <v>34.463348169992798</v>
      </c>
      <c r="BG39" s="20">
        <f t="shared" si="7"/>
        <v>289.96337472940411</v>
      </c>
      <c r="BH39" s="59">
        <f t="shared" si="8"/>
        <v>560.35087796935704</v>
      </c>
      <c r="BI39" s="59">
        <f ca="1">AVERAGE(OFFSET($BH$3,0,0,'Données projet'!$E$11+1,1))-AVERAGE(OFFSET($H$3,0,0,'Données projet'!$E$11+1,1))</f>
        <v>524.01140973345832</v>
      </c>
      <c r="BJ39" s="59">
        <f t="shared" si="38"/>
        <v>315.59942237999621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63.742046338168961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13.2</v>
      </c>
      <c r="BY39" s="12">
        <f>IF('Données projet'!$A$114&gt;35,BY38+BX39-CG38,IF(A39&lt;'Données projet'!$A$114,$BV$205^A39,IF(A39='Données projet'!$A$114,'Données projet'!$B$114,BY38+BX39-CG38)))</f>
        <v>210.2</v>
      </c>
      <c r="BZ39" s="13">
        <f>BY39*VLOOKUP('Données projet'!$B$12,Paramètres!$A$1:$I$89,3,0)*VLOOKUP('Données projet'!$B$12,Paramètres!$A$1:$I$89,5,0)</f>
        <v>141.00216</v>
      </c>
      <c r="CA39" s="13">
        <f t="shared" si="39"/>
        <v>36.526490885878076</v>
      </c>
      <c r="CB39" s="20">
        <f t="shared" si="10"/>
        <v>309.19573362623765</v>
      </c>
      <c r="CC39" s="59">
        <f t="shared" si="11"/>
        <v>579.58323686619053</v>
      </c>
      <c r="CD39" s="59">
        <f ca="1">AVERAGE(OFFSET($CC$3,0,0,'Données projet'!$E$12+1,1))-AVERAGE(OFFSET($H$3,0,0,'Données projet'!$E$12+1,1))</f>
        <v>358.95222991910504</v>
      </c>
      <c r="CE39" s="59">
        <f t="shared" si="40"/>
        <v>347.37506646970905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6.1681423768842558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6.1681423768842558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63.742046338168961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13.2</v>
      </c>
      <c r="CT39" s="12">
        <f>IF('Données projet'!$A$140&gt;35,CT38+CS39-DB38,IF(A39&lt;'Données projet'!$A$140,$CQ$205^A39,IF(A39='Données projet'!$A$140,'Données projet'!$B$140,CT38+CS39-DB38)))</f>
        <v>210.2</v>
      </c>
      <c r="CU39" s="17">
        <f>CT39*VLOOKUP('Données projet'!$B$13,Paramètres!$A$1:$I$89,3,0)*VLOOKUP('Données projet'!$B$13,Paramètres!$A$1:$I$89,5,0)</f>
        <v>137.72304</v>
      </c>
      <c r="CV39" s="13">
        <f t="shared" si="41"/>
        <v>35.774889172094717</v>
      </c>
      <c r="CW39" s="20">
        <f t="shared" si="13"/>
        <v>302.17555997473158</v>
      </c>
      <c r="CX39" s="59">
        <f t="shared" si="14"/>
        <v>572.56306321468446</v>
      </c>
      <c r="CY39" s="59">
        <f ca="1">AVERAGE(OFFSET($CX$3,0,0,'Données projet'!$E$13+1,1))-AVERAGE(OFFSET($H$3,0,0,'Données projet'!$E$13+1,1))</f>
        <v>351.7266381615546</v>
      </c>
      <c r="CZ39" s="59">
        <f t="shared" si="42"/>
        <v>340.52483243761799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15.402225679387215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15.402225679387215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63.742046338168961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13.4</v>
      </c>
      <c r="DO39" s="12">
        <f>IF('Données projet'!$A$166&gt;35,DO38+DN39-DW38,IF(A39&lt;'Données projet'!$A$166,$DL$205^A39,IF(A39='Données projet'!$A$166,'Données projet'!$B$166,DO38+DN39-DW38)))</f>
        <v>153.40000000000006</v>
      </c>
      <c r="DP39" s="17">
        <f>DO39*VLOOKUP('Données projet'!$B$14,Paramètres!$A$1:$I$89,3,0)*VLOOKUP('Données projet'!$B$14,Paramètres!$A$1:$I$89,5,0)</f>
        <v>131.61720000000008</v>
      </c>
      <c r="DQ39" s="13">
        <f t="shared" si="43"/>
        <v>34.369777461794328</v>
      </c>
      <c r="DR39" s="20">
        <f t="shared" si="16"/>
        <v>289.09398574595861</v>
      </c>
      <c r="DS39" s="59">
        <f t="shared" si="17"/>
        <v>559.48148898591148</v>
      </c>
      <c r="DT39" s="59">
        <f ca="1">AVERAGE(OFFSET($DS$3,0,0,'Données projet'!$E$14+1,1))-AVERAGE(OFFSET($H$3,0,0,'Données projet'!$E$14+1,1))</f>
        <v>569.21675741362196</v>
      </c>
      <c r="DU39" s="59">
        <f t="shared" si="44"/>
        <v>321.12410801891679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63.742046338168961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13.2</v>
      </c>
      <c r="EJ39" s="12">
        <f>IF('Données projet'!$A$192&gt;35,EJ38+EI39-ER38,IF(A39&lt;'Données projet'!$A$192,$EG$205^A39,IF(A39='Données projet'!$A$192,'Données projet'!$B$192,EJ38+EI39-ER38)))</f>
        <v>210.2</v>
      </c>
      <c r="EK39" s="17">
        <f>EJ39*VLOOKUP('Données projet'!$B$15,Paramètres!$A$1:$I$89,3,0)*VLOOKUP('Données projet'!$B$15,Paramètres!$A$1:$I$89,5,0)</f>
        <v>167.23511999999999</v>
      </c>
      <c r="EL39" s="13">
        <f t="shared" si="45"/>
        <v>42.470192710511604</v>
      </c>
      <c r="EM39" s="20">
        <f t="shared" si="19"/>
        <v>365.23675297080769</v>
      </c>
      <c r="EN39" s="59">
        <f t="shared" si="20"/>
        <v>635.62425621076056</v>
      </c>
      <c r="EO39" s="59">
        <f ca="1">AVERAGE(OFFSET($EN$3,0,0,'Données projet'!$E$15+1,1))-AVERAGE(OFFSET($H$3,0,0,'Données projet'!$E$15+1,1))</f>
        <v>416.63597645452791</v>
      </c>
      <c r="EP39" s="59">
        <f t="shared" si="46"/>
        <v>402.05920382353497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23.052168334099466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23.052168334099466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63.742046338168961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11.4</v>
      </c>
      <c r="FE39" s="12">
        <f>IF('Données projet'!$A$218&gt;35,FE38+FD39-FM38,IF(A39&lt;'Données projet'!$A$218,$FB$205^A39,IF(A39='Données projet'!$A$218,'Données projet'!$B$218,FE38+FD39-FM38)))</f>
        <v>182.39999999999998</v>
      </c>
      <c r="FF39" s="17">
        <f>FE39*VLOOKUP('Données projet'!$B$16,Paramètres!$A$1:$I$89,3,0)*VLOOKUP('Données projet'!$B$16,Paramètres!$A$1:$I$89,5,0)</f>
        <v>159.34464</v>
      </c>
      <c r="FG39" s="13">
        <f t="shared" si="47"/>
        <v>40.694661837553809</v>
      </c>
      <c r="FH39" s="20">
        <f t="shared" si="22"/>
        <v>348.40178403373949</v>
      </c>
      <c r="FI39" s="59">
        <f t="shared" si="23"/>
        <v>618.78928727369237</v>
      </c>
      <c r="FJ39" s="59">
        <f ca="1">AVERAGE(OFFSET($FI$3,0,0,'Données projet'!$E$16+1,1))-AVERAGE(OFFSET($H$3,0,0,'Données projet'!$E$16+1,1))</f>
        <v>395.57130469647603</v>
      </c>
      <c r="FK39" s="59">
        <f t="shared" si="48"/>
        <v>383.97542781562674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20.89087364078425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20.89087364078425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63.742046338168961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11.5</v>
      </c>
      <c r="FZ39" s="12">
        <f>IF('Données projet'!$A$244&gt;35,FZ38+FY39-GH38,IF(A39&lt;'Données projet'!$A$244,$FW$205^A39,IF(A39='Données projet'!$A$244,'Données projet'!$B$244,FZ38+FY39-GH38)))</f>
        <v>176.49999999999994</v>
      </c>
      <c r="GA39" s="17">
        <f>FZ39*VLOOKUP('Données projet'!$B$17,Paramètres!$A$1:$I$89,3,0)*VLOOKUP('Données projet'!$B$17,Paramètres!$A$1:$I$89,5,0)</f>
        <v>137.66999999999996</v>
      </c>
      <c r="GB39" s="13">
        <f t="shared" si="49"/>
        <v>35.762714965854656</v>
      </c>
      <c r="GC39" s="20">
        <f t="shared" si="25"/>
        <v>302.06197856553007</v>
      </c>
      <c r="GD39" s="59">
        <f t="shared" si="26"/>
        <v>572.44948180548295</v>
      </c>
      <c r="GE39" s="59">
        <f ca="1">AVERAGE(OFFSET($GD$3,0,0,'Données projet'!$E$17+1,1))-AVERAGE(OFFSET($H$3,0,0,'Données projet'!$E$17+1,1))</f>
        <v>301.74744407733351</v>
      </c>
      <c r="GF39" s="59">
        <f t="shared" si="50"/>
        <v>292.46787700966991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6.5875173339967814</v>
      </c>
      <c r="GM39" s="21">
        <f>EXP(-LN(2)/25)*GM38+(1-EXP(-LN(2)/25))/(LN(2)/25)*Calculateur!GH39*Calculateur!GJ39*VLOOKUP('Données projet'!$B$17,Paramètres!$A$1:$I$89,3,0)*0.475*44/12</f>
        <v>0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6.5875173339967814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63.742046338168961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13.2</v>
      </c>
      <c r="GU39" s="12">
        <f>IF('Données projet'!$A$270&gt;35,GU38+GT39-HC38,IF(A39&lt;'Données projet'!$A$270,$GR$205^A39,IF(A39='Données projet'!$A$270,'Données projet'!$B$270,GU38+GT39-HC38)))</f>
        <v>210.2</v>
      </c>
      <c r="GV39" s="17">
        <f>GU39*VLOOKUP('Données projet'!$B$18,Paramètres!$A$1:$I$89,3,0)*VLOOKUP('Données projet'!$B$18,Paramètres!$A$1:$I$89,5,0)</f>
        <v>124.60655999999999</v>
      </c>
      <c r="GW39" s="13">
        <f t="shared" si="51"/>
        <v>32.747036961882763</v>
      </c>
      <c r="GX39" s="20">
        <f t="shared" si="28"/>
        <v>274.05751470861242</v>
      </c>
      <c r="GY39" s="59">
        <f t="shared" si="29"/>
        <v>544.44501794856524</v>
      </c>
      <c r="GZ39" s="59">
        <f ca="1">AVERAGE(OFFSET($GY$3,0,0,'Données projet'!$E$18+1,1))-AVERAGE(OFFSET($H$3,0,0,'Données projet'!$E$18+1,1))</f>
        <v>322.78672881269978</v>
      </c>
      <c r="HA39" s="59">
        <f t="shared" si="52"/>
        <v>313.08736327626434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projet'!$B$18,Paramètres!$A$1:$I$89,3,0)*0.475*44/12</f>
        <v>6.1708488895551099</v>
      </c>
      <c r="HH39" s="21">
        <f>EXP(-LN(2)/25)*HH38+(1-EXP(-LN(2)/25))/(LN(2)/25)*Calculateur!HC39*Calculateur!HE39*VLOOKUP('Données projet'!$B$18,Paramètres!$A$1:$I$89,3,0)*0.475*44/12</f>
        <v>0</v>
      </c>
      <c r="HI39" s="21">
        <f>EXP(-LN(2)/2)*HI38+(1-EXP(-LN(2)/2))/(LN(2)/2)*HC39*HF39*VLOOKUP('Données projet'!$B$18,Paramètres!$A$1:$I$89,3,0)*0.475*44/12</f>
        <v>0</v>
      </c>
      <c r="HJ39" s="22">
        <f t="shared" si="30"/>
        <v>6.1708488895551099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2.3499999999999996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8.6166666666666654</v>
      </c>
      <c r="H40" s="67">
        <f t="shared" si="1"/>
        <v>222.20000000000002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63.850607843513295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11.2</v>
      </c>
      <c r="N40" s="13">
        <f>IF('Données projet'!$A$36&gt;35,N39+M40-V39,IF(A40&lt;'Données projet'!$A$36,$K$205^A40,IF(A40='Données projet'!$A$36,'Données projet'!$B$36,N39+M40-V39)))</f>
        <v>141.39999999999998</v>
      </c>
      <c r="O40" s="13">
        <f>N40*VLOOKUP('Données projet'!$B$9,Paramètres!$A$1:$I$89,3,0)*VLOOKUP('Données projet'!$B$9,Paramètres!$A$1:$I$89,5,0)</f>
        <v>127.93871999999999</v>
      </c>
      <c r="P40" s="13">
        <f t="shared" si="33"/>
        <v>33.519615889545641</v>
      </c>
      <c r="Q40" s="20">
        <f t="shared" si="53"/>
        <v>281.2066016742919</v>
      </c>
      <c r="R40" s="59">
        <f t="shared" si="0"/>
        <v>551.99216376717402</v>
      </c>
      <c r="S40" s="59">
        <f ca="1">AVERAGE(OFFSET($R$3,0,0,'Données projet'!$E$9+1,1))-AVERAGE(OFFSET($H$3,0,0,'Données projet'!$E$9+1,1))</f>
        <v>473.88815717313474</v>
      </c>
      <c r="T40" s="59">
        <f t="shared" si="34"/>
        <v>287.19790203552895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63.850607843513295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11.2</v>
      </c>
      <c r="AI40" s="13">
        <f>IF('Données projet'!$A$62&gt;35,AI39+AH40-AQ39,IF(A40&lt;'Données projet'!$A$62,$AF$205^A40,IF(A40='Données projet'!$A$62,'Données projet'!$B$62,AI39+AH40-AQ39)))</f>
        <v>141.39999999999998</v>
      </c>
      <c r="AJ40" s="13">
        <f>AI40*VLOOKUP('Données projet'!$B$10,Paramètres!$A$1:$I$89,3,0)*VLOOKUP('Données projet'!$B$10,Paramètres!$A$1:$I$89,5,0)</f>
        <v>119.11536</v>
      </c>
      <c r="AK40" s="13">
        <f t="shared" si="35"/>
        <v>31.468582772748064</v>
      </c>
      <c r="AL40" s="20">
        <f t="shared" si="4"/>
        <v>262.26703366253622</v>
      </c>
      <c r="AM40" s="59">
        <f t="shared" si="5"/>
        <v>533.05259575541834</v>
      </c>
      <c r="AN40" s="59">
        <f ca="1">AVERAGE(OFFSET($AM$3,0,0,'Données projet'!$E$10+1,1))-AVERAGE(OFFSET($H$3,0,0,'Données projet'!$E$10+1,1))</f>
        <v>445.19118535527258</v>
      </c>
      <c r="AO40" s="59">
        <f t="shared" si="36"/>
        <v>270.93483242839363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63.850607843513295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11.2</v>
      </c>
      <c r="BD40" s="12">
        <f>IF('Données projet'!$A$88&gt;35,BD39+BC40-BL39,IF(A40&lt;'Données projet'!$A$88,$BA$205^A40,IF(A40='Données projet'!$A$88,'Données projet'!$B$88,BD39+BC40-BL39)))</f>
        <v>141.39999999999998</v>
      </c>
      <c r="BE40" s="13">
        <f>BD40*VLOOKUP('Données projet'!$B$11,Paramètres!$A$1:$I$89,3,0)*VLOOKUP('Données projet'!$B$11,Paramètres!$A$1:$I$89,5,0)</f>
        <v>143.37959999999998</v>
      </c>
      <c r="BF40" s="13">
        <f t="shared" si="37"/>
        <v>37.070146308317469</v>
      </c>
      <c r="BG40" s="20">
        <f t="shared" si="7"/>
        <v>314.28330815365291</v>
      </c>
      <c r="BH40" s="59">
        <f t="shared" si="8"/>
        <v>585.06887024653497</v>
      </c>
      <c r="BI40" s="59">
        <f ca="1">AVERAGE(OFFSET($BH$3,0,0,'Données projet'!$E$11+1,1))-AVERAGE(OFFSET($H$3,0,0,'Données projet'!$E$11+1,1))</f>
        <v>524.01140973345832</v>
      </c>
      <c r="BJ40" s="59">
        <f t="shared" si="38"/>
        <v>315.59942237999621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63.850607843513295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13.2</v>
      </c>
      <c r="BY40" s="12">
        <f>IF('Données projet'!$A$114&gt;35,BY39+BX40-CG39,IF(A40&lt;'Données projet'!$A$114,$BV$205^A40,IF(A40='Données projet'!$A$114,'Données projet'!$B$114,BY39+BX40-CG39)))</f>
        <v>223.39999999999998</v>
      </c>
      <c r="BZ40" s="13">
        <f>BY40*VLOOKUP('Données projet'!$B$12,Paramètres!$A$1:$I$89,3,0)*VLOOKUP('Données projet'!$B$12,Paramètres!$A$1:$I$89,5,0)</f>
        <v>149.85671999999997</v>
      </c>
      <c r="CA40" s="13">
        <f t="shared" si="39"/>
        <v>38.546022915923054</v>
      </c>
      <c r="CB40" s="20">
        <f t="shared" si="10"/>
        <v>328.13477724523256</v>
      </c>
      <c r="CC40" s="59">
        <f t="shared" si="11"/>
        <v>598.92033933811467</v>
      </c>
      <c r="CD40" s="59">
        <f ca="1">AVERAGE(OFFSET($CC$3,0,0,'Données projet'!$E$12+1,1))-AVERAGE(OFFSET($H$3,0,0,'Données projet'!$E$12+1,1))</f>
        <v>358.95222991910504</v>
      </c>
      <c r="CE40" s="59">
        <f t="shared" si="40"/>
        <v>347.37506646970905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6.0471888670689191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6.0471888670689191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63.850607843513295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13.2</v>
      </c>
      <c r="CT40" s="12">
        <f>IF('Données projet'!$A$140&gt;35,CT39+CS40-DB39,IF(A40&lt;'Données projet'!$A$140,$CQ$205^A40,IF(A40='Données projet'!$A$140,'Données projet'!$B$140,CT39+CS40-DB39)))</f>
        <v>223.39999999999998</v>
      </c>
      <c r="CU40" s="17">
        <f>CT40*VLOOKUP('Données projet'!$B$13,Paramètres!$A$1:$I$89,3,0)*VLOOKUP('Données projet'!$B$13,Paramètres!$A$1:$I$89,5,0)</f>
        <v>146.37168</v>
      </c>
      <c r="CV40" s="13">
        <f t="shared" si="41"/>
        <v>37.752865506588051</v>
      </c>
      <c r="CW40" s="20">
        <f t="shared" si="13"/>
        <v>320.6835834239742</v>
      </c>
      <c r="CX40" s="59">
        <f t="shared" si="14"/>
        <v>591.46914551685632</v>
      </c>
      <c r="CY40" s="59">
        <f ca="1">AVERAGE(OFFSET($CX$3,0,0,'Données projet'!$E$13+1,1))-AVERAGE(OFFSET($H$3,0,0,'Données projet'!$E$13+1,1))</f>
        <v>351.7266381615546</v>
      </c>
      <c r="CZ40" s="59">
        <f t="shared" si="42"/>
        <v>340.52483243761799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15.100197428244472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15.100197428244472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63.850607843513295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13.4</v>
      </c>
      <c r="DO40" s="12">
        <f>IF('Données projet'!$A$166&gt;35,DO39+DN40-DW39,IF(A40&lt;'Données projet'!$A$166,$DL$205^A40,IF(A40='Données projet'!$A$166,'Données projet'!$B$166,DO39+DN40-DW39)))</f>
        <v>166.80000000000007</v>
      </c>
      <c r="DP40" s="17">
        <f>DO40*VLOOKUP('Données projet'!$B$14,Paramètres!$A$1:$I$89,3,0)*VLOOKUP('Données projet'!$B$14,Paramètres!$A$1:$I$89,5,0)</f>
        <v>143.11440000000007</v>
      </c>
      <c r="DQ40" s="13">
        <f t="shared" si="43"/>
        <v>37.009554635379814</v>
      </c>
      <c r="DR40" s="20">
        <f t="shared" si="16"/>
        <v>313.71588765662</v>
      </c>
      <c r="DS40" s="59">
        <f t="shared" si="17"/>
        <v>584.50144974950217</v>
      </c>
      <c r="DT40" s="59">
        <f ca="1">AVERAGE(OFFSET($DS$3,0,0,'Données projet'!$E$14+1,1))-AVERAGE(OFFSET($H$3,0,0,'Données projet'!$E$14+1,1))</f>
        <v>569.21675741362196</v>
      </c>
      <c r="DU40" s="59">
        <f t="shared" si="44"/>
        <v>321.12410801891679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63.850607843513295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13.2</v>
      </c>
      <c r="EJ40" s="12">
        <f>IF('Données projet'!$A$192&gt;35,EJ39+EI40-ER39,IF(A40&lt;'Données projet'!$A$192,$EG$205^A40,IF(A40='Données projet'!$A$192,'Données projet'!$B$192,EJ39+EI40-ER39)))</f>
        <v>223.39999999999998</v>
      </c>
      <c r="EK40" s="17">
        <f>EJ40*VLOOKUP('Données projet'!$B$15,Paramètres!$A$1:$I$89,3,0)*VLOOKUP('Données projet'!$B$15,Paramètres!$A$1:$I$89,5,0)</f>
        <v>177.73703999999998</v>
      </c>
      <c r="EL40" s="13">
        <f t="shared" si="45"/>
        <v>44.818349142210366</v>
      </c>
      <c r="EM40" s="20">
        <f t="shared" si="19"/>
        <v>387.61730275601627</v>
      </c>
      <c r="EN40" s="59">
        <f t="shared" si="20"/>
        <v>658.40286484889839</v>
      </c>
      <c r="EO40" s="59">
        <f ca="1">AVERAGE(OFFSET($EN$3,0,0,'Données projet'!$E$15+1,1))-AVERAGE(OFFSET($H$3,0,0,'Données projet'!$E$15+1,1))</f>
        <v>416.63597645452791</v>
      </c>
      <c r="EP40" s="59">
        <f t="shared" si="46"/>
        <v>402.05920382353497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22.600129373502106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22.600129373502106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63.850607843513295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11.4</v>
      </c>
      <c r="FE40" s="12">
        <f>IF('Données projet'!$A$218&gt;35,FE39+FD40-FM39,IF(A40&lt;'Données projet'!$A$218,$FB$205^A40,IF(A40='Données projet'!$A$218,'Données projet'!$B$218,FE39+FD40-FM39)))</f>
        <v>193.79999999999998</v>
      </c>
      <c r="FF40" s="17">
        <f>FE40*VLOOKUP('Données projet'!$B$16,Paramètres!$A$1:$I$89,3,0)*VLOOKUP('Données projet'!$B$16,Paramètres!$A$1:$I$89,5,0)</f>
        <v>169.30368000000001</v>
      </c>
      <c r="FG40" s="13">
        <f t="shared" si="47"/>
        <v>42.934033834973214</v>
      </c>
      <c r="FH40" s="20">
        <f t="shared" si="22"/>
        <v>369.64735159591169</v>
      </c>
      <c r="FI40" s="59">
        <f t="shared" si="23"/>
        <v>640.43291368879386</v>
      </c>
      <c r="FJ40" s="59">
        <f ca="1">AVERAGE(OFFSET($FI$3,0,0,'Données projet'!$E$16+1,1))-AVERAGE(OFFSET($H$3,0,0,'Données projet'!$E$16+1,1))</f>
        <v>395.57130469647603</v>
      </c>
      <c r="FK40" s="59">
        <f t="shared" si="48"/>
        <v>383.97542781562674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20.481216350863207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20.481216350863207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63.850607843513295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>
        <f>VLOOKUP(A40,'Données projet'!$A$243:$I$263,2,0)</f>
        <v>188</v>
      </c>
      <c r="FX40" s="12">
        <f>VLOOKUP(A40,'Données projet'!$A$243:$I$263,9,0)</f>
        <v>11.5</v>
      </c>
      <c r="FY40" s="12">
        <f t="array" ref="FY40">INDEX(FX:FX,MIN(IF(ISNUMBER(FX40:FX236),ROW(FX40:FX236),"")))</f>
        <v>11.5</v>
      </c>
      <c r="FZ40" s="12">
        <f>IF('Données projet'!$A$244&gt;35,FZ39+FY40-GH39,IF(A40&lt;'Données projet'!$A$244,$FW$205^A40,IF(A40='Données projet'!$A$244,'Données projet'!$B$244,FZ39+FY40-GH39)))</f>
        <v>187.99999999999994</v>
      </c>
      <c r="GA40" s="17">
        <f>FZ40*VLOOKUP('Données projet'!$B$17,Paramètres!$A$1:$I$89,3,0)*VLOOKUP('Données projet'!$B$17,Paramètres!$A$1:$I$89,5,0)</f>
        <v>146.63999999999996</v>
      </c>
      <c r="GB40" s="13">
        <f t="shared" si="49"/>
        <v>37.814009712703026</v>
      </c>
      <c r="GC40" s="20">
        <f t="shared" si="25"/>
        <v>321.25740024962437</v>
      </c>
      <c r="GD40" s="59">
        <f t="shared" si="26"/>
        <v>592.04296234250648</v>
      </c>
      <c r="GE40" s="59">
        <f ca="1">AVERAGE(OFFSET($GD$3,0,0,'Données projet'!$E$17+1,1))-AVERAGE(OFFSET($H$3,0,0,'Données projet'!$E$17+1,1))</f>
        <v>301.74744407733351</v>
      </c>
      <c r="GF40" s="59">
        <f t="shared" si="50"/>
        <v>292.46787700966991</v>
      </c>
      <c r="GG40" s="15">
        <f>IF(ISNA(VLOOKUP(A40,'Données projet'!$A$243:$I$263,3,0)),0,VLOOKUP(A40,'Données projet'!$A$243:$I$263,3,0))</f>
        <v>5</v>
      </c>
      <c r="GH40" s="15">
        <f>IF(ISNA(VLOOKUP(A40,'Données projet'!$A$243:$I$263,4,0)),0,VLOOKUP(A40,'Données projet'!$A$243:$I$263,4,0))</f>
        <v>36</v>
      </c>
      <c r="GI40" s="16">
        <f>IF(ISNA(VLOOKUP(A40,'Données projet'!$A$243:$I$263,5,0)),0%,VLOOKUP(A40,'Données projet'!$A$243:$I$263,5,0)*VLOOKUP('Données projet'!$B$17,Paramètres!$A$1:$I$89,7,0))</f>
        <v>0.129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10.462707602255731</v>
      </c>
      <c r="GM40" s="21">
        <f>EXP(-LN(2)/25)*GM39+(1-EXP(-LN(2)/25))/(LN(2)/25)*Calculateur!GH40*Calculateur!GJ40*VLOOKUP('Données projet'!$B$17,Paramètres!$A$1:$I$89,3,0)*0.475*44/12</f>
        <v>0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10.462707602255731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63.850607843513295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13.2</v>
      </c>
      <c r="GU40" s="12">
        <f>IF('Données projet'!$A$270&gt;35,GU39+GT40-HC39,IF(A40&lt;'Données projet'!$A$270,$GR$205^A40,IF(A40='Données projet'!$A$270,'Données projet'!$B$270,GU39+GT40-HC39)))</f>
        <v>223.39999999999998</v>
      </c>
      <c r="GV40" s="17">
        <f>GU40*VLOOKUP('Données projet'!$B$18,Paramètres!$A$1:$I$89,3,0)*VLOOKUP('Données projet'!$B$18,Paramètres!$A$1:$I$89,5,0)</f>
        <v>132.43152000000001</v>
      </c>
      <c r="GW40" s="13">
        <f t="shared" si="51"/>
        <v>34.557604810850634</v>
      </c>
      <c r="GX40" s="20">
        <f t="shared" si="28"/>
        <v>290.83939237889814</v>
      </c>
      <c r="GY40" s="59">
        <f t="shared" si="29"/>
        <v>561.62495447178026</v>
      </c>
      <c r="GZ40" s="59">
        <f ca="1">AVERAGE(OFFSET($GY$3,0,0,'Données projet'!$E$18+1,1))-AVERAGE(OFFSET($H$3,0,0,'Données projet'!$E$18+1,1))</f>
        <v>322.78672881269978</v>
      </c>
      <c r="HA40" s="59">
        <f t="shared" si="52"/>
        <v>313.08736327626434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projet'!$B$18,Paramètres!$A$1:$I$89,3,0)*0.475*44/12</f>
        <v>6.0498423066771077</v>
      </c>
      <c r="HH40" s="21">
        <f>EXP(-LN(2)/25)*HH39+(1-EXP(-LN(2)/25))/(LN(2)/25)*Calculateur!HC40*Calculateur!HE40*VLOOKUP('Données projet'!$B$18,Paramètres!$A$1:$I$89,3,0)*0.475*44/12</f>
        <v>0</v>
      </c>
      <c r="HI40" s="21">
        <f>EXP(-LN(2)/2)*HI39+(1-EXP(-LN(2)/2))/(LN(2)/2)*HC40*HF40*VLOOKUP('Données projet'!$B$18,Paramètres!$A$1:$I$89,3,0)*0.475*44/12</f>
        <v>0</v>
      </c>
      <c r="HJ40" s="22">
        <f t="shared" si="30"/>
        <v>6.0498423066771077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2.3499999999999996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8.6166666666666654</v>
      </c>
      <c r="H41" s="67">
        <f t="shared" si="1"/>
        <v>222.20000000000002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63.957286049447077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11.2</v>
      </c>
      <c r="N41" s="13">
        <f>IF('Données projet'!$A$36&gt;35,N40+M41-V40,IF(A41&lt;'Données projet'!$A$36,$K$205^A41,IF(A41='Données projet'!$A$36,'Données projet'!$B$36,N40+M41-V40)))</f>
        <v>152.59999999999997</v>
      </c>
      <c r="O41" s="13">
        <f>N41*VLOOKUP('Données projet'!$B$9,Paramètres!$A$1:$I$89,3,0)*VLOOKUP('Données projet'!$B$9,Paramètres!$A$1:$I$89,5,0)</f>
        <v>138.07247999999996</v>
      </c>
      <c r="P41" s="13">
        <f t="shared" si="33"/>
        <v>35.855082076777961</v>
      </c>
      <c r="Q41" s="20">
        <f t="shared" si="53"/>
        <v>302.92383728372153</v>
      </c>
      <c r="R41" s="59">
        <f t="shared" si="0"/>
        <v>574.10055279836081</v>
      </c>
      <c r="S41" s="59">
        <f ca="1">AVERAGE(OFFSET($R$3,0,0,'Données projet'!$E$9+1,1))-AVERAGE(OFFSET($H$3,0,0,'Données projet'!$E$9+1,1))</f>
        <v>473.88815717313474</v>
      </c>
      <c r="T41" s="59">
        <f t="shared" si="34"/>
        <v>287.19790203552895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63.957286049447077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11.2</v>
      </c>
      <c r="AI41" s="13">
        <f>IF('Données projet'!$A$62&gt;35,AI40+AH41-AQ40,IF(A41&lt;'Données projet'!$A$62,$AF$205^A41,IF(A41='Données projet'!$A$62,'Données projet'!$B$62,AI40+AH41-AQ40)))</f>
        <v>152.59999999999997</v>
      </c>
      <c r="AJ41" s="13">
        <f>AI41*VLOOKUP('Données projet'!$B$10,Paramètres!$A$1:$I$89,3,0)*VLOOKUP('Données projet'!$B$10,Paramètres!$A$1:$I$89,5,0)</f>
        <v>128.55023999999997</v>
      </c>
      <c r="AK41" s="13">
        <f t="shared" si="35"/>
        <v>33.661144026076663</v>
      </c>
      <c r="AL41" s="20">
        <f t="shared" si="4"/>
        <v>282.51816051208351</v>
      </c>
      <c r="AM41" s="59">
        <f t="shared" si="5"/>
        <v>553.6948760267228</v>
      </c>
      <c r="AN41" s="59">
        <f ca="1">AVERAGE(OFFSET($AM$3,0,0,'Données projet'!$E$10+1,1))-AVERAGE(OFFSET($H$3,0,0,'Données projet'!$E$10+1,1))</f>
        <v>445.19118535527258</v>
      </c>
      <c r="AO41" s="59">
        <f t="shared" si="36"/>
        <v>270.93483242839363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63.957286049447077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11.2</v>
      </c>
      <c r="BD41" s="12">
        <f>IF('Données projet'!$A$88&gt;35,BD40+BC41-BL40,IF(A41&lt;'Données projet'!$A$88,$BA$205^A41,IF(A41='Données projet'!$A$88,'Données projet'!$B$88,BD40+BC41-BL40)))</f>
        <v>152.59999999999997</v>
      </c>
      <c r="BE41" s="13">
        <f>BD41*VLOOKUP('Données projet'!$B$11,Paramètres!$A$1:$I$89,3,0)*VLOOKUP('Données projet'!$B$11,Paramètres!$A$1:$I$89,5,0)</f>
        <v>154.73639999999997</v>
      </c>
      <c r="BF41" s="13">
        <f t="shared" si="37"/>
        <v>39.652994320183666</v>
      </c>
      <c r="BG41" s="20">
        <f t="shared" si="7"/>
        <v>338.56152844098648</v>
      </c>
      <c r="BH41" s="59">
        <f t="shared" si="8"/>
        <v>609.73824395562576</v>
      </c>
      <c r="BI41" s="59">
        <f ca="1">AVERAGE(OFFSET($BH$3,0,0,'Données projet'!$E$11+1,1))-AVERAGE(OFFSET($H$3,0,0,'Données projet'!$E$11+1,1))</f>
        <v>524.01140973345832</v>
      </c>
      <c r="BJ41" s="59">
        <f t="shared" si="38"/>
        <v>315.59942237999621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63.957286049447077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13.2</v>
      </c>
      <c r="BY41" s="12">
        <f>IF('Données projet'!$A$114&gt;35,BY40+BX41-CG40,IF(A41&lt;'Données projet'!$A$114,$BV$205^A41,IF(A41='Données projet'!$A$114,'Données projet'!$B$114,BY40+BX41-CG40)))</f>
        <v>236.59999999999997</v>
      </c>
      <c r="BZ41" s="13">
        <f>BY41*VLOOKUP('Données projet'!$B$12,Paramètres!$A$1:$I$89,3,0)*VLOOKUP('Données projet'!$B$12,Paramètres!$A$1:$I$89,5,0)</f>
        <v>158.71127999999999</v>
      </c>
      <c r="CA41" s="13">
        <f t="shared" si="39"/>
        <v>40.551704343293025</v>
      </c>
      <c r="CB41" s="20">
        <f t="shared" si="10"/>
        <v>347.04969773123526</v>
      </c>
      <c r="CC41" s="59">
        <f t="shared" si="11"/>
        <v>618.22641324587448</v>
      </c>
      <c r="CD41" s="59">
        <f ca="1">AVERAGE(OFFSET($CC$3,0,0,'Données projet'!$E$12+1,1))-AVERAGE(OFFSET($H$3,0,0,'Données projet'!$E$12+1,1))</f>
        <v>358.95222991910504</v>
      </c>
      <c r="CE41" s="59">
        <f t="shared" si="40"/>
        <v>347.37506646970905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5.9286071818067052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5.9286071818067052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63.957286049447077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13.2</v>
      </c>
      <c r="CT41" s="12">
        <f>IF('Données projet'!$A$140&gt;35,CT40+CS41-DB40,IF(A41&lt;'Données projet'!$A$140,$CQ$205^A41,IF(A41='Données projet'!$A$140,'Données projet'!$B$140,CT40+CS41-DB40)))</f>
        <v>236.59999999999997</v>
      </c>
      <c r="CU41" s="17">
        <f>CT41*VLOOKUP('Données projet'!$B$13,Paramètres!$A$1:$I$89,3,0)*VLOOKUP('Données projet'!$B$13,Paramètres!$A$1:$I$89,5,0)</f>
        <v>155.02031999999997</v>
      </c>
      <c r="CV41" s="13">
        <f t="shared" si="41"/>
        <v>39.717276240782901</v>
      </c>
      <c r="CW41" s="20">
        <f t="shared" si="13"/>
        <v>339.16798011936345</v>
      </c>
      <c r="CX41" s="59">
        <f t="shared" si="14"/>
        <v>610.34469563400273</v>
      </c>
      <c r="CY41" s="59">
        <f ca="1">AVERAGE(OFFSET($CX$3,0,0,'Données projet'!$E$13+1,1))-AVERAGE(OFFSET($H$3,0,0,'Données projet'!$E$13+1,1))</f>
        <v>351.7266381615546</v>
      </c>
      <c r="CZ41" s="59">
        <f t="shared" si="42"/>
        <v>340.52483243761799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14.804091766887597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14.804091766887597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63.957286049447077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13.4</v>
      </c>
      <c r="DO41" s="12">
        <f>IF('Données projet'!$A$166&gt;35,DO40+DN41-DW40,IF(A41&lt;'Données projet'!$A$166,$DL$205^A41,IF(A41='Données projet'!$A$166,'Données projet'!$B$166,DO40+DN41-DW40)))</f>
        <v>180.20000000000007</v>
      </c>
      <c r="DP41" s="17">
        <f>DO41*VLOOKUP('Données projet'!$B$14,Paramètres!$A$1:$I$89,3,0)*VLOOKUP('Données projet'!$B$14,Paramètres!$A$1:$I$89,5,0)</f>
        <v>154.61160000000007</v>
      </c>
      <c r="DQ41" s="13">
        <f t="shared" si="43"/>
        <v>39.624734188365885</v>
      </c>
      <c r="DR41" s="20">
        <f t="shared" si="16"/>
        <v>338.294948711404</v>
      </c>
      <c r="DS41" s="59">
        <f t="shared" si="17"/>
        <v>609.47166422604323</v>
      </c>
      <c r="DT41" s="59">
        <f ca="1">AVERAGE(OFFSET($DS$3,0,0,'Données projet'!$E$14+1,1))-AVERAGE(OFFSET($H$3,0,0,'Données projet'!$E$14+1,1))</f>
        <v>569.21675741362196</v>
      </c>
      <c r="DU41" s="59">
        <f t="shared" si="44"/>
        <v>321.12410801891679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63.957286049447077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13.2</v>
      </c>
      <c r="EJ41" s="12">
        <f>IF('Données projet'!$A$192&gt;35,EJ40+EI41-ER40,IF(A41&lt;'Données projet'!$A$192,$EG$205^A41,IF(A41='Données projet'!$A$192,'Données projet'!$B$192,EJ40+EI41-ER40)))</f>
        <v>236.59999999999997</v>
      </c>
      <c r="EK41" s="17">
        <f>EJ41*VLOOKUP('Données projet'!$B$15,Paramètres!$A$1:$I$89,3,0)*VLOOKUP('Données projet'!$B$15,Paramètres!$A$1:$I$89,5,0)</f>
        <v>188.23895999999999</v>
      </c>
      <c r="EL41" s="13">
        <f t="shared" si="45"/>
        <v>47.150401158990007</v>
      </c>
      <c r="EM41" s="20">
        <f t="shared" si="19"/>
        <v>409.96980401857422</v>
      </c>
      <c r="EN41" s="59">
        <f t="shared" si="20"/>
        <v>681.14651953321345</v>
      </c>
      <c r="EO41" s="59">
        <f ca="1">AVERAGE(OFFSET($EN$3,0,0,'Données projet'!$E$15+1,1))-AVERAGE(OFFSET($H$3,0,0,'Données projet'!$E$15+1,1))</f>
        <v>416.63597645452791</v>
      </c>
      <c r="EP41" s="59">
        <f t="shared" si="46"/>
        <v>402.05920382353497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22.156954621205522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22.156954621205522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63.957286049447077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11.4</v>
      </c>
      <c r="FE41" s="12">
        <f>IF('Données projet'!$A$218&gt;35,FE40+FD41-FM40,IF(A41&lt;'Données projet'!$A$218,$FB$205^A41,IF(A41='Données projet'!$A$218,'Données projet'!$B$218,FE40+FD41-FM40)))</f>
        <v>205.2</v>
      </c>
      <c r="FF41" s="17">
        <f>FE41*VLOOKUP('Données projet'!$B$16,Paramètres!$A$1:$I$89,3,0)*VLOOKUP('Données projet'!$B$16,Paramètres!$A$1:$I$89,5,0)</f>
        <v>179.26272</v>
      </c>
      <c r="FG41" s="13">
        <f t="shared" si="47"/>
        <v>45.158115787467153</v>
      </c>
      <c r="FH41" s="20">
        <f t="shared" si="22"/>
        <v>390.86628899650526</v>
      </c>
      <c r="FI41" s="59">
        <f t="shared" si="23"/>
        <v>662.04300451114455</v>
      </c>
      <c r="FJ41" s="59">
        <f ca="1">AVERAGE(OFFSET($FI$3,0,0,'Données projet'!$E$16+1,1))-AVERAGE(OFFSET($H$3,0,0,'Données projet'!$E$16+1,1))</f>
        <v>395.57130469647603</v>
      </c>
      <c r="FK41" s="59">
        <f t="shared" si="48"/>
        <v>383.97542781562674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20.07959219053124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20.07959219053124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63.957286049447077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11.142857142857142</v>
      </c>
      <c r="FZ41" s="12">
        <f>IF('Données projet'!$A$244&gt;35,FZ40+FY41-GH40,IF(A41&lt;'Données projet'!$A$244,$FW$205^A41,IF(A41='Données projet'!$A$244,'Données projet'!$B$244,FZ40+FY41-GH40)))</f>
        <v>163.14285714285708</v>
      </c>
      <c r="GA41" s="17">
        <f>FZ41*VLOOKUP('Données projet'!$B$17,Paramètres!$A$1:$I$89,3,0)*VLOOKUP('Données projet'!$B$17,Paramètres!$A$1:$I$89,5,0)</f>
        <v>127.25142857142853</v>
      </c>
      <c r="GB41" s="13">
        <f t="shared" si="49"/>
        <v>33.360457439554281</v>
      </c>
      <c r="GC41" s="20">
        <f t="shared" si="25"/>
        <v>279.73236813579501</v>
      </c>
      <c r="GD41" s="59">
        <f t="shared" si="26"/>
        <v>550.90908365043424</v>
      </c>
      <c r="GE41" s="59">
        <f ca="1">AVERAGE(OFFSET($GD$3,0,0,'Données projet'!$E$17+1,1))-AVERAGE(OFFSET($H$3,0,0,'Données projet'!$E$17+1,1))</f>
        <v>301.74744407733351</v>
      </c>
      <c r="GF41" s="59">
        <f t="shared" si="50"/>
        <v>292.46787700966991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10.257540287797001</v>
      </c>
      <c r="GM41" s="21">
        <f>EXP(-LN(2)/25)*GM40+(1-EXP(-LN(2)/25))/(LN(2)/25)*Calculateur!GH41*Calculateur!GJ41*VLOOKUP('Données projet'!$B$17,Paramètres!$A$1:$I$89,3,0)*0.475*44/12</f>
        <v>0</v>
      </c>
      <c r="GN41" s="21">
        <f>EXP(-LN(2)/2)*GN40+(1-EXP(-LN(2)/2))/(LN(2)/2)*GH41*GK41*VLOOKUP('Données projet'!$B$17,Paramètres!$A$1:$I$89,3,0)*0.475*44/12</f>
        <v>0</v>
      </c>
      <c r="GO41" s="21">
        <f t="shared" si="27"/>
        <v>10.257540287797001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63.957286049447077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13.2</v>
      </c>
      <c r="GU41" s="12">
        <f>IF('Données projet'!$A$270&gt;35,GU40+GT41-HC40,IF(A41&lt;'Données projet'!$A$270,$GR$205^A41,IF(A41='Données projet'!$A$270,'Données projet'!$B$270,GU40+GT41-HC40)))</f>
        <v>236.59999999999997</v>
      </c>
      <c r="GV41" s="17">
        <f>GU41*VLOOKUP('Données projet'!$B$18,Paramètres!$A$1:$I$89,3,0)*VLOOKUP('Données projet'!$B$18,Paramètres!$A$1:$I$89,5,0)</f>
        <v>140.25647999999998</v>
      </c>
      <c r="GW41" s="13">
        <f t="shared" si="51"/>
        <v>36.355755200962143</v>
      </c>
      <c r="GX41" s="20">
        <f t="shared" si="28"/>
        <v>307.59964297500903</v>
      </c>
      <c r="GY41" s="59">
        <f t="shared" si="29"/>
        <v>578.77635848964837</v>
      </c>
      <c r="GZ41" s="59">
        <f ca="1">AVERAGE(OFFSET($GY$3,0,0,'Données projet'!$E$18+1,1))-AVERAGE(OFFSET($H$3,0,0,'Données projet'!$E$18+1,1))</f>
        <v>322.78672881269978</v>
      </c>
      <c r="HA41" s="59">
        <f t="shared" si="52"/>
        <v>313.08736327626434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5.9312085890826154</v>
      </c>
      <c r="HH41" s="21">
        <f>EXP(-LN(2)/25)*HH40+(1-EXP(-LN(2)/25))/(LN(2)/25)*Calculateur!HC41*Calculateur!HE41*VLOOKUP('Données projet'!$B$18,Paramètres!$A$1:$I$89,3,0)*0.475*44/12</f>
        <v>0</v>
      </c>
      <c r="HI41" s="21">
        <f>EXP(-LN(2)/2)*HI40+(1-EXP(-LN(2)/2))/(LN(2)/2)*HC41*HF41*VLOOKUP('Données projet'!$B$18,Paramètres!$A$1:$I$89,3,0)*0.475*44/12</f>
        <v>0</v>
      </c>
      <c r="HJ41" s="22">
        <f t="shared" si="30"/>
        <v>5.9312085890826154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2.3499999999999996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8.6166666666666654</v>
      </c>
      <c r="H42" s="67">
        <f t="shared" si="1"/>
        <v>222.20000000000002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64.062113627004635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11.2</v>
      </c>
      <c r="N42" s="13">
        <f>IF('Données projet'!$A$36&gt;35,N41+M42-V41,IF(A42&lt;'Données projet'!$A$36,$K$205^A42,IF(A42='Données projet'!$A$36,'Données projet'!$B$36,N41+M42-V41)))</f>
        <v>163.79999999999995</v>
      </c>
      <c r="O42" s="13">
        <f>N42*VLOOKUP('Données projet'!$B$9,Paramètres!$A$1:$I$89,3,0)*VLOOKUP('Données projet'!$B$9,Paramètres!$A$1:$I$89,5,0)</f>
        <v>148.20623999999995</v>
      </c>
      <c r="P42" s="13">
        <f t="shared" si="33"/>
        <v>38.170662245893794</v>
      </c>
      <c r="Q42" s="20">
        <f t="shared" si="53"/>
        <v>324.60643807826494</v>
      </c>
      <c r="R42" s="59">
        <f t="shared" si="0"/>
        <v>596.1675213772819</v>
      </c>
      <c r="S42" s="59">
        <f ca="1">AVERAGE(OFFSET($R$3,0,0,'Données projet'!$E$9+1,1))-AVERAGE(OFFSET($H$3,0,0,'Données projet'!$E$9+1,1))</f>
        <v>473.88815717313474</v>
      </c>
      <c r="T42" s="59">
        <f t="shared" si="34"/>
        <v>287.19790203552895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64.062113627004635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11.2</v>
      </c>
      <c r="AI42" s="13">
        <f>IF('Données projet'!$A$62&gt;35,AI41+AH42-AQ41,IF(A42&lt;'Données projet'!$A$62,$AF$205^A42,IF(A42='Données projet'!$A$62,'Données projet'!$B$62,AI41+AH42-AQ41)))</f>
        <v>163.79999999999995</v>
      </c>
      <c r="AJ42" s="13">
        <f>AI42*VLOOKUP('Données projet'!$B$10,Paramètres!$A$1:$I$89,3,0)*VLOOKUP('Données projet'!$B$10,Paramètres!$A$1:$I$89,5,0)</f>
        <v>137.98511999999997</v>
      </c>
      <c r="AK42" s="13">
        <f t="shared" si="35"/>
        <v>35.835036067646307</v>
      </c>
      <c r="AL42" s="20">
        <f t="shared" si="4"/>
        <v>302.73677181781727</v>
      </c>
      <c r="AM42" s="59">
        <f t="shared" si="5"/>
        <v>574.29785511683417</v>
      </c>
      <c r="AN42" s="59">
        <f ca="1">AVERAGE(OFFSET($AM$3,0,0,'Données projet'!$E$10+1,1))-AVERAGE(OFFSET($H$3,0,0,'Données projet'!$E$10+1,1))</f>
        <v>445.19118535527258</v>
      </c>
      <c r="AO42" s="59">
        <f t="shared" si="36"/>
        <v>270.93483242839363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64.062113627004635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11.2</v>
      </c>
      <c r="BD42" s="12">
        <f>IF('Données projet'!$A$88&gt;35,BD41+BC42-BL41,IF(A42&lt;'Données projet'!$A$88,$BA$205^A42,IF(A42='Données projet'!$A$88,'Données projet'!$B$88,BD41+BC42-BL41)))</f>
        <v>163.79999999999995</v>
      </c>
      <c r="BE42" s="13">
        <f>BD42*VLOOKUP('Données projet'!$B$11,Paramètres!$A$1:$I$89,3,0)*VLOOKUP('Données projet'!$B$11,Paramètres!$A$1:$I$89,5,0)</f>
        <v>166.09319999999997</v>
      </c>
      <c r="BF42" s="13">
        <f t="shared" si="37"/>
        <v>42.213849908165905</v>
      </c>
      <c r="BG42" s="20">
        <f t="shared" si="7"/>
        <v>362.80144525672222</v>
      </c>
      <c r="BH42" s="59">
        <f t="shared" si="8"/>
        <v>634.36252855573912</v>
      </c>
      <c r="BI42" s="59">
        <f ca="1">AVERAGE(OFFSET($BH$3,0,0,'Données projet'!$E$11+1,1))-AVERAGE(OFFSET($H$3,0,0,'Données projet'!$E$11+1,1))</f>
        <v>524.01140973345832</v>
      </c>
      <c r="BJ42" s="59">
        <f t="shared" si="38"/>
        <v>315.59942237999621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64.062113627004635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13.2</v>
      </c>
      <c r="BY42" s="12">
        <f>IF('Données projet'!$A$114&gt;35,BY41+BX42-CG41,IF(A42&lt;'Données projet'!$A$114,$BV$205^A42,IF(A42='Données projet'!$A$114,'Données projet'!$B$114,BY41+BX42-CG41)))</f>
        <v>249.79999999999995</v>
      </c>
      <c r="BZ42" s="13">
        <f>BY42*VLOOKUP('Données projet'!$B$12,Paramètres!$A$1:$I$89,3,0)*VLOOKUP('Données projet'!$B$12,Paramètres!$A$1:$I$89,5,0)</f>
        <v>167.56583999999995</v>
      </c>
      <c r="CA42" s="13">
        <f t="shared" si="39"/>
        <v>42.54439596624875</v>
      </c>
      <c r="CB42" s="20">
        <f t="shared" si="10"/>
        <v>365.94199430788308</v>
      </c>
      <c r="CC42" s="59">
        <f t="shared" si="11"/>
        <v>637.50307760689998</v>
      </c>
      <c r="CD42" s="59">
        <f ca="1">AVERAGE(OFFSET($CC$3,0,0,'Données projet'!$E$12+1,1))-AVERAGE(OFFSET($H$3,0,0,'Données projet'!$E$12+1,1))</f>
        <v>358.95222991910504</v>
      </c>
      <c r="CE42" s="59">
        <f t="shared" si="40"/>
        <v>347.37506646970905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5.812350811064797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5.812350811064797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64.062113627004635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13.2</v>
      </c>
      <c r="CT42" s="12">
        <f>IF('Données projet'!$A$140&gt;35,CT41+CS42-DB41,IF(A42&lt;'Données projet'!$A$140,$CQ$205^A42,IF(A42='Données projet'!$A$140,'Données projet'!$B$140,CT41+CS42-DB41)))</f>
        <v>249.79999999999995</v>
      </c>
      <c r="CU42" s="17">
        <f>CT42*VLOOKUP('Données projet'!$B$13,Paramètres!$A$1:$I$89,3,0)*VLOOKUP('Données projet'!$B$13,Paramètres!$A$1:$I$89,5,0)</f>
        <v>163.66895999999997</v>
      </c>
      <c r="CV42" s="13">
        <f t="shared" si="41"/>
        <v>41.668964460385851</v>
      </c>
      <c r="CW42" s="20">
        <f t="shared" si="13"/>
        <v>357.63021843517191</v>
      </c>
      <c r="CX42" s="59">
        <f t="shared" si="14"/>
        <v>629.19130173418887</v>
      </c>
      <c r="CY42" s="59">
        <f ca="1">AVERAGE(OFFSET($CX$3,0,0,'Données projet'!$E$13+1,1))-AVERAGE(OFFSET($H$3,0,0,'Données projet'!$E$13+1,1))</f>
        <v>351.7266381615546</v>
      </c>
      <c r="CZ42" s="59">
        <f t="shared" si="42"/>
        <v>340.52483243761799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14.51379255694331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14.51379255694331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64.062113627004635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13.4</v>
      </c>
      <c r="DO42" s="12">
        <f>IF('Données projet'!$A$166&gt;35,DO41+DN42-DW41,IF(A42&lt;'Données projet'!$A$166,$DL$205^A42,IF(A42='Données projet'!$A$166,'Données projet'!$B$166,DO41+DN42-DW41)))</f>
        <v>193.60000000000008</v>
      </c>
      <c r="DP42" s="17">
        <f>DO42*VLOOKUP('Données projet'!$B$14,Paramètres!$A$1:$I$89,3,0)*VLOOKUP('Données projet'!$B$14,Paramètres!$A$1:$I$89,5,0)</f>
        <v>166.10880000000009</v>
      </c>
      <c r="DQ42" s="13">
        <f t="shared" si="43"/>
        <v>42.217353238107833</v>
      </c>
      <c r="DR42" s="20">
        <f t="shared" si="16"/>
        <v>362.83471688970462</v>
      </c>
      <c r="DS42" s="59">
        <f t="shared" si="17"/>
        <v>634.39580018872152</v>
      </c>
      <c r="DT42" s="59">
        <f ca="1">AVERAGE(OFFSET($DS$3,0,0,'Données projet'!$E$14+1,1))-AVERAGE(OFFSET($H$3,0,0,'Données projet'!$E$14+1,1))</f>
        <v>569.21675741362196</v>
      </c>
      <c r="DU42" s="59">
        <f t="shared" si="44"/>
        <v>321.12410801891679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64.062113627004635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13.2</v>
      </c>
      <c r="EJ42" s="12">
        <f>IF('Données projet'!$A$192&gt;35,EJ41+EI42-ER41,IF(A42&lt;'Données projet'!$A$192,$EG$205^A42,IF(A42='Données projet'!$A$192,'Données projet'!$B$192,EJ41+EI42-ER41)))</f>
        <v>249.79999999999995</v>
      </c>
      <c r="EK42" s="17">
        <f>EJ42*VLOOKUP('Données projet'!$B$15,Paramètres!$A$1:$I$89,3,0)*VLOOKUP('Données projet'!$B$15,Paramètres!$A$1:$I$89,5,0)</f>
        <v>198.74087999999998</v>
      </c>
      <c r="EL42" s="13">
        <f t="shared" si="45"/>
        <v>49.467349630825638</v>
      </c>
      <c r="EM42" s="20">
        <f t="shared" si="19"/>
        <v>432.29599994035453</v>
      </c>
      <c r="EN42" s="59">
        <f t="shared" si="20"/>
        <v>703.85708323937149</v>
      </c>
      <c r="EO42" s="59">
        <f ca="1">AVERAGE(OFFSET($EN$3,0,0,'Données projet'!$E$15+1,1))-AVERAGE(OFFSET($H$3,0,0,'Données projet'!$E$15+1,1))</f>
        <v>416.63597645452791</v>
      </c>
      <c r="EP42" s="59">
        <f t="shared" si="46"/>
        <v>402.05920382353497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21.722470255491562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21.722470255491562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64.062113627004635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11.4</v>
      </c>
      <c r="FE42" s="12">
        <f>IF('Données projet'!$A$218&gt;35,FE41+FD42-FM41,IF(A42&lt;'Données projet'!$A$218,$FB$205^A42,IF(A42='Données projet'!$A$218,'Données projet'!$B$218,FE41+FD42-FM41)))</f>
        <v>216.6</v>
      </c>
      <c r="FF42" s="17">
        <f>FE42*VLOOKUP('Données projet'!$B$16,Paramètres!$A$1:$I$89,3,0)*VLOOKUP('Données projet'!$B$16,Paramètres!$A$1:$I$89,5,0)</f>
        <v>189.22176000000002</v>
      </c>
      <c r="FG42" s="13">
        <f t="shared" si="47"/>
        <v>47.367853957810077</v>
      </c>
      <c r="FH42" s="20">
        <f t="shared" si="22"/>
        <v>412.06024430985258</v>
      </c>
      <c r="FI42" s="59">
        <f t="shared" si="23"/>
        <v>683.62132760886948</v>
      </c>
      <c r="FJ42" s="59">
        <f ca="1">AVERAGE(OFFSET($FI$3,0,0,'Données projet'!$E$16+1,1))-AVERAGE(OFFSET($H$3,0,0,'Données projet'!$E$16+1,1))</f>
        <v>395.57130469647603</v>
      </c>
      <c r="FK42" s="59">
        <f t="shared" si="48"/>
        <v>383.97542781562674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19.685843635016834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19.685843635016834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64.062113627004635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11.142857142857142</v>
      </c>
      <c r="FZ42" s="12">
        <f>IF('Données projet'!$A$244&gt;35,FZ41+FY42-GH41,IF(A42&lt;'Données projet'!$A$244,$FW$205^A42,IF(A42='Données projet'!$A$244,'Données projet'!$B$244,FZ41+FY42-GH41)))</f>
        <v>174.28571428571422</v>
      </c>
      <c r="GA42" s="17">
        <f>FZ42*VLOOKUP('Données projet'!$B$17,Paramètres!$A$1:$I$89,3,0)*VLOOKUP('Données projet'!$B$17,Paramètres!$A$1:$I$89,5,0)</f>
        <v>135.94285714285709</v>
      </c>
      <c r="GB42" s="13">
        <f t="shared" si="49"/>
        <v>35.365986273808367</v>
      </c>
      <c r="GC42" s="20">
        <f t="shared" si="25"/>
        <v>298.36290228402567</v>
      </c>
      <c r="GD42" s="59">
        <f t="shared" si="26"/>
        <v>569.92398558304262</v>
      </c>
      <c r="GE42" s="59">
        <f ca="1">AVERAGE(OFFSET($GD$3,0,0,'Données projet'!$E$17+1,1))-AVERAGE(OFFSET($H$3,0,0,'Données projet'!$E$17+1,1))</f>
        <v>301.74744407733351</v>
      </c>
      <c r="GF42" s="59">
        <f t="shared" si="50"/>
        <v>292.46787700966991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10.056396179235101</v>
      </c>
      <c r="GM42" s="21">
        <f>EXP(-LN(2)/25)*GM41+(1-EXP(-LN(2)/25))/(LN(2)/25)*Calculateur!GH42*Calculateur!GJ42*VLOOKUP('Données projet'!$B$17,Paramètres!$A$1:$I$89,3,0)*0.475*44/12</f>
        <v>0</v>
      </c>
      <c r="GN42" s="21">
        <f>EXP(-LN(2)/2)*GN41+(1-EXP(-LN(2)/2))/(LN(2)/2)*GH42*GK42*VLOOKUP('Données projet'!$B$17,Paramètres!$A$1:$I$89,3,0)*0.475*44/12</f>
        <v>0</v>
      </c>
      <c r="GO42" s="21">
        <f t="shared" si="27"/>
        <v>10.056396179235101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64.062113627004635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13.2</v>
      </c>
      <c r="GU42" s="12">
        <f>IF('Données projet'!$A$270&gt;35,GU41+GT42-HC41,IF(A42&lt;'Données projet'!$A$270,$GR$205^A42,IF(A42='Données projet'!$A$270,'Données projet'!$B$270,GU41+GT42-HC41)))</f>
        <v>249.79999999999995</v>
      </c>
      <c r="GV42" s="17">
        <f>GU42*VLOOKUP('Données projet'!$B$18,Paramètres!$A$1:$I$89,3,0)*VLOOKUP('Données projet'!$B$18,Paramètres!$A$1:$I$89,5,0)</f>
        <v>148.08143999999996</v>
      </c>
      <c r="GW42" s="13">
        <f t="shared" si="51"/>
        <v>38.142259862317204</v>
      </c>
      <c r="GX42" s="20">
        <f t="shared" si="28"/>
        <v>324.33961059353572</v>
      </c>
      <c r="GY42" s="59">
        <f t="shared" si="29"/>
        <v>595.90069389255268</v>
      </c>
      <c r="GZ42" s="59">
        <f ca="1">AVERAGE(OFFSET($GY$3,0,0,'Données projet'!$E$18+1,1))-AVERAGE(OFFSET($H$3,0,0,'Données projet'!$E$18+1,1))</f>
        <v>322.78672881269978</v>
      </c>
      <c r="HA42" s="59">
        <f t="shared" si="52"/>
        <v>313.08736327626434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5.8149012063307284</v>
      </c>
      <c r="HH42" s="21">
        <f>EXP(-LN(2)/25)*HH41+(1-EXP(-LN(2)/25))/(LN(2)/25)*Calculateur!HC42*Calculateur!HE42*VLOOKUP('Données projet'!$B$18,Paramètres!$A$1:$I$89,3,0)*0.475*44/12</f>
        <v>0</v>
      </c>
      <c r="HI42" s="21">
        <f>EXP(-LN(2)/2)*HI41+(1-EXP(-LN(2)/2))/(LN(2)/2)*HC42*HF42*VLOOKUP('Données projet'!$B$18,Paramètres!$A$1:$I$89,3,0)*0.475*44/12</f>
        <v>0</v>
      </c>
      <c r="HJ42" s="22">
        <f t="shared" si="30"/>
        <v>5.8149012063307284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2.3499999999999996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8.6166666666666654</v>
      </c>
      <c r="H43" s="67">
        <f t="shared" si="1"/>
        <v>222.20000000000002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64.165122680450935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175</v>
      </c>
      <c r="L43" s="12">
        <f>VLOOKUP(A43,'Données projet'!$A$35:$I$55,9,0)</f>
        <v>11.2</v>
      </c>
      <c r="M43" s="12">
        <f t="array" ref="M43">INDEX(L:L,MIN(IF(ISNUMBER(L43:L239),ROW(L43:L239),"")))</f>
        <v>11.2</v>
      </c>
      <c r="N43" s="13">
        <f>IF('Données projet'!$A$36&gt;35,N42+M43-V42,IF(A43&lt;'Données projet'!$A$36,$K$205^A43,IF(A43='Données projet'!$A$36,'Données projet'!$B$36,N42+M43-V42)))</f>
        <v>174.99999999999994</v>
      </c>
      <c r="O43" s="13">
        <f>N43*VLOOKUP('Données projet'!$B$9,Paramètres!$A$1:$I$89,3,0)*VLOOKUP('Données projet'!$B$9,Paramètres!$A$1:$I$89,5,0)</f>
        <v>158.33999999999995</v>
      </c>
      <c r="P43" s="13">
        <f t="shared" si="33"/>
        <v>40.467870812652784</v>
      </c>
      <c r="Q43" s="20">
        <f t="shared" si="53"/>
        <v>346.2570416653702</v>
      </c>
      <c r="R43" s="59">
        <f t="shared" si="0"/>
        <v>618.19582482702367</v>
      </c>
      <c r="S43" s="59">
        <f ca="1">AVERAGE(OFFSET($R$3,0,0,'Données projet'!$E$9+1,1))-AVERAGE(OFFSET($H$3,0,0,'Données projet'!$E$9+1,1))</f>
        <v>473.88815717313474</v>
      </c>
      <c r="T43" s="59">
        <f t="shared" si="34"/>
        <v>287.19790203552895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28</v>
      </c>
      <c r="W43" s="16">
        <f>IF(ISNA(VLOOKUP(A43,'Données projet'!$A$35:$I$55,5,0)),0%,VLOOKUP(A43,'Données projet'!$A$35:$I$55,5,0)*VLOOKUP('Données projet'!$B$9,Paramètres!$A$1:$I$89,7,0))</f>
        <v>8.6000000000000007E-2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2.4085528753586032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2.4085528753586032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64.165122680450935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175</v>
      </c>
      <c r="AG43" s="12">
        <f>VLOOKUP(A43,'Données projet'!$A$61:$I$81,9,0)</f>
        <v>11.2</v>
      </c>
      <c r="AH43" s="12">
        <f t="array" ref="AH43">INDEX(AG:AG,MIN(IF(ISNUMBER(AG43:AG239),ROW(AG43:AG239),"")))</f>
        <v>11.2</v>
      </c>
      <c r="AI43" s="13">
        <f>IF('Données projet'!$A$62&gt;35,AI42+AH43-AQ42,IF(A43&lt;'Données projet'!$A$62,$AF$205^A43,IF(A43='Données projet'!$A$62,'Données projet'!$B$62,AI42+AH43-AQ42)))</f>
        <v>174.99999999999994</v>
      </c>
      <c r="AJ43" s="13">
        <f>AI43*VLOOKUP('Données projet'!$B$10,Paramètres!$A$1:$I$89,3,0)*VLOOKUP('Données projet'!$B$10,Paramètres!$A$1:$I$89,5,0)</f>
        <v>147.41999999999996</v>
      </c>
      <c r="AK43" s="13">
        <f t="shared" si="35"/>
        <v>37.991680647570291</v>
      </c>
      <c r="AL43" s="20">
        <f t="shared" si="4"/>
        <v>322.9253437945182</v>
      </c>
      <c r="AM43" s="59">
        <f t="shared" si="5"/>
        <v>594.86412695617162</v>
      </c>
      <c r="AN43" s="59">
        <f ca="1">AVERAGE(OFFSET($AM$3,0,0,'Données projet'!$E$10+1,1))-AVERAGE(OFFSET($H$3,0,0,'Données projet'!$E$10+1,1))</f>
        <v>445.19118535527258</v>
      </c>
      <c r="AO43" s="59">
        <f t="shared" si="36"/>
        <v>270.93483242839363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28</v>
      </c>
      <c r="AR43" s="16">
        <f>IF(ISNA(VLOOKUP(A43,'Données projet'!$A$61:$I$81,5,0)),0%,VLOOKUP(A43,'Données projet'!$A$61:$I$81,5,0)*VLOOKUP('Données projet'!$B$10,Paramètres!$A$1:$I$89,7,0))</f>
        <v>8.6000000000000007E-2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2.2424457805062863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2.2424457805062863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64.165122680450935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175</v>
      </c>
      <c r="BB43" s="12">
        <f>VLOOKUP(A43,'Données projet'!$A$87:$I$107,9,0)</f>
        <v>11.2</v>
      </c>
      <c r="BC43" s="12">
        <f t="array" ref="BC43">INDEX(BB:BB,MIN(IF(ISNUMBER(BB43:BB239),ROW(BB43:BB239),"")))</f>
        <v>11.2</v>
      </c>
      <c r="BD43" s="12">
        <f>IF('Données projet'!$A$88&gt;35,BD42+BC43-BL42,IF(A43&lt;'Données projet'!$A$88,$BA$205^A43,IF(A43='Données projet'!$A$88,'Données projet'!$B$88,BD42+BC43-BL42)))</f>
        <v>174.99999999999994</v>
      </c>
      <c r="BE43" s="13">
        <f>BD43*VLOOKUP('Données projet'!$B$11,Paramètres!$A$1:$I$89,3,0)*VLOOKUP('Données projet'!$B$11,Paramètres!$A$1:$I$89,5,0)</f>
        <v>177.44999999999996</v>
      </c>
      <c r="BF43" s="13">
        <f t="shared" si="37"/>
        <v>44.754387900936791</v>
      </c>
      <c r="BG43" s="20">
        <f t="shared" si="7"/>
        <v>387.00597559413154</v>
      </c>
      <c r="BH43" s="59">
        <f t="shared" si="8"/>
        <v>658.94475875578496</v>
      </c>
      <c r="BI43" s="59">
        <f ca="1">AVERAGE(OFFSET($BH$3,0,0,'Données projet'!$E$11+1,1))-AVERAGE(OFFSET($H$3,0,0,'Données projet'!$E$11+1,1))</f>
        <v>524.01140973345832</v>
      </c>
      <c r="BJ43" s="59">
        <f t="shared" si="38"/>
        <v>315.59942237999621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28</v>
      </c>
      <c r="BM43" s="16">
        <f>IF(ISNA(VLOOKUP(A43,'Données projet'!$A$87:$I$107,5,0)),0%,VLOOKUP(A43,'Données projet'!$A$87:$I$107,5,0)*VLOOKUP('Données projet'!$B$11,Paramètres!$A$1:$I$89,7,0))</f>
        <v>8.6000000000000007E-2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2.6992402913501592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2.6992402913501592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64.165122680450935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263</v>
      </c>
      <c r="BW43" s="12">
        <f>VLOOKUP(A43,'Données projet'!$A$113:$I$133,9,0)</f>
        <v>13.2</v>
      </c>
      <c r="BX43" s="12">
        <f t="array" ref="BX43">INDEX(BW:BW,MIN(IF(ISNUMBER(BW43:BW239),ROW(BW43:BW239),"")))</f>
        <v>13.2</v>
      </c>
      <c r="BY43" s="12">
        <f>IF('Données projet'!$A$114&gt;35,BY42+BX43-CG42,IF(A43&lt;'Données projet'!$A$114,$BV$205^A43,IF(A43='Données projet'!$A$114,'Données projet'!$B$114,BY42+BX43-CG42)))</f>
        <v>262.99999999999994</v>
      </c>
      <c r="BZ43" s="13">
        <f>BY43*VLOOKUP('Données projet'!$B$12,Paramètres!$A$1:$I$89,3,0)*VLOOKUP('Données projet'!$B$12,Paramètres!$A$1:$I$89,5,0)</f>
        <v>176.42039999999997</v>
      </c>
      <c r="CA43" s="13">
        <f t="shared" si="39"/>
        <v>44.5248624718784</v>
      </c>
      <c r="CB43" s="20">
        <f t="shared" si="10"/>
        <v>384.81299880518822</v>
      </c>
      <c r="CC43" s="59">
        <f t="shared" si="11"/>
        <v>656.75178196684169</v>
      </c>
      <c r="CD43" s="59">
        <f ca="1">AVERAGE(OFFSET($CC$3,0,0,'Données projet'!$E$12+1,1))-AVERAGE(OFFSET($H$3,0,0,'Données projet'!$E$12+1,1))</f>
        <v>358.95222991910504</v>
      </c>
      <c r="CE43" s="59">
        <f t="shared" si="40"/>
        <v>347.37506646970905</v>
      </c>
      <c r="CF43" s="15">
        <f>IF(ISNA(VLOOKUP(A43,'Données projet'!$A$113:$I$133,3,0)),0,VLOOKUP(A43,'Données projet'!$A$113:$I$133,3,0))</f>
        <v>7</v>
      </c>
      <c r="CG43" s="15">
        <f>IF(ISNA(VLOOKUP(A43,'Données projet'!$A$113:$I$133,4,0)),0,VLOOKUP(A43,'Données projet'!$A$113:$I$133,4,0))</f>
        <v>40</v>
      </c>
      <c r="CH43" s="16">
        <f>IF(ISNA(VLOOKUP(A43,'Données projet'!$A$113:$I$133,5,0)),0%,VLOOKUP(A43,'Données projet'!$A$113:$I$133,5,0)*VLOOKUP('Données projet'!$B$12,Paramètres!$A$1:$I$89,7,0))</f>
        <v>0.159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10.414629171400623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10.414629171400623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64.165122680450935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263</v>
      </c>
      <c r="CR43" s="12">
        <f>VLOOKUP(A43,'Données projet'!$A$139:$I$159,9,0)</f>
        <v>13.2</v>
      </c>
      <c r="CS43" s="12">
        <f t="array" ref="CS43">INDEX(CR:CR,MIN(IF(ISNUMBER(CR43:CR239),ROW(CR43:CR239),"")))</f>
        <v>13.2</v>
      </c>
      <c r="CT43" s="12">
        <f>IF('Données projet'!$A$140&gt;35,CT42+CS43-DB42,IF(A43&lt;'Données projet'!$A$140,$CQ$205^A43,IF(A43='Données projet'!$A$140,'Données projet'!$B$140,CT42+CS43-DB42)))</f>
        <v>262.99999999999994</v>
      </c>
      <c r="CU43" s="17">
        <f>CT43*VLOOKUP('Données projet'!$B$13,Paramètres!$A$1:$I$89,3,0)*VLOOKUP('Données projet'!$B$13,Paramètres!$A$1:$I$89,5,0)</f>
        <v>172.31759999999994</v>
      </c>
      <c r="CV43" s="13">
        <f t="shared" si="41"/>
        <v>43.608679117600254</v>
      </c>
      <c r="CW43" s="20">
        <f t="shared" si="13"/>
        <v>376.07160279648701</v>
      </c>
      <c r="CX43" s="59">
        <f t="shared" si="14"/>
        <v>648.01038595814043</v>
      </c>
      <c r="CY43" s="59">
        <f ca="1">AVERAGE(OFFSET($CX$3,0,0,'Données projet'!$E$13+1,1))-AVERAGE(OFFSET($H$3,0,0,'Données projet'!$E$13+1,1))</f>
        <v>351.7266381615546</v>
      </c>
      <c r="CZ43" s="59">
        <f t="shared" si="42"/>
        <v>340.52483243761799</v>
      </c>
      <c r="DA43" s="15">
        <f>IF(ISNA(VLOOKUP(A43,'Données projet'!$A$139:$I$159,3,0)),0,VLOOKUP(A43,'Données projet'!$A$139:$I$159,3,0))</f>
        <v>7</v>
      </c>
      <c r="DB43" s="15">
        <f>IF(ISNA(VLOOKUP(A43,'Données projet'!$A$139:$I$159,4,0)),0,VLOOKUP(A43,'Données projet'!$A$139:$I$159,4,0))</f>
        <v>40</v>
      </c>
      <c r="DC43" s="16">
        <f>IF(ISNA(VLOOKUP(A43,'Données projet'!$A$139:$I$159,5,0)),0%,VLOOKUP(A43,'Données projet'!$A$139:$I$159,5,0)*VLOOKUP('Données projet'!$B$13,Paramètres!$A$1:$I$89,7,0))</f>
        <v>0.17200000000000001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19.212398783010521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19.212398783010521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64.165122680450935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207</v>
      </c>
      <c r="DM43" s="12">
        <f>VLOOKUP(A43,'Données projet'!$A$165:$I$185,9,0)</f>
        <v>13.4</v>
      </c>
      <c r="DN43" s="12">
        <f t="array" ref="DN43">INDEX(DM:DM,MIN(IF(ISNUMBER(DM43:DM239),ROW(DM43:DM239),"")))</f>
        <v>13.4</v>
      </c>
      <c r="DO43" s="12">
        <f>IF('Données projet'!$A$166&gt;35,DO42+DN43-DW42,IF(A43&lt;'Données projet'!$A$166,$DL$205^A43,IF(A43='Données projet'!$A$166,'Données projet'!$B$166,DO42+DN43-DW42)))</f>
        <v>207.00000000000009</v>
      </c>
      <c r="DP43" s="17">
        <f>DO43*VLOOKUP('Données projet'!$B$14,Paramètres!$A$1:$I$89,3,0)*VLOOKUP('Données projet'!$B$14,Paramètres!$A$1:$I$89,5,0)</f>
        <v>177.60600000000008</v>
      </c>
      <c r="DQ43" s="13">
        <f t="shared" si="43"/>
        <v>44.789150937858665</v>
      </c>
      <c r="DR43" s="20">
        <f t="shared" si="16"/>
        <v>387.33822121677059</v>
      </c>
      <c r="DS43" s="59">
        <f t="shared" si="17"/>
        <v>659.27700437842395</v>
      </c>
      <c r="DT43" s="59">
        <f ca="1">AVERAGE(OFFSET($DS$3,0,0,'Données projet'!$E$14+1,1))-AVERAGE(OFFSET($H$3,0,0,'Données projet'!$E$14+1,1))</f>
        <v>569.21675741362196</v>
      </c>
      <c r="DU43" s="59">
        <f t="shared" si="44"/>
        <v>321.12410801891679</v>
      </c>
      <c r="DV43" s="15">
        <f>IF(ISNA(VLOOKUP(A43,'Données projet'!$A$165:$I$185,3,0)),0,VLOOKUP(A43,'Données projet'!$A$165:$I$185,3,0))</f>
        <v>5</v>
      </c>
      <c r="DW43" s="15">
        <f>IF(ISNA(VLOOKUP(A43,'Données projet'!$A$165:$I$185,4,0)),0,VLOOKUP(A43,'Données projet'!$A$165:$I$185,4,0))</f>
        <v>35</v>
      </c>
      <c r="DX43" s="16">
        <f>IF(ISNA(VLOOKUP(A43,'Données projet'!$A$165:$I$185,5,0)),0%,VLOOKUP(A43,'Données projet'!$A$165:$I$185,5,0)*VLOOKUP('Données projet'!$B$14,Paramètres!$A$1:$I$89,7,0))</f>
        <v>0.10600000000000001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3.5189112027216969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3.5189112027216969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64.165122680450935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263</v>
      </c>
      <c r="EH43" s="12">
        <f>VLOOKUP(A43,'Données projet'!$A$191:$I$211,9,0)</f>
        <v>13.2</v>
      </c>
      <c r="EI43" s="12">
        <f t="array" ref="EI43">INDEX(EH:EH,MIN(IF(ISNUMBER(EH43:EH239),ROW(EH43:EH239),"")))</f>
        <v>13.2</v>
      </c>
      <c r="EJ43" s="12">
        <f>IF('Données projet'!$A$192&gt;35,EJ42+EI43-ER42,IF(A43&lt;'Données projet'!$A$192,$EG$205^A43,IF(A43='Données projet'!$A$192,'Données projet'!$B$192,EJ42+EI43-ER42)))</f>
        <v>262.99999999999994</v>
      </c>
      <c r="EK43" s="17">
        <f>EJ43*VLOOKUP('Données projet'!$B$15,Paramètres!$A$1:$I$89,3,0)*VLOOKUP('Données projet'!$B$15,Paramètres!$A$1:$I$89,5,0)</f>
        <v>209.24279999999996</v>
      </c>
      <c r="EL43" s="13">
        <f t="shared" si="45"/>
        <v>51.770083677016814</v>
      </c>
      <c r="EM43" s="20">
        <f t="shared" si="19"/>
        <v>454.59743907080411</v>
      </c>
      <c r="EN43" s="59">
        <f t="shared" si="20"/>
        <v>726.53622223245748</v>
      </c>
      <c r="EO43" s="59">
        <f ca="1">AVERAGE(OFFSET($EN$3,0,0,'Données projet'!$E$15+1,1))-AVERAGE(OFFSET($H$3,0,0,'Données projet'!$E$15+1,1))</f>
        <v>416.63597645452791</v>
      </c>
      <c r="EP43" s="59">
        <f t="shared" si="46"/>
        <v>402.05920382353497</v>
      </c>
      <c r="EQ43" s="15">
        <f>IF(ISNA(VLOOKUP(A43,'Données projet'!$A$191:$I$211,3,0)),0,VLOOKUP(A43,'Données projet'!$A$191:$I$211,3,0))</f>
        <v>7</v>
      </c>
      <c r="ER43" s="15">
        <f>IF(ISNA(VLOOKUP(A43,'Données projet'!$A$191:$I$211,4,0)),0,VLOOKUP(A43,'Données projet'!$A$191:$I$211,4,0))</f>
        <v>40</v>
      </c>
      <c r="ES43" s="16">
        <f>IF(ISNA(VLOOKUP(A43,'Données projet'!$A$191:$I$211,5,0)),0%,VLOOKUP(A43,'Données projet'!$A$191:$I$211,5,0)*VLOOKUP('Données projet'!$B$15,Paramètres!$A$1:$I$89,7,0))</f>
        <v>0.21200000000000002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28.75476960713036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28.75476960713036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64.165122680450935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228</v>
      </c>
      <c r="FC43" s="12">
        <f>VLOOKUP(A43,'Données projet'!$A$217:$I$237,9,0)</f>
        <v>11.4</v>
      </c>
      <c r="FD43" s="12">
        <f t="array" ref="FD43">INDEX(FC:FC,MIN(IF(ISNUMBER(FC43:FC239),ROW(FC43:FC239),"")))</f>
        <v>11.4</v>
      </c>
      <c r="FE43" s="12">
        <f>IF('Données projet'!$A$218&gt;35,FE42+FD43-FM42,IF(A43&lt;'Données projet'!$A$218,$FB$205^A43,IF(A43='Données projet'!$A$218,'Données projet'!$B$218,FE42+FD43-FM42)))</f>
        <v>228</v>
      </c>
      <c r="FF43" s="17">
        <f>FE43*VLOOKUP('Données projet'!$B$16,Paramètres!$A$1:$I$89,3,0)*VLOOKUP('Données projet'!$B$16,Paramètres!$A$1:$I$89,5,0)</f>
        <v>199.1808</v>
      </c>
      <c r="FG43" s="13">
        <f t="shared" si="47"/>
        <v>49.564089376413683</v>
      </c>
      <c r="FH43" s="20">
        <f t="shared" si="22"/>
        <v>433.23068233058711</v>
      </c>
      <c r="FI43" s="59">
        <f t="shared" si="23"/>
        <v>705.16946549224053</v>
      </c>
      <c r="FJ43" s="59">
        <f ca="1">AVERAGE(OFFSET($FI$3,0,0,'Données projet'!$E$16+1,1))-AVERAGE(OFFSET($H$3,0,0,'Données projet'!$E$16+1,1))</f>
        <v>395.57130469647603</v>
      </c>
      <c r="FK43" s="59">
        <f t="shared" si="48"/>
        <v>383.97542781562674</v>
      </c>
      <c r="FL43" s="15">
        <f>IF(ISNA(VLOOKUP(A43,'Données projet'!$A$217:$I$237,3,0)),0,VLOOKUP(A43,'Données projet'!$A$217:$I$237,3,0))</f>
        <v>7</v>
      </c>
      <c r="FM43" s="15">
        <f>IF(ISNA(VLOOKUP(A43,'Données projet'!$A$217:$I$237,4,0)),0,VLOOKUP(A43,'Données projet'!$A$217:$I$237,4,0))</f>
        <v>35</v>
      </c>
      <c r="FN43" s="16">
        <f>IF(ISNA(VLOOKUP(A43,'Données projet'!$A$217:$I$237,5,0)),0%,VLOOKUP(A43,'Données projet'!$A$217:$I$237,5,0)*VLOOKUP('Données projet'!$B$16,Paramètres!$A$1:$I$89,7,0))</f>
        <v>0.21200000000000002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26.465599061328252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26.465599061328252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64.165122680450935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11.142857142857142</v>
      </c>
      <c r="FZ43" s="12">
        <f>IF('Données projet'!$A$244&gt;35,FZ42+FY43-GH42,IF(A43&lt;'Données projet'!$A$244,$FW$205^A43,IF(A43='Données projet'!$A$244,'Données projet'!$B$244,FZ42+FY43-GH42)))</f>
        <v>185.42857142857136</v>
      </c>
      <c r="GA43" s="17">
        <f>FZ43*VLOOKUP('Données projet'!$B$17,Paramètres!$A$1:$I$89,3,0)*VLOOKUP('Données projet'!$B$17,Paramètres!$A$1:$I$89,5,0)</f>
        <v>144.63428571428565</v>
      </c>
      <c r="GB43" s="13">
        <f t="shared" si="49"/>
        <v>37.356634728420524</v>
      </c>
      <c r="GC43" s="20">
        <f t="shared" si="25"/>
        <v>316.96751977104657</v>
      </c>
      <c r="GD43" s="59">
        <f t="shared" si="26"/>
        <v>588.90630293269999</v>
      </c>
      <c r="GE43" s="59">
        <f ca="1">AVERAGE(OFFSET($GD$3,0,0,'Données projet'!$E$17+1,1))-AVERAGE(OFFSET($H$3,0,0,'Données projet'!$E$17+1,1))</f>
        <v>301.74744407733351</v>
      </c>
      <c r="GF43" s="59">
        <f t="shared" si="50"/>
        <v>292.46787700966991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9.8591963839563075</v>
      </c>
      <c r="GM43" s="21">
        <f>EXP(-LN(2)/25)*GM42+(1-EXP(-LN(2)/25))/(LN(2)/25)*Calculateur!GH43*Calculateur!GJ43*VLOOKUP('Données projet'!$B$17,Paramètres!$A$1:$I$89,3,0)*0.475*44/12</f>
        <v>0</v>
      </c>
      <c r="GN43" s="21">
        <f>EXP(-LN(2)/2)*GN42+(1-EXP(-LN(2)/2))/(LN(2)/2)*GH43*GK43*VLOOKUP('Données projet'!$B$17,Paramètres!$A$1:$I$89,3,0)*0.475*44/12</f>
        <v>0</v>
      </c>
      <c r="GO43" s="21">
        <f t="shared" si="27"/>
        <v>9.8591963839563075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64.165122680450935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>
        <f>VLOOKUP(A43,'Données projet'!$A$269:$I$289,2,0)</f>
        <v>263</v>
      </c>
      <c r="GS43" s="12">
        <f>VLOOKUP(A43,'Données projet'!$A$269:$I$289,9,0)</f>
        <v>13.2</v>
      </c>
      <c r="GT43" s="12">
        <f t="array" ref="GT43">INDEX(GS:GS,MIN(IF(ISNUMBER(GS43:GS239),ROW(GS43:GS239),"")))</f>
        <v>13.2</v>
      </c>
      <c r="GU43" s="12">
        <f>IF('Données projet'!$A$270&gt;35,GU42+GT43-HC42,IF(A43&lt;'Données projet'!$A$270,$GR$205^A43,IF(A43='Données projet'!$A$270,'Données projet'!$B$270,GU42+GT43-HC42)))</f>
        <v>262.99999999999994</v>
      </c>
      <c r="GV43" s="17">
        <f>GU43*VLOOKUP('Données projet'!$B$18,Paramètres!$A$1:$I$89,3,0)*VLOOKUP('Données projet'!$B$18,Paramètres!$A$1:$I$89,5,0)</f>
        <v>155.90639999999999</v>
      </c>
      <c r="GW43" s="13">
        <f t="shared" si="51"/>
        <v>39.917804358618625</v>
      </c>
      <c r="GX43" s="20">
        <f t="shared" si="28"/>
        <v>341.06048925792737</v>
      </c>
      <c r="GY43" s="59">
        <f t="shared" si="29"/>
        <v>612.99927241958085</v>
      </c>
      <c r="GZ43" s="59">
        <f ca="1">AVERAGE(OFFSET($GY$3,0,0,'Données projet'!$E$18+1,1))-AVERAGE(OFFSET($H$3,0,0,'Données projet'!$E$18+1,1))</f>
        <v>322.78672881269978</v>
      </c>
      <c r="HA43" s="59">
        <f t="shared" si="52"/>
        <v>313.08736327626434</v>
      </c>
      <c r="HB43" s="15">
        <f>IF(ISNA(VLOOKUP(A43,'Données projet'!$A$269:$I$289,3,0)),0,VLOOKUP(A43,'Données projet'!$A$269:$I$289,3,0))</f>
        <v>7</v>
      </c>
      <c r="HC43" s="15">
        <f>IF(ISNA(VLOOKUP(A43,'Données projet'!$A$269:$I$289,4,0)),0,VLOOKUP(A43,'Données projet'!$A$269:$I$289,4,0))</f>
        <v>40</v>
      </c>
      <c r="HD43" s="16">
        <f>IF(ISNA(VLOOKUP(A43,'Données projet'!$A$269:$I$289,5,0)),0%,VLOOKUP(A43,'Données projet'!$A$269:$I$289,5,0)*VLOOKUP('Données projet'!$B$18,Paramètres!$A$1:$I$89,7,0))</f>
        <v>0.18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>
        <f>EXP(-LN(2)/35)*HG42+(1-EXP(-LN(2)/35))/(LN(2)/35)*HC43*HD43*VLOOKUP('Données projet'!$B$18,Paramètres!$A$1:$I$89,3,0)*0.475*44/12</f>
        <v>10.419198995521464</v>
      </c>
      <c r="HH43" s="21">
        <f>EXP(-LN(2)/25)*HH42+(1-EXP(-LN(2)/25))/(LN(2)/25)*Calculateur!HC43*Calculateur!HE43*VLOOKUP('Données projet'!$B$18,Paramètres!$A$1:$I$89,3,0)*0.475*44/12</f>
        <v>0</v>
      </c>
      <c r="HI43" s="21">
        <f>EXP(-LN(2)/2)*HI42+(1-EXP(-LN(2)/2))/(LN(2)/2)*HC43*HF43*VLOOKUP('Données projet'!$B$18,Paramètres!$A$1:$I$89,3,0)*0.475*44/12</f>
        <v>0</v>
      </c>
      <c r="HJ43" s="22">
        <f t="shared" si="30"/>
        <v>10.419198995521464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2.3499999999999996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8.6166666666666654</v>
      </c>
      <c r="H44" s="67">
        <f t="shared" si="1"/>
        <v>222.20000000000002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64.266344757113686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11.4</v>
      </c>
      <c r="N44" s="13">
        <f>IF('Données projet'!$A$36&gt;35,N43+M44-V43,IF(A44&lt;'Données projet'!$A$36,$K$205^A44,IF(A44='Données projet'!$A$36,'Données projet'!$B$36,N43+M44-V43)))</f>
        <v>158.39999999999995</v>
      </c>
      <c r="O44" s="13">
        <f>N44*VLOOKUP('Données projet'!$B$9,Paramètres!$A$1:$I$89,3,0)*VLOOKUP('Données projet'!$B$9,Paramètres!$A$1:$I$89,5,0)</f>
        <v>143.32031999999992</v>
      </c>
      <c r="P44" s="13">
        <f t="shared" si="33"/>
        <v>37.056603420232349</v>
      </c>
      <c r="Q44" s="20">
        <f t="shared" si="53"/>
        <v>314.15647495690456</v>
      </c>
      <c r="R44" s="59">
        <f t="shared" si="0"/>
        <v>586.46640573298805</v>
      </c>
      <c r="S44" s="59">
        <f ca="1">AVERAGE(OFFSET($R$3,0,0,'Données projet'!$E$9+1,1))-AVERAGE(OFFSET($H$3,0,0,'Données projet'!$E$9+1,1))</f>
        <v>473.88815717313474</v>
      </c>
      <c r="T44" s="59">
        <f t="shared" si="34"/>
        <v>287.19790203552895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2.3613226225450159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2.3613226225450159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64.266344757113686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11.4</v>
      </c>
      <c r="AI44" s="13">
        <f>IF('Données projet'!$A$62&gt;35,AI43+AH44-AQ43,IF(A44&lt;'Données projet'!$A$62,$AF$205^A44,IF(A44='Données projet'!$A$62,'Données projet'!$B$62,AI43+AH44-AQ43)))</f>
        <v>158.39999999999995</v>
      </c>
      <c r="AJ44" s="13">
        <f>AI44*VLOOKUP('Données projet'!$B$10,Paramètres!$A$1:$I$89,3,0)*VLOOKUP('Données projet'!$B$10,Paramètres!$A$1:$I$89,5,0)</f>
        <v>133.43615999999997</v>
      </c>
      <c r="AK44" s="13">
        <f t="shared" si="35"/>
        <v>34.789145432008958</v>
      </c>
      <c r="AL44" s="20">
        <f t="shared" si="4"/>
        <v>292.99240696074884</v>
      </c>
      <c r="AM44" s="59">
        <f t="shared" si="5"/>
        <v>565.30233773683233</v>
      </c>
      <c r="AN44" s="59">
        <f ca="1">AVERAGE(OFFSET($AM$3,0,0,'Données projet'!$E$10+1,1))-AVERAGE(OFFSET($H$3,0,0,'Données projet'!$E$10+1,1))</f>
        <v>445.19118535527258</v>
      </c>
      <c r="AO44" s="59">
        <f t="shared" si="36"/>
        <v>270.93483242839363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2.1984727865074292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2.1984727865074292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64.266344757113686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11.4</v>
      </c>
      <c r="BD44" s="12">
        <f>IF('Données projet'!$A$88&gt;35,BD43+BC44-BL43,IF(A44&lt;'Données projet'!$A$88,$BA$205^A44,IF(A44='Données projet'!$A$88,'Données projet'!$B$88,BD43+BC44-BL43)))</f>
        <v>158.39999999999995</v>
      </c>
      <c r="BE44" s="13">
        <f>BD44*VLOOKUP('Données projet'!$B$11,Paramètres!$A$1:$I$89,3,0)*VLOOKUP('Données projet'!$B$11,Paramètres!$A$1:$I$89,5,0)</f>
        <v>160.61759999999995</v>
      </c>
      <c r="BF44" s="13">
        <f t="shared" si="37"/>
        <v>40.981785561145074</v>
      </c>
      <c r="BG44" s="20">
        <f t="shared" si="7"/>
        <v>351.11892985232754</v>
      </c>
      <c r="BH44" s="59">
        <f t="shared" si="8"/>
        <v>623.42886062841103</v>
      </c>
      <c r="BI44" s="59">
        <f ca="1">AVERAGE(OFFSET($BH$3,0,0,'Données projet'!$E$11+1,1))-AVERAGE(OFFSET($H$3,0,0,'Données projet'!$E$11+1,1))</f>
        <v>524.01140973345832</v>
      </c>
      <c r="BJ44" s="59">
        <f t="shared" si="38"/>
        <v>315.59942237999621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2.6463098356107944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2.6463098356107944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64.266344757113686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11.4</v>
      </c>
      <c r="BY44" s="12">
        <f>IF('Données projet'!$A$114&gt;35,BY43+BX44-CG43,IF(A44&lt;'Données projet'!$A$114,$BV$205^A44,IF(A44='Données projet'!$A$114,'Données projet'!$B$114,BY43+BX44-CG43)))</f>
        <v>234.39999999999992</v>
      </c>
      <c r="BZ44" s="13">
        <f>BY44*VLOOKUP('Données projet'!$B$12,Paramètres!$A$1:$I$89,3,0)*VLOOKUP('Données projet'!$B$12,Paramètres!$A$1:$I$89,5,0)</f>
        <v>157.23551999999995</v>
      </c>
      <c r="CA44" s="13">
        <f t="shared" si="39"/>
        <v>40.218348142057707</v>
      </c>
      <c r="CB44" s="20">
        <f t="shared" si="10"/>
        <v>343.89882034741709</v>
      </c>
      <c r="CC44" s="59">
        <f t="shared" si="11"/>
        <v>616.20875112350063</v>
      </c>
      <c r="CD44" s="59">
        <f ca="1">AVERAGE(OFFSET($CC$3,0,0,'Données projet'!$E$12+1,1))-AVERAGE(OFFSET($H$3,0,0,'Données projet'!$E$12+1,1))</f>
        <v>358.95222991910504</v>
      </c>
      <c r="CE44" s="59">
        <f t="shared" si="40"/>
        <v>347.37506646970905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10.210404645646014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10.210404645646014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64.266344757113686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11.4</v>
      </c>
      <c r="CT44" s="12">
        <f>IF('Données projet'!$A$140&gt;35,CT43+CS44-DB43,IF(A44&lt;'Données projet'!$A$140,$CQ$205^A44,IF(A44='Données projet'!$A$140,'Données projet'!$B$140,CT43+CS44-DB43)))</f>
        <v>234.39999999999992</v>
      </c>
      <c r="CU44" s="17">
        <f>CT44*VLOOKUP('Données projet'!$B$13,Paramètres!$A$1:$I$89,3,0)*VLOOKUP('Données projet'!$B$13,Paramètres!$A$1:$I$89,5,0)</f>
        <v>153.57887999999994</v>
      </c>
      <c r="CV44" s="13">
        <f t="shared" si="41"/>
        <v>39.390779474606113</v>
      </c>
      <c r="CW44" s="20">
        <f t="shared" si="13"/>
        <v>336.08882358493884</v>
      </c>
      <c r="CX44" s="59">
        <f t="shared" si="14"/>
        <v>608.39875436102238</v>
      </c>
      <c r="CY44" s="59">
        <f ca="1">AVERAGE(OFFSET($CX$3,0,0,'Données projet'!$E$13+1,1))-AVERAGE(OFFSET($H$3,0,0,'Données projet'!$E$13+1,1))</f>
        <v>351.7266381615546</v>
      </c>
      <c r="CZ44" s="59">
        <f t="shared" si="42"/>
        <v>340.52483243761799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18.835655361281844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18.835655361281844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64.266344757113686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13.8</v>
      </c>
      <c r="DO44" s="12">
        <f>IF('Données projet'!$A$166&gt;35,DO43+DN44-DW43,IF(A44&lt;'Données projet'!$A$166,$DL$205^A44,IF(A44='Données projet'!$A$166,'Données projet'!$B$166,DO43+DN44-DW43)))</f>
        <v>185.8000000000001</v>
      </c>
      <c r="DP44" s="17">
        <f>DO44*VLOOKUP('Données projet'!$B$14,Paramètres!$A$1:$I$89,3,0)*VLOOKUP('Données projet'!$B$14,Paramètres!$A$1:$I$89,5,0)</f>
        <v>159.4164000000001</v>
      </c>
      <c r="DQ44" s="13">
        <f t="shared" si="43"/>
        <v>40.710854816108295</v>
      </c>
      <c r="DR44" s="20">
        <f t="shared" si="16"/>
        <v>348.55496880472214</v>
      </c>
      <c r="DS44" s="59">
        <f t="shared" si="17"/>
        <v>620.86489958080563</v>
      </c>
      <c r="DT44" s="59">
        <f ca="1">AVERAGE(OFFSET($DS$3,0,0,'Données projet'!$E$14+1,1))-AVERAGE(OFFSET($H$3,0,0,'Données projet'!$E$14+1,1))</f>
        <v>569.21675741362196</v>
      </c>
      <c r="DU44" s="59">
        <f t="shared" si="44"/>
        <v>321.12410801891679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3.4499075003602262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3.4499075003602262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64.266344757113686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11.4</v>
      </c>
      <c r="EJ44" s="12">
        <f>IF('Données projet'!$A$192&gt;35,EJ43+EI44-ER43,IF(A44&lt;'Données projet'!$A$192,$EG$205^A44,IF(A44='Données projet'!$A$192,'Données projet'!$B$192,EJ43+EI44-ER43)))</f>
        <v>234.39999999999992</v>
      </c>
      <c r="EK44" s="17">
        <f>EJ44*VLOOKUP('Données projet'!$B$15,Paramètres!$A$1:$I$89,3,0)*VLOOKUP('Données projet'!$B$15,Paramètres!$A$1:$I$89,5,0)</f>
        <v>186.48863999999995</v>
      </c>
      <c r="EL44" s="13">
        <f t="shared" si="45"/>
        <v>46.762800221578807</v>
      </c>
      <c r="EM44" s="20">
        <f t="shared" si="19"/>
        <v>406.24625838591629</v>
      </c>
      <c r="EN44" s="59">
        <f t="shared" si="20"/>
        <v>678.55618916199978</v>
      </c>
      <c r="EO44" s="59">
        <f ca="1">AVERAGE(OFFSET($EN$3,0,0,'Données projet'!$E$15+1,1))-AVERAGE(OFFSET($H$3,0,0,'Données projet'!$E$15+1,1))</f>
        <v>416.63597645452791</v>
      </c>
      <c r="EP44" s="59">
        <f t="shared" si="46"/>
        <v>402.05920382353497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28.190906113812193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28.190906113812193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64.266344757113686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9.8000000000000007</v>
      </c>
      <c r="FE44" s="12">
        <f>IF('Données projet'!$A$218&gt;35,FE43+FD44-FM43,IF(A44&lt;'Données projet'!$A$218,$FB$205^A44,IF(A44='Données projet'!$A$218,'Données projet'!$B$218,FE43+FD44-FM43)))</f>
        <v>202.8</v>
      </c>
      <c r="FF44" s="17">
        <f>FE44*VLOOKUP('Données projet'!$B$16,Paramètres!$A$1:$I$89,3,0)*VLOOKUP('Données projet'!$B$16,Paramètres!$A$1:$I$89,5,0)</f>
        <v>177.16608000000002</v>
      </c>
      <c r="FG44" s="13">
        <f t="shared" si="47"/>
        <v>44.691110042101649</v>
      </c>
      <c r="FH44" s="20">
        <f t="shared" si="22"/>
        <v>386.40127265666041</v>
      </c>
      <c r="FI44" s="59">
        <f t="shared" si="23"/>
        <v>658.7112034327439</v>
      </c>
      <c r="FJ44" s="59">
        <f ca="1">AVERAGE(OFFSET($FI$3,0,0,'Données projet'!$E$16+1,1))-AVERAGE(OFFSET($H$3,0,0,'Données projet'!$E$16+1,1))</f>
        <v>395.57130469647603</v>
      </c>
      <c r="FK44" s="59">
        <f t="shared" si="48"/>
        <v>383.97542781562674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25.9466248061571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25.9466248061571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64.266344757113686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11.142857142857142</v>
      </c>
      <c r="FZ44" s="12">
        <f>IF('Données projet'!$A$244&gt;35,FZ43+FY44-GH43,IF(A44&lt;'Données projet'!$A$244,$FW$205^A44,IF(A44='Données projet'!$A$244,'Données projet'!$B$244,FZ43+FY44-GH43)))</f>
        <v>196.5714285714285</v>
      </c>
      <c r="GA44" s="17">
        <f>FZ44*VLOOKUP('Données projet'!$B$17,Paramètres!$A$1:$I$89,3,0)*VLOOKUP('Données projet'!$B$17,Paramètres!$A$1:$I$89,5,0)</f>
        <v>153.32571428571424</v>
      </c>
      <c r="GB44" s="13">
        <f t="shared" si="49"/>
        <v>39.333398837614155</v>
      </c>
      <c r="GC44" s="20">
        <f t="shared" si="25"/>
        <v>335.5479553564636</v>
      </c>
      <c r="GD44" s="59">
        <f t="shared" si="26"/>
        <v>607.85788613254704</v>
      </c>
      <c r="GE44" s="59">
        <f ca="1">AVERAGE(OFFSET($GD$3,0,0,'Données projet'!$E$17+1,1))-AVERAGE(OFFSET($H$3,0,0,'Données projet'!$E$17+1,1))</f>
        <v>301.74744407733351</v>
      </c>
      <c r="GF44" s="59">
        <f t="shared" si="50"/>
        <v>292.46787700966991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9.6658635563829325</v>
      </c>
      <c r="GM44" s="21">
        <f>EXP(-LN(2)/25)*GM43+(1-EXP(-LN(2)/25))/(LN(2)/25)*Calculateur!GH44*Calculateur!GJ44*VLOOKUP('Données projet'!$B$17,Paramètres!$A$1:$I$89,3,0)*0.475*44/12</f>
        <v>0</v>
      </c>
      <c r="GN44" s="21">
        <f>EXP(-LN(2)/2)*GN43+(1-EXP(-LN(2)/2))/(LN(2)/2)*GH44*GK44*VLOOKUP('Données projet'!$B$17,Paramètres!$A$1:$I$89,3,0)*0.475*44/12</f>
        <v>0</v>
      </c>
      <c r="GO44" s="21">
        <f t="shared" si="27"/>
        <v>9.6658635563829325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64.266344757113686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11.4</v>
      </c>
      <c r="GU44" s="12">
        <f>IF('Données projet'!$A$270&gt;35,GU43+GT44-HC43,IF(A44&lt;'Données projet'!$A$270,$GR$205^A44,IF(A44='Données projet'!$A$270,'Données projet'!$B$270,GU43+GT44-HC43)))</f>
        <v>234.39999999999992</v>
      </c>
      <c r="GV44" s="17">
        <f>GU44*VLOOKUP('Données projet'!$B$18,Paramètres!$A$1:$I$89,3,0)*VLOOKUP('Données projet'!$B$18,Paramètres!$A$1:$I$89,5,0)</f>
        <v>138.95231999999996</v>
      </c>
      <c r="GW44" s="13">
        <f t="shared" si="51"/>
        <v>36.056891894398326</v>
      </c>
      <c r="GX44" s="20">
        <f t="shared" si="28"/>
        <v>304.807710716077</v>
      </c>
      <c r="GY44" s="59">
        <f t="shared" si="29"/>
        <v>577.11764149216049</v>
      </c>
      <c r="GZ44" s="59">
        <f ca="1">AVERAGE(OFFSET($GY$3,0,0,'Données projet'!$E$18+1,1))-AVERAGE(OFFSET($H$3,0,0,'Données projet'!$E$18+1,1))</f>
        <v>322.78672881269978</v>
      </c>
      <c r="HA44" s="59">
        <f t="shared" si="52"/>
        <v>313.08736327626434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10.214884858303163</v>
      </c>
      <c r="HH44" s="21">
        <f>EXP(-LN(2)/25)*HH43+(1-EXP(-LN(2)/25))/(LN(2)/25)*Calculateur!HC44*Calculateur!HE44*VLOOKUP('Données projet'!$B$18,Paramètres!$A$1:$I$89,3,0)*0.475*44/12</f>
        <v>0</v>
      </c>
      <c r="HI44" s="21">
        <f>EXP(-LN(2)/2)*HI43+(1-EXP(-LN(2)/2))/(LN(2)/2)*HC44*HF44*VLOOKUP('Données projet'!$B$18,Paramètres!$A$1:$I$89,3,0)*0.475*44/12</f>
        <v>0</v>
      </c>
      <c r="HJ44" s="22">
        <f t="shared" si="30"/>
        <v>10.214884858303163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2.3499999999999996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8.6166666666666654</v>
      </c>
      <c r="H45" s="67">
        <f t="shared" si="1"/>
        <v>222.20000000000002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64.365810857044991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11.4</v>
      </c>
      <c r="N45" s="13">
        <f>IF('Données projet'!$A$36&gt;35,N44+M45-V44,IF(A45&lt;'Données projet'!$A$36,$K$205^A45,IF(A45='Données projet'!$A$36,'Données projet'!$B$36,N44+M45-V44)))</f>
        <v>169.79999999999995</v>
      </c>
      <c r="O45" s="13">
        <f>N45*VLOOKUP('Données projet'!$B$9,Paramètres!$A$1:$I$89,3,0)*VLOOKUP('Données projet'!$B$9,Paramètres!$A$1:$I$89,5,0)</f>
        <v>153.63503999999995</v>
      </c>
      <c r="P45" s="13">
        <f t="shared" si="33"/>
        <v>39.403506785222667</v>
      </c>
      <c r="Q45" s="20">
        <f t="shared" si="53"/>
        <v>336.20880231759605</v>
      </c>
      <c r="R45" s="59">
        <f t="shared" si="0"/>
        <v>608.883442126761</v>
      </c>
      <c r="S45" s="59">
        <f ca="1">AVERAGE(OFFSET($R$3,0,0,'Données projet'!$E$9+1,1))-AVERAGE(OFFSET($H$3,0,0,'Données projet'!$E$9+1,1))</f>
        <v>473.88815717313474</v>
      </c>
      <c r="T45" s="59">
        <f t="shared" si="34"/>
        <v>287.19790203552895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2.3150185261814937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2.3150185261814937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64.365810857044991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11.4</v>
      </c>
      <c r="AI45" s="13">
        <f>IF('Données projet'!$A$62&gt;35,AI44+AH45-AQ44,IF(A45&lt;'Données projet'!$A$62,$AF$205^A45,IF(A45='Données projet'!$A$62,'Données projet'!$B$62,AI44+AH45-AQ44)))</f>
        <v>169.79999999999995</v>
      </c>
      <c r="AJ45" s="13">
        <f>AI45*VLOOKUP('Données projet'!$B$10,Paramètres!$A$1:$I$89,3,0)*VLOOKUP('Données projet'!$B$10,Paramètres!$A$1:$I$89,5,0)</f>
        <v>143.03951999999998</v>
      </c>
      <c r="AK45" s="13">
        <f t="shared" si="35"/>
        <v>36.992444033168404</v>
      </c>
      <c r="AL45" s="20">
        <f t="shared" si="4"/>
        <v>313.55567069110157</v>
      </c>
      <c r="AM45" s="59">
        <f t="shared" si="5"/>
        <v>586.23031050026657</v>
      </c>
      <c r="AN45" s="59">
        <f ca="1">AVERAGE(OFFSET($AM$3,0,0,'Données projet'!$E$10+1,1))-AVERAGE(OFFSET($H$3,0,0,'Données projet'!$E$10+1,1))</f>
        <v>445.19118535527258</v>
      </c>
      <c r="AO45" s="59">
        <f t="shared" si="36"/>
        <v>270.93483242839363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2.1553620761000118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2.1553620761000118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64.365810857044991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11.4</v>
      </c>
      <c r="BD45" s="12">
        <f>IF('Données projet'!$A$88&gt;35,BD44+BC45-BL44,IF(A45&lt;'Données projet'!$A$88,$BA$205^A45,IF(A45='Données projet'!$A$88,'Données projet'!$B$88,BD44+BC45-BL44)))</f>
        <v>169.79999999999995</v>
      </c>
      <c r="BE45" s="13">
        <f>BD45*VLOOKUP('Données projet'!$B$11,Paramètres!$A$1:$I$89,3,0)*VLOOKUP('Données projet'!$B$11,Paramètres!$A$1:$I$89,5,0)</f>
        <v>172.17719999999997</v>
      </c>
      <c r="BF45" s="13">
        <f t="shared" si="37"/>
        <v>43.577282221917017</v>
      </c>
      <c r="BG45" s="20">
        <f t="shared" si="7"/>
        <v>375.77238986983872</v>
      </c>
      <c r="BH45" s="59">
        <f t="shared" si="8"/>
        <v>648.44702967900366</v>
      </c>
      <c r="BI45" s="59">
        <f ca="1">AVERAGE(OFFSET($BH$3,0,0,'Données projet'!$E$11+1,1))-AVERAGE(OFFSET($H$3,0,0,'Données projet'!$E$11+1,1))</f>
        <v>524.01140973345832</v>
      </c>
      <c r="BJ45" s="59">
        <f t="shared" si="38"/>
        <v>315.59942237999621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2.5944173138240885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2.5944173138240885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64.365810857044991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11.4</v>
      </c>
      <c r="BY45" s="12">
        <f>IF('Données projet'!$A$114&gt;35,BY44+BX45-CG44,IF(A45&lt;'Données projet'!$A$114,$BV$205^A45,IF(A45='Données projet'!$A$114,'Données projet'!$B$114,BY44+BX45-CG44)))</f>
        <v>245.79999999999993</v>
      </c>
      <c r="BZ45" s="13">
        <f>BY45*VLOOKUP('Données projet'!$B$12,Paramètres!$A$1:$I$89,3,0)*VLOOKUP('Données projet'!$B$12,Paramètres!$A$1:$I$89,5,0)</f>
        <v>164.88263999999995</v>
      </c>
      <c r="CA45" s="13">
        <f t="shared" si="39"/>
        <v>41.941874385207427</v>
      </c>
      <c r="CB45" s="20">
        <f t="shared" si="10"/>
        <v>360.21936255423617</v>
      </c>
      <c r="CC45" s="59">
        <f t="shared" si="11"/>
        <v>632.89400236340111</v>
      </c>
      <c r="CD45" s="59">
        <f ca="1">AVERAGE(OFFSET($CC$3,0,0,'Données projet'!$E$12+1,1))-AVERAGE(OFFSET($H$3,0,0,'Données projet'!$E$12+1,1))</f>
        <v>358.95222991910504</v>
      </c>
      <c r="CE45" s="59">
        <f t="shared" si="40"/>
        <v>347.37506646970905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10.010184838276791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10.010184838276791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64.365810857044991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11.4</v>
      </c>
      <c r="CT45" s="12">
        <f>IF('Données projet'!$A$140&gt;35,CT44+CS45-DB44,IF(A45&lt;'Données projet'!$A$140,$CQ$205^A45,IF(A45='Données projet'!$A$140,'Données projet'!$B$140,CT44+CS45-DB44)))</f>
        <v>245.79999999999993</v>
      </c>
      <c r="CU45" s="17">
        <f>CT45*VLOOKUP('Données projet'!$B$13,Paramètres!$A$1:$I$89,3,0)*VLOOKUP('Données projet'!$B$13,Paramètres!$A$1:$I$89,5,0)</f>
        <v>161.04815999999994</v>
      </c>
      <c r="CV45" s="13">
        <f t="shared" si="41"/>
        <v>41.078840901763805</v>
      </c>
      <c r="CW45" s="20">
        <f t="shared" si="13"/>
        <v>352.0378599039052</v>
      </c>
      <c r="CX45" s="59">
        <f t="shared" si="14"/>
        <v>624.7124997130702</v>
      </c>
      <c r="CY45" s="59">
        <f ca="1">AVERAGE(OFFSET($CX$3,0,0,'Données projet'!$E$13+1,1))-AVERAGE(OFFSET($H$3,0,0,'Données projet'!$E$13+1,1))</f>
        <v>351.7266381615546</v>
      </c>
      <c r="CZ45" s="59">
        <f t="shared" si="42"/>
        <v>340.52483243761799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18.466299648262471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18.466299648262471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64.365810857044991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13.8</v>
      </c>
      <c r="DO45" s="12">
        <f>IF('Données projet'!$A$166&gt;35,DO44+DN45-DW44,IF(A45&lt;'Données projet'!$A$166,$DL$205^A45,IF(A45='Données projet'!$A$166,'Données projet'!$B$166,DO44+DN45-DW44)))</f>
        <v>199.60000000000011</v>
      </c>
      <c r="DP45" s="17">
        <f>DO45*VLOOKUP('Données projet'!$B$14,Paramètres!$A$1:$I$89,3,0)*VLOOKUP('Données projet'!$B$14,Paramètres!$A$1:$I$89,5,0)</f>
        <v>171.25680000000011</v>
      </c>
      <c r="DQ45" s="13">
        <f t="shared" si="43"/>
        <v>43.371384196183378</v>
      </c>
      <c r="DR45" s="20">
        <f t="shared" si="16"/>
        <v>373.81075414168623</v>
      </c>
      <c r="DS45" s="59">
        <f t="shared" si="17"/>
        <v>646.48539395085118</v>
      </c>
      <c r="DT45" s="59">
        <f ca="1">AVERAGE(OFFSET($DS$3,0,0,'Données projet'!$E$14+1,1))-AVERAGE(OFFSET($H$3,0,0,'Données projet'!$E$14+1,1))</f>
        <v>569.21675741362196</v>
      </c>
      <c r="DU45" s="59">
        <f t="shared" si="44"/>
        <v>321.12410801891679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3.3822569185139613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3.3822569185139613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64.365810857044991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11.4</v>
      </c>
      <c r="EJ45" s="12">
        <f>IF('Données projet'!$A$192&gt;35,EJ44+EI45-ER44,IF(A45&lt;'Données projet'!$A$192,$EG$205^A45,IF(A45='Données projet'!$A$192,'Données projet'!$B$192,EJ44+EI45-ER44)))</f>
        <v>245.79999999999993</v>
      </c>
      <c r="EK45" s="17">
        <f>EJ45*VLOOKUP('Données projet'!$B$15,Paramètres!$A$1:$I$89,3,0)*VLOOKUP('Données projet'!$B$15,Paramètres!$A$1:$I$89,5,0)</f>
        <v>195.55847999999995</v>
      </c>
      <c r="EL45" s="13">
        <f t="shared" si="45"/>
        <v>48.766783903364477</v>
      </c>
      <c r="EM45" s="20">
        <f t="shared" si="19"/>
        <v>425.53316796502639</v>
      </c>
      <c r="EN45" s="59">
        <f t="shared" si="20"/>
        <v>698.20780777419134</v>
      </c>
      <c r="EO45" s="59">
        <f ca="1">AVERAGE(OFFSET($EN$3,0,0,'Données projet'!$E$15+1,1))-AVERAGE(OFFSET($H$3,0,0,'Données projet'!$E$15+1,1))</f>
        <v>416.63597645452791</v>
      </c>
      <c r="EP45" s="59">
        <f t="shared" si="46"/>
        <v>402.05920382353497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27.638099639675225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27.638099639675225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64.365810857044991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9.8000000000000007</v>
      </c>
      <c r="FE45" s="12">
        <f>IF('Données projet'!$A$218&gt;35,FE44+FD45-FM44,IF(A45&lt;'Données projet'!$A$218,$FB$205^A45,IF(A45='Données projet'!$A$218,'Données projet'!$B$218,FE44+FD45-FM44)))</f>
        <v>212.60000000000002</v>
      </c>
      <c r="FF45" s="17">
        <f>FE45*VLOOKUP('Données projet'!$B$16,Paramètres!$A$1:$I$89,3,0)*VLOOKUP('Données projet'!$B$16,Paramètres!$A$1:$I$89,5,0)</f>
        <v>185.72736000000003</v>
      </c>
      <c r="FG45" s="13">
        <f t="shared" si="47"/>
        <v>46.594086043363802</v>
      </c>
      <c r="FH45" s="20">
        <f t="shared" si="22"/>
        <v>404.62651852552534</v>
      </c>
      <c r="FI45" s="59">
        <f t="shared" si="23"/>
        <v>677.30115833469029</v>
      </c>
      <c r="FJ45" s="59">
        <f ca="1">AVERAGE(OFFSET($FI$3,0,0,'Données projet'!$E$16+1,1))-AVERAGE(OFFSET($H$3,0,0,'Données projet'!$E$16+1,1))</f>
        <v>395.57130469647603</v>
      </c>
      <c r="FK45" s="59">
        <f t="shared" si="48"/>
        <v>383.97542781562674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25.437827319586816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25.437827319586816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64.365810857044991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11.142857142857142</v>
      </c>
      <c r="FZ45" s="12">
        <f>IF('Données projet'!$A$244&gt;35,FZ44+FY45-GH44,IF(A45&lt;'Données projet'!$A$244,$FW$205^A45,IF(A45='Données projet'!$A$244,'Données projet'!$B$244,FZ44+FY45-GH44)))</f>
        <v>207.71428571428564</v>
      </c>
      <c r="GA45" s="17">
        <f>FZ45*VLOOKUP('Données projet'!$B$17,Paramètres!$A$1:$I$89,3,0)*VLOOKUP('Données projet'!$B$17,Paramètres!$A$1:$I$89,5,0)</f>
        <v>162.0171428571428</v>
      </c>
      <c r="GB45" s="13">
        <f t="shared" si="49"/>
        <v>41.29715533509664</v>
      </c>
      <c r="GC45" s="20">
        <f t="shared" si="25"/>
        <v>354.10573601815037</v>
      </c>
      <c r="GD45" s="59">
        <f t="shared" si="26"/>
        <v>626.78037582731531</v>
      </c>
      <c r="GE45" s="59">
        <f ca="1">AVERAGE(OFFSET($GD$3,0,0,'Données projet'!$E$17+1,1))-AVERAGE(OFFSET($H$3,0,0,'Données projet'!$E$17+1,1))</f>
        <v>301.74744407733351</v>
      </c>
      <c r="GF45" s="59">
        <f t="shared" si="50"/>
        <v>292.46787700966991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9.4763218676368908</v>
      </c>
      <c r="GM45" s="21">
        <f>EXP(-LN(2)/25)*GM44+(1-EXP(-LN(2)/25))/(LN(2)/25)*Calculateur!GH45*Calculateur!GJ45*VLOOKUP('Données projet'!$B$17,Paramètres!$A$1:$I$89,3,0)*0.475*44/12</f>
        <v>0</v>
      </c>
      <c r="GN45" s="21">
        <f>EXP(-LN(2)/2)*GN44+(1-EXP(-LN(2)/2))/(LN(2)/2)*GH45*GK45*VLOOKUP('Données projet'!$B$17,Paramètres!$A$1:$I$89,3,0)*0.475*44/12</f>
        <v>0</v>
      </c>
      <c r="GO45" s="21">
        <f t="shared" si="27"/>
        <v>9.4763218676368908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64.365810857044991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11.4</v>
      </c>
      <c r="GU45" s="12">
        <f>IF('Données projet'!$A$270&gt;35,GU44+GT45-HC44,IF(A45&lt;'Données projet'!$A$270,$GR$205^A45,IF(A45='Données projet'!$A$270,'Données projet'!$B$270,GU44+GT45-HC44)))</f>
        <v>245.79999999999993</v>
      </c>
      <c r="GV45" s="17">
        <f>GU45*VLOOKUP('Données projet'!$B$18,Paramètres!$A$1:$I$89,3,0)*VLOOKUP('Données projet'!$B$18,Paramètres!$A$1:$I$89,5,0)</f>
        <v>145.71023999999994</v>
      </c>
      <c r="GW45" s="13">
        <f t="shared" si="51"/>
        <v>37.602082144552348</v>
      </c>
      <c r="GX45" s="20">
        <f t="shared" si="28"/>
        <v>319.26896106842855</v>
      </c>
      <c r="GY45" s="59">
        <f t="shared" si="29"/>
        <v>591.94360087759355</v>
      </c>
      <c r="GZ45" s="59">
        <f ca="1">AVERAGE(OFFSET($GY$3,0,0,'Données projet'!$E$18+1,1))-AVERAGE(OFFSET($H$3,0,0,'Données projet'!$E$18+1,1))</f>
        <v>322.78672881269978</v>
      </c>
      <c r="HA45" s="59">
        <f t="shared" si="52"/>
        <v>313.08736327626434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projet'!$B$18,Paramètres!$A$1:$I$89,3,0)*0.475*44/12</f>
        <v>10.014577196696395</v>
      </c>
      <c r="HH45" s="21">
        <f>EXP(-LN(2)/25)*HH44+(1-EXP(-LN(2)/25))/(LN(2)/25)*Calculateur!HC45*Calculateur!HE45*VLOOKUP('Données projet'!$B$18,Paramètres!$A$1:$I$89,3,0)*0.475*44/12</f>
        <v>0</v>
      </c>
      <c r="HI45" s="21">
        <f>EXP(-LN(2)/2)*HI44+(1-EXP(-LN(2)/2))/(LN(2)/2)*HC45*HF45*VLOOKUP('Données projet'!$B$18,Paramètres!$A$1:$I$89,3,0)*0.475*44/12</f>
        <v>0</v>
      </c>
      <c r="HJ45" s="22">
        <f t="shared" si="30"/>
        <v>10.014577196696395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2.3499999999999996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8.6166666666666654</v>
      </c>
      <c r="H46" s="67">
        <f t="shared" si="1"/>
        <v>222.20000000000002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64.463551442515381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11.4</v>
      </c>
      <c r="N46" s="13">
        <f>IF('Données projet'!$A$36&gt;35,N45+M46-V45,IF(A46&lt;'Données projet'!$A$36,$K$205^A46,IF(A46='Données projet'!$A$36,'Données projet'!$B$36,N45+M46-V45)))</f>
        <v>181.19999999999996</v>
      </c>
      <c r="O46" s="13">
        <f>N46*VLOOKUP('Données projet'!$B$9,Paramètres!$A$1:$I$89,3,0)*VLOOKUP('Données projet'!$B$9,Paramètres!$A$1:$I$89,5,0)</f>
        <v>163.94975999999997</v>
      </c>
      <c r="P46" s="13">
        <f t="shared" si="33"/>
        <v>41.732126457893308</v>
      </c>
      <c r="Q46" s="20">
        <f t="shared" si="53"/>
        <v>358.22928558083078</v>
      </c>
      <c r="R46" s="59">
        <f t="shared" si="0"/>
        <v>631.26230753672053</v>
      </c>
      <c r="S46" s="59">
        <f ca="1">AVERAGE(OFFSET($R$3,0,0,'Données projet'!$E$9+1,1))-AVERAGE(OFFSET($H$3,0,0,'Données projet'!$E$9+1,1))</f>
        <v>473.88815717313474</v>
      </c>
      <c r="T46" s="59">
        <f t="shared" si="34"/>
        <v>287.19790203552895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2.2696224249049499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2.2696224249049499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64.463551442515381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11.4</v>
      </c>
      <c r="AI46" s="13">
        <f>IF('Données projet'!$A$62&gt;35,AI45+AH46-AQ45,IF(A46&lt;'Données projet'!$A$62,$AF$205^A46,IF(A46='Données projet'!$A$62,'Données projet'!$B$62,AI45+AH46-AQ45)))</f>
        <v>181.19999999999996</v>
      </c>
      <c r="AJ46" s="13">
        <f>AI46*VLOOKUP('Données projet'!$B$10,Paramètres!$A$1:$I$89,3,0)*VLOOKUP('Données projet'!$B$10,Paramètres!$A$1:$I$89,5,0)</f>
        <v>152.64287999999999</v>
      </c>
      <c r="AK46" s="13">
        <f t="shared" si="35"/>
        <v>39.178577703588537</v>
      </c>
      <c r="AL46" s="20">
        <f t="shared" si="4"/>
        <v>334.08903883374995</v>
      </c>
      <c r="AM46" s="59">
        <f t="shared" si="5"/>
        <v>607.1220607896397</v>
      </c>
      <c r="AN46" s="59">
        <f ca="1">AVERAGE(OFFSET($AM$3,0,0,'Données projet'!$E$10+1,1))-AVERAGE(OFFSET($H$3,0,0,'Données projet'!$E$10+1,1))</f>
        <v>445.19118535527258</v>
      </c>
      <c r="AO46" s="59">
        <f t="shared" si="36"/>
        <v>270.93483242839363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2.1130967404287468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2.1130967404287468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64.463551442515381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11.4</v>
      </c>
      <c r="BD46" s="12">
        <f>IF('Données projet'!$A$88&gt;35,BD45+BC46-BL45,IF(A46&lt;'Données projet'!$A$88,$BA$205^A46,IF(A46='Données projet'!$A$88,'Données projet'!$B$88,BD45+BC46-BL45)))</f>
        <v>181.19999999999996</v>
      </c>
      <c r="BE46" s="13">
        <f>BD46*VLOOKUP('Données projet'!$B$11,Paramètres!$A$1:$I$89,3,0)*VLOOKUP('Données projet'!$B$11,Paramètres!$A$1:$I$89,5,0)</f>
        <v>183.73679999999996</v>
      </c>
      <c r="BF46" s="13">
        <f t="shared" si="37"/>
        <v>46.152558509293854</v>
      </c>
      <c r="BG46" s="20">
        <f t="shared" si="7"/>
        <v>400.39063273702004</v>
      </c>
      <c r="BH46" s="59">
        <f t="shared" si="8"/>
        <v>673.42365469290985</v>
      </c>
      <c r="BI46" s="59">
        <f ca="1">AVERAGE(OFFSET($BH$3,0,0,'Données projet'!$E$11+1,1))-AVERAGE(OFFSET($H$3,0,0,'Données projet'!$E$11+1,1))</f>
        <v>524.01140973345832</v>
      </c>
      <c r="BJ46" s="59">
        <f t="shared" si="38"/>
        <v>315.59942237999621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2.5435423727383069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2.5435423727383069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64.463551442515381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11.4</v>
      </c>
      <c r="BY46" s="12">
        <f>IF('Données projet'!$A$114&gt;35,BY45+BX46-CG45,IF(A46&lt;'Données projet'!$A$114,$BV$205^A46,IF(A46='Données projet'!$A$114,'Données projet'!$B$114,BY45+BX46-CG45)))</f>
        <v>257.19999999999993</v>
      </c>
      <c r="BZ46" s="13">
        <f>BY46*VLOOKUP('Données projet'!$B$12,Paramètres!$A$1:$I$89,3,0)*VLOOKUP('Données projet'!$B$12,Paramètres!$A$1:$I$89,5,0)</f>
        <v>172.52975999999995</v>
      </c>
      <c r="CA46" s="13">
        <f t="shared" si="39"/>
        <v>43.656117667170463</v>
      </c>
      <c r="CB46" s="20">
        <f t="shared" si="10"/>
        <v>376.52373693698843</v>
      </c>
      <c r="CC46" s="59">
        <f t="shared" si="11"/>
        <v>649.55675889287818</v>
      </c>
      <c r="CD46" s="59">
        <f ca="1">AVERAGE(OFFSET($CC$3,0,0,'Données projet'!$E$12+1,1))-AVERAGE(OFFSET($H$3,0,0,'Données projet'!$E$12+1,1))</f>
        <v>358.95222991910504</v>
      </c>
      <c r="CE46" s="59">
        <f t="shared" si="40"/>
        <v>347.37506646970905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9.8138912192080561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9.8138912192080561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64.463551442515381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11.4</v>
      </c>
      <c r="CT46" s="12">
        <f>IF('Données projet'!$A$140&gt;35,CT45+CS46-DB45,IF(A46&lt;'Données projet'!$A$140,$CQ$205^A46,IF(A46='Données projet'!$A$140,'Données projet'!$B$140,CT45+CS46-DB45)))</f>
        <v>257.19999999999993</v>
      </c>
      <c r="CU46" s="17">
        <f>CT46*VLOOKUP('Données projet'!$B$13,Paramètres!$A$1:$I$89,3,0)*VLOOKUP('Données projet'!$B$13,Paramètres!$A$1:$I$89,5,0)</f>
        <v>168.51743999999997</v>
      </c>
      <c r="CV46" s="13">
        <f t="shared" si="41"/>
        <v>42.757810382238787</v>
      </c>
      <c r="CW46" s="20">
        <f t="shared" si="13"/>
        <v>367.97106108239922</v>
      </c>
      <c r="CX46" s="59">
        <f t="shared" si="14"/>
        <v>641.00408303828897</v>
      </c>
      <c r="CY46" s="59">
        <f ca="1">AVERAGE(OFFSET($CX$3,0,0,'Données projet'!$E$13+1,1))-AVERAGE(OFFSET($H$3,0,0,'Données projet'!$E$13+1,1))</f>
        <v>351.7266381615546</v>
      </c>
      <c r="CZ46" s="59">
        <f t="shared" si="42"/>
        <v>340.52483243761799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18.104186775490668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18.104186775490668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64.463551442515381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13.8</v>
      </c>
      <c r="DO46" s="12">
        <f>IF('Données projet'!$A$166&gt;35,DO45+DN46-DW45,IF(A46&lt;'Données projet'!$A$166,$DL$205^A46,IF(A46='Données projet'!$A$166,'Données projet'!$B$166,DO45+DN46-DW45)))</f>
        <v>213.40000000000012</v>
      </c>
      <c r="DP46" s="17">
        <f>DO46*VLOOKUP('Données projet'!$B$14,Paramètres!$A$1:$I$89,3,0)*VLOOKUP('Données projet'!$B$14,Paramètres!$A$1:$I$89,5,0)</f>
        <v>183.09720000000013</v>
      </c>
      <c r="DQ46" s="13">
        <f t="shared" si="43"/>
        <v>46.010570428845895</v>
      </c>
      <c r="DR46" s="20">
        <f t="shared" si="16"/>
        <v>399.02936683024018</v>
      </c>
      <c r="DS46" s="59">
        <f t="shared" si="17"/>
        <v>672.06238878612999</v>
      </c>
      <c r="DT46" s="59">
        <f ca="1">AVERAGE(OFFSET($DS$3,0,0,'Données projet'!$E$14+1,1))-AVERAGE(OFFSET($H$3,0,0,'Données projet'!$E$14+1,1))</f>
        <v>569.21675741362196</v>
      </c>
      <c r="DU46" s="59">
        <f t="shared" si="44"/>
        <v>321.12410801891679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3.3159329233149211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3.3159329233149211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64.463551442515381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11.4</v>
      </c>
      <c r="EJ46" s="12">
        <f>IF('Données projet'!$A$192&gt;35,EJ45+EI46-ER45,IF(A46&lt;'Données projet'!$A$192,$EG$205^A46,IF(A46='Données projet'!$A$192,'Données projet'!$B$192,EJ45+EI46-ER45)))</f>
        <v>257.19999999999993</v>
      </c>
      <c r="EK46" s="17">
        <f>EJ46*VLOOKUP('Données projet'!$B$15,Paramètres!$A$1:$I$89,3,0)*VLOOKUP('Données projet'!$B$15,Paramètres!$A$1:$I$89,5,0)</f>
        <v>204.62831999999995</v>
      </c>
      <c r="EL46" s="13">
        <f t="shared" si="45"/>
        <v>50.759974072251445</v>
      </c>
      <c r="EM46" s="20">
        <f t="shared" si="19"/>
        <v>444.80127884250447</v>
      </c>
      <c r="EN46" s="59">
        <f t="shared" si="20"/>
        <v>717.83430079839422</v>
      </c>
      <c r="EO46" s="59">
        <f ca="1">AVERAGE(OFFSET($EN$3,0,0,'Données projet'!$E$15+1,1))-AVERAGE(OFFSET($H$3,0,0,'Données projet'!$E$15+1,1))</f>
        <v>416.63597645452791</v>
      </c>
      <c r="EP46" s="59">
        <f t="shared" si="46"/>
        <v>402.05920382353497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27.096133363317428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27.096133363317428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64.463551442515381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9.8000000000000007</v>
      </c>
      <c r="FE46" s="12">
        <f>IF('Données projet'!$A$218&gt;35,FE45+FD46-FM45,IF(A46&lt;'Données projet'!$A$218,$FB$205^A46,IF(A46='Données projet'!$A$218,'Données projet'!$B$218,FE45+FD46-FM45)))</f>
        <v>222.40000000000003</v>
      </c>
      <c r="FF46" s="17">
        <f>FE46*VLOOKUP('Données projet'!$B$16,Paramètres!$A$1:$I$89,3,0)*VLOOKUP('Données projet'!$B$16,Paramètres!$A$1:$I$89,5,0)</f>
        <v>194.28864000000004</v>
      </c>
      <c r="FG46" s="13">
        <f t="shared" si="47"/>
        <v>48.486875029770822</v>
      </c>
      <c r="FH46" s="20">
        <f t="shared" si="22"/>
        <v>422.83402201018424</v>
      </c>
      <c r="FI46" s="59">
        <f t="shared" si="23"/>
        <v>695.86704396607399</v>
      </c>
      <c r="FJ46" s="59">
        <f ca="1">AVERAGE(OFFSET($FI$3,0,0,'Données projet'!$E$16+1,1))-AVERAGE(OFFSET($H$3,0,0,'Données projet'!$E$16+1,1))</f>
        <v>395.57130469647603</v>
      </c>
      <c r="FK46" s="59">
        <f t="shared" si="48"/>
        <v>383.97542781562674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24.939007041392351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24.939007041392351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64.463551442515381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11.142857142857142</v>
      </c>
      <c r="FZ46" s="12">
        <f>IF('Données projet'!$A$244&gt;35,FZ45+FY46-GH45,IF(A46&lt;'Données projet'!$A$244,$FW$205^A46,IF(A46='Données projet'!$A$244,'Données projet'!$B$244,FZ45+FY46-GH45)))</f>
        <v>218.85714285714278</v>
      </c>
      <c r="GA46" s="17">
        <f>FZ46*VLOOKUP('Données projet'!$B$17,Paramètres!$A$1:$I$89,3,0)*VLOOKUP('Données projet'!$B$17,Paramètres!$A$1:$I$89,5,0)</f>
        <v>170.70857142857136</v>
      </c>
      <c r="GB46" s="13">
        <f t="shared" si="49"/>
        <v>43.248681576985376</v>
      </c>
      <c r="GC46" s="20">
        <f t="shared" si="25"/>
        <v>372.64221565134466</v>
      </c>
      <c r="GD46" s="59">
        <f t="shared" si="26"/>
        <v>645.67523760723441</v>
      </c>
      <c r="GE46" s="59">
        <f ca="1">AVERAGE(OFFSET($GD$3,0,0,'Données projet'!$E$17+1,1))-AVERAGE(OFFSET($H$3,0,0,'Données projet'!$E$17+1,1))</f>
        <v>301.74744407733351</v>
      </c>
      <c r="GF46" s="59">
        <f t="shared" si="50"/>
        <v>292.46787700966991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9.2904969757981437</v>
      </c>
      <c r="GM46" s="21">
        <f>EXP(-LN(2)/25)*GM45+(1-EXP(-LN(2)/25))/(LN(2)/25)*Calculateur!GH46*Calculateur!GJ46*VLOOKUP('Données projet'!$B$17,Paramètres!$A$1:$I$89,3,0)*0.475*44/12</f>
        <v>0</v>
      </c>
      <c r="GN46" s="21">
        <f>EXP(-LN(2)/2)*GN45+(1-EXP(-LN(2)/2))/(LN(2)/2)*GH46*GK46*VLOOKUP('Données projet'!$B$17,Paramètres!$A$1:$I$89,3,0)*0.475*44/12</f>
        <v>0</v>
      </c>
      <c r="GO46" s="21">
        <f t="shared" si="27"/>
        <v>9.2904969757981437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64.463551442515381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11.4</v>
      </c>
      <c r="GU46" s="12">
        <f>IF('Données projet'!$A$270&gt;35,GU45+GT46-HC45,IF(A46&lt;'Données projet'!$A$270,$GR$205^A46,IF(A46='Données projet'!$A$270,'Données projet'!$B$270,GU45+GT46-HC45)))</f>
        <v>257.19999999999993</v>
      </c>
      <c r="GV46" s="17">
        <f>GU46*VLOOKUP('Données projet'!$B$18,Paramètres!$A$1:$I$89,3,0)*VLOOKUP('Données projet'!$B$18,Paramètres!$A$1:$I$89,5,0)</f>
        <v>152.46815999999995</v>
      </c>
      <c r="GW46" s="13">
        <f t="shared" si="51"/>
        <v>39.138949956231635</v>
      </c>
      <c r="GX46" s="20">
        <f t="shared" si="28"/>
        <v>333.71571650710337</v>
      </c>
      <c r="GY46" s="59">
        <f t="shared" si="29"/>
        <v>606.74873846299306</v>
      </c>
      <c r="GZ46" s="59">
        <f ca="1">AVERAGE(OFFSET($GY$3,0,0,'Données projet'!$E$18+1,1))-AVERAGE(OFFSET($H$3,0,0,'Données projet'!$E$18+1,1))</f>
        <v>322.78672881269978</v>
      </c>
      <c r="HA46" s="59">
        <f t="shared" si="52"/>
        <v>313.08736327626434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projet'!$B$18,Paramètres!$A$1:$I$89,3,0)*0.475*44/12</f>
        <v>9.8181974461581252</v>
      </c>
      <c r="HH46" s="21">
        <f>EXP(-LN(2)/25)*HH45+(1-EXP(-LN(2)/25))/(LN(2)/25)*Calculateur!HC46*Calculateur!HE46*VLOOKUP('Données projet'!$B$18,Paramètres!$A$1:$I$89,3,0)*0.475*44/12</f>
        <v>0</v>
      </c>
      <c r="HI46" s="21">
        <f>EXP(-LN(2)/2)*HI45+(1-EXP(-LN(2)/2))/(LN(2)/2)*HC46*HF46*VLOOKUP('Données projet'!$B$18,Paramètres!$A$1:$I$89,3,0)*0.475*44/12</f>
        <v>0</v>
      </c>
      <c r="HJ46" s="22">
        <f t="shared" si="30"/>
        <v>9.8181974461581252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2.3499999999999996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8.6166666666666654</v>
      </c>
      <c r="H47" s="67">
        <f t="shared" si="1"/>
        <v>222.20000000000002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64.559596447343068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11.4</v>
      </c>
      <c r="N47" s="13">
        <f>IF('Données projet'!$A$36&gt;35,N46+M47-V46,IF(A47&lt;'Données projet'!$A$36,$K$205^A47,IF(A47='Données projet'!$A$36,'Données projet'!$B$36,N46+M47-V46)))</f>
        <v>192.59999999999997</v>
      </c>
      <c r="O47" s="13">
        <f>N47*VLOOKUP('Données projet'!$B$9,Paramètres!$A$1:$I$89,3,0)*VLOOKUP('Données projet'!$B$9,Paramètres!$A$1:$I$89,5,0)</f>
        <v>174.26447999999996</v>
      </c>
      <c r="P47" s="13">
        <f t="shared" si="33"/>
        <v>44.043743683739521</v>
      </c>
      <c r="Q47" s="20">
        <f t="shared" si="53"/>
        <v>380.22015624917958</v>
      </c>
      <c r="R47" s="59">
        <f t="shared" si="0"/>
        <v>653.6053432227709</v>
      </c>
      <c r="S47" s="59">
        <f ca="1">AVERAGE(OFFSET($R$3,0,0,'Données projet'!$E$9+1,1))-AVERAGE(OFFSET($H$3,0,0,'Données projet'!$E$9+1,1))</f>
        <v>473.88815717313474</v>
      </c>
      <c r="T47" s="59">
        <f t="shared" si="34"/>
        <v>287.19790203552895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2.2251165134855517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2.2251165134855517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64.559596447343068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11.4</v>
      </c>
      <c r="AI47" s="13">
        <f>IF('Données projet'!$A$62&gt;35,AI46+AH47-AQ46,IF(A47&lt;'Données projet'!$A$62,$AF$205^A47,IF(A47='Données projet'!$A$62,'Données projet'!$B$62,AI46+AH47-AQ46)))</f>
        <v>192.59999999999997</v>
      </c>
      <c r="AJ47" s="13">
        <f>AI47*VLOOKUP('Données projet'!$B$10,Paramètres!$A$1:$I$89,3,0)*VLOOKUP('Données projet'!$B$10,Paramètres!$A$1:$I$89,5,0)</f>
        <v>162.24624</v>
      </c>
      <c r="AK47" s="13">
        <f t="shared" si="35"/>
        <v>41.348749290582795</v>
      </c>
      <c r="AL47" s="20">
        <f t="shared" si="4"/>
        <v>354.59460634776497</v>
      </c>
      <c r="AM47" s="59">
        <f t="shared" si="5"/>
        <v>627.97979332135628</v>
      </c>
      <c r="AN47" s="59">
        <f ca="1">AVERAGE(OFFSET($AM$3,0,0,'Données projet'!$E$10+1,1))-AVERAGE(OFFSET($H$3,0,0,'Données projet'!$E$10+1,1))</f>
        <v>445.19118535527258</v>
      </c>
      <c r="AO47" s="59">
        <f t="shared" si="36"/>
        <v>270.93483242839363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2.0716602022106865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2.0716602022106865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64.559596447343068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11.4</v>
      </c>
      <c r="BD47" s="12">
        <f>IF('Données projet'!$A$88&gt;35,BD46+BC47-BL46,IF(A47&lt;'Données projet'!$A$88,$BA$205^A47,IF(A47='Données projet'!$A$88,'Données projet'!$B$88,BD46+BC47-BL46)))</f>
        <v>192.59999999999997</v>
      </c>
      <c r="BE47" s="13">
        <f>BD47*VLOOKUP('Données projet'!$B$11,Paramètres!$A$1:$I$89,3,0)*VLOOKUP('Données projet'!$B$11,Paramètres!$A$1:$I$89,5,0)</f>
        <v>195.29639999999998</v>
      </c>
      <c r="BF47" s="13">
        <f t="shared" si="37"/>
        <v>48.709031383366153</v>
      </c>
      <c r="BG47" s="20">
        <f t="shared" si="7"/>
        <v>424.97612632602932</v>
      </c>
      <c r="BH47" s="59">
        <f t="shared" si="8"/>
        <v>698.36131329962063</v>
      </c>
      <c r="BI47" s="59">
        <f ca="1">AVERAGE(OFFSET($BH$3,0,0,'Données projet'!$E$11+1,1))-AVERAGE(OFFSET($H$3,0,0,'Données projet'!$E$11+1,1))</f>
        <v>524.01140973345832</v>
      </c>
      <c r="BJ47" s="59">
        <f t="shared" si="38"/>
        <v>315.59942237999621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2.4936650582165671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2.4936650582165671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64.559596447343068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11.4</v>
      </c>
      <c r="BY47" s="12">
        <f>IF('Données projet'!$A$114&gt;35,BY46+BX47-CG46,IF(A47&lt;'Données projet'!$A$114,$BV$205^A47,IF(A47='Données projet'!$A$114,'Données projet'!$B$114,BY46+BX47-CG46)))</f>
        <v>268.59999999999991</v>
      </c>
      <c r="BZ47" s="13">
        <f>BY47*VLOOKUP('Données projet'!$B$12,Paramètres!$A$1:$I$89,3,0)*VLOOKUP('Données projet'!$B$12,Paramètres!$A$1:$I$89,5,0)</f>
        <v>180.17687999999995</v>
      </c>
      <c r="CA47" s="13">
        <f t="shared" si="39"/>
        <v>45.361536457946897</v>
      </c>
      <c r="CB47" s="20">
        <f t="shared" si="10"/>
        <v>392.81274199759076</v>
      </c>
      <c r="CC47" s="59">
        <f t="shared" si="11"/>
        <v>666.19792897118202</v>
      </c>
      <c r="CD47" s="59">
        <f ca="1">AVERAGE(OFFSET($CC$3,0,0,'Données projet'!$E$12+1,1))-AVERAGE(OFFSET($H$3,0,0,'Données projet'!$E$12+1,1))</f>
        <v>358.95222991910504</v>
      </c>
      <c r="CE47" s="59">
        <f t="shared" si="40"/>
        <v>347.37506646970905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9.6214467982819727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9.6214467982819727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64.559596447343068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11.4</v>
      </c>
      <c r="CT47" s="12">
        <f>IF('Données projet'!$A$140&gt;35,CT46+CS47-DB46,IF(A47&lt;'Données projet'!$A$140,$CQ$205^A47,IF(A47='Données projet'!$A$140,'Données projet'!$B$140,CT46+CS47-DB46)))</f>
        <v>268.59999999999991</v>
      </c>
      <c r="CU47" s="17">
        <f>CT47*VLOOKUP('Données projet'!$B$13,Paramètres!$A$1:$I$89,3,0)*VLOOKUP('Données projet'!$B$13,Paramètres!$A$1:$I$89,5,0)</f>
        <v>175.98671999999993</v>
      </c>
      <c r="CV47" s="13">
        <f t="shared" si="41"/>
        <v>44.42813695214268</v>
      </c>
      <c r="CW47" s="20">
        <f t="shared" si="13"/>
        <v>383.88920919164838</v>
      </c>
      <c r="CX47" s="59">
        <f t="shared" si="14"/>
        <v>657.27439616523964</v>
      </c>
      <c r="CY47" s="59">
        <f ca="1">AVERAGE(OFFSET($CX$3,0,0,'Données projet'!$E$13+1,1))-AVERAGE(OFFSET($H$3,0,0,'Données projet'!$E$13+1,1))</f>
        <v>351.7266381615546</v>
      </c>
      <c r="CZ47" s="59">
        <f t="shared" si="42"/>
        <v>340.52483243761799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17.749174715286877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17.749174715286877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64.559596447343068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13.8</v>
      </c>
      <c r="DO47" s="12">
        <f>IF('Données projet'!$A$166&gt;35,DO46+DN47-DW46,IF(A47&lt;'Données projet'!$A$166,$DL$205^A47,IF(A47='Données projet'!$A$166,'Données projet'!$B$166,DO46+DN47-DW46)))</f>
        <v>227.20000000000013</v>
      </c>
      <c r="DP47" s="17">
        <f>DO47*VLOOKUP('Données projet'!$B$14,Paramètres!$A$1:$I$89,3,0)*VLOOKUP('Données projet'!$B$14,Paramètres!$A$1:$I$89,5,0)</f>
        <v>194.93760000000012</v>
      </c>
      <c r="DQ47" s="13">
        <f t="shared" si="43"/>
        <v>48.629950800142524</v>
      </c>
      <c r="DR47" s="20">
        <f t="shared" si="16"/>
        <v>424.21348431024836</v>
      </c>
      <c r="DS47" s="59">
        <f t="shared" si="17"/>
        <v>697.59867128383962</v>
      </c>
      <c r="DT47" s="59">
        <f ca="1">AVERAGE(OFFSET($DS$3,0,0,'Données projet'!$E$14+1,1))-AVERAGE(OFFSET($H$3,0,0,'Données projet'!$E$14+1,1))</f>
        <v>569.21675741362196</v>
      </c>
      <c r="DU47" s="59">
        <f t="shared" si="44"/>
        <v>321.12410801891679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3.2509095012080915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3.2509095012080915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64.559596447343068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11.4</v>
      </c>
      <c r="EJ47" s="12">
        <f>IF('Données projet'!$A$192&gt;35,EJ46+EI47-ER46,IF(A47&lt;'Données projet'!$A$192,$EG$205^A47,IF(A47='Données projet'!$A$192,'Données projet'!$B$192,EJ46+EI47-ER46)))</f>
        <v>268.59999999999991</v>
      </c>
      <c r="EK47" s="17">
        <f>EJ47*VLOOKUP('Données projet'!$B$15,Paramètres!$A$1:$I$89,3,0)*VLOOKUP('Données projet'!$B$15,Paramètres!$A$1:$I$89,5,0)</f>
        <v>213.69815999999994</v>
      </c>
      <c r="EL47" s="13">
        <f t="shared" si="45"/>
        <v>52.742903801874164</v>
      </c>
      <c r="EM47" s="20">
        <f t="shared" si="19"/>
        <v>464.05151945493071</v>
      </c>
      <c r="EN47" s="59">
        <f t="shared" si="20"/>
        <v>737.43670642852203</v>
      </c>
      <c r="EO47" s="59">
        <f ca="1">AVERAGE(OFFSET($EN$3,0,0,'Données projet'!$E$15+1,1))-AVERAGE(OFFSET($H$3,0,0,'Données projet'!$E$15+1,1))</f>
        <v>416.63597645452791</v>
      </c>
      <c r="EP47" s="59">
        <f t="shared" si="46"/>
        <v>402.05920382353497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26.564794715072217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26.564794715072217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64.559596447343068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9.8000000000000007</v>
      </c>
      <c r="FE47" s="12">
        <f>IF('Données projet'!$A$218&gt;35,FE46+FD47-FM46,IF(A47&lt;'Données projet'!$A$218,$FB$205^A47,IF(A47='Données projet'!$A$218,'Données projet'!$B$218,FE46+FD47-FM46)))</f>
        <v>232.20000000000005</v>
      </c>
      <c r="FF47" s="17">
        <f>FE47*VLOOKUP('Données projet'!$B$16,Paramètres!$A$1:$I$89,3,0)*VLOOKUP('Données projet'!$B$16,Paramètres!$A$1:$I$89,5,0)</f>
        <v>202.84992000000005</v>
      </c>
      <c r="FG47" s="13">
        <f t="shared" si="47"/>
        <v>50.369977187686075</v>
      </c>
      <c r="FH47" s="20">
        <f t="shared" si="22"/>
        <v>441.02465426855332</v>
      </c>
      <c r="FI47" s="59">
        <f t="shared" si="23"/>
        <v>714.40984124214458</v>
      </c>
      <c r="FJ47" s="59">
        <f ca="1">AVERAGE(OFFSET($FI$3,0,0,'Données projet'!$E$16+1,1))-AVERAGE(OFFSET($H$3,0,0,'Données projet'!$E$16+1,1))</f>
        <v>395.57130469647603</v>
      </c>
      <c r="FK47" s="59">
        <f t="shared" si="48"/>
        <v>383.97542781562674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24.449968324602953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24.449968324602953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64.559596447343068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>
        <f>VLOOKUP(A47,'Données projet'!$A$243:$I$263,2,0)</f>
        <v>230</v>
      </c>
      <c r="FX47" s="12">
        <f>VLOOKUP(A47,'Données projet'!$A$243:$I$263,9,0)</f>
        <v>11.142857142857142</v>
      </c>
      <c r="FY47" s="12">
        <f t="array" ref="FY47">INDEX(FX:FX,MIN(IF(ISNUMBER(FX47:FX243),ROW(FX47:FX243),"")))</f>
        <v>11.142857142857142</v>
      </c>
      <c r="FZ47" s="12">
        <f>IF('Données projet'!$A$244&gt;35,FZ46+FY47-GH46,IF(A47&lt;'Données projet'!$A$244,$FW$205^A47,IF(A47='Données projet'!$A$244,'Données projet'!$B$244,FZ46+FY47-GH46)))</f>
        <v>229.99999999999991</v>
      </c>
      <c r="GA47" s="17">
        <f>FZ47*VLOOKUP('Données projet'!$B$17,Paramètres!$A$1:$I$89,3,0)*VLOOKUP('Données projet'!$B$17,Paramètres!$A$1:$I$89,5,0)</f>
        <v>179.39999999999995</v>
      </c>
      <c r="GB47" s="13">
        <f t="shared" si="49"/>
        <v>45.188671291872232</v>
      </c>
      <c r="GC47" s="20">
        <f t="shared" si="25"/>
        <v>391.15860250001066</v>
      </c>
      <c r="GD47" s="59">
        <f t="shared" si="26"/>
        <v>664.54378947360192</v>
      </c>
      <c r="GE47" s="59">
        <f ca="1">AVERAGE(OFFSET($GD$3,0,0,'Données projet'!$E$17+1,1))-AVERAGE(OFFSET($H$3,0,0,'Données projet'!$E$17+1,1))</f>
        <v>301.74744407733351</v>
      </c>
      <c r="GF47" s="59">
        <f t="shared" si="50"/>
        <v>292.46787700966991</v>
      </c>
      <c r="GG47" s="15">
        <f>IF(ISNA(VLOOKUP(A47,'Données projet'!$A$243:$I$263,3,0)),0,VLOOKUP(A47,'Données projet'!$A$243:$I$263,3,0))</f>
        <v>6</v>
      </c>
      <c r="GH47" s="15">
        <f>IF(ISNA(VLOOKUP(A47,'Données projet'!$A$243:$I$263,4,0)),0,VLOOKUP(A47,'Données projet'!$A$243:$I$263,4,0))</f>
        <v>43</v>
      </c>
      <c r="GI47" s="16">
        <f>IF(ISNA(VLOOKUP(A47,'Données projet'!$A$243:$I$263,5,0)),0%,VLOOKUP(A47,'Données projet'!$A$243:$I$263,5,0)*VLOOKUP('Données projet'!$B$17,Paramètres!$A$1:$I$89,7,0))</f>
        <v>0.17200000000000001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15.48564195982641</v>
      </c>
      <c r="GM47" s="21">
        <f>EXP(-LN(2)/25)*GM46+(1-EXP(-LN(2)/25))/(LN(2)/25)*Calculateur!GH47*Calculateur!GJ47*VLOOKUP('Données projet'!$B$17,Paramètres!$A$1:$I$89,3,0)*0.475*44/12</f>
        <v>0</v>
      </c>
      <c r="GN47" s="21">
        <f>EXP(-LN(2)/2)*GN46+(1-EXP(-LN(2)/2))/(LN(2)/2)*GH47*GK47*VLOOKUP('Données projet'!$B$17,Paramètres!$A$1:$I$89,3,0)*0.475*44/12</f>
        <v>0</v>
      </c>
      <c r="GO47" s="21">
        <f t="shared" si="27"/>
        <v>15.48564195982641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64.559596447343068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11.4</v>
      </c>
      <c r="GU47" s="12">
        <f>IF('Données projet'!$A$270&gt;35,GU46+GT47-HC46,IF(A47&lt;'Données projet'!$A$270,$GR$205^A47,IF(A47='Données projet'!$A$270,'Données projet'!$B$270,GU46+GT47-HC46)))</f>
        <v>268.59999999999991</v>
      </c>
      <c r="GV47" s="17">
        <f>GU47*VLOOKUP('Données projet'!$B$18,Paramètres!$A$1:$I$89,3,0)*VLOOKUP('Données projet'!$B$18,Paramètres!$A$1:$I$89,5,0)</f>
        <v>159.22607999999997</v>
      </c>
      <c r="GW47" s="13">
        <f t="shared" si="51"/>
        <v>40.667906360818485</v>
      </c>
      <c r="GX47" s="20">
        <f t="shared" si="28"/>
        <v>348.1486929117587</v>
      </c>
      <c r="GY47" s="59">
        <f t="shared" si="29"/>
        <v>621.53387988534996</v>
      </c>
      <c r="GZ47" s="59">
        <f ca="1">AVERAGE(OFFSET($GY$3,0,0,'Données projet'!$E$18+1,1))-AVERAGE(OFFSET($H$3,0,0,'Données projet'!$E$18+1,1))</f>
        <v>322.78672881269978</v>
      </c>
      <c r="HA47" s="59">
        <f t="shared" si="52"/>
        <v>313.08736327626434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projet'!$B$18,Paramètres!$A$1:$I$89,3,0)*0.475*44/12</f>
        <v>9.6256685827480908</v>
      </c>
      <c r="HH47" s="21">
        <f>EXP(-LN(2)/25)*HH46+(1-EXP(-LN(2)/25))/(LN(2)/25)*Calculateur!HC47*Calculateur!HE47*VLOOKUP('Données projet'!$B$18,Paramètres!$A$1:$I$89,3,0)*0.475*44/12</f>
        <v>0</v>
      </c>
      <c r="HI47" s="21">
        <f>EXP(-LN(2)/2)*HI46+(1-EXP(-LN(2)/2))/(LN(2)/2)*HC47*HF47*VLOOKUP('Données projet'!$B$18,Paramètres!$A$1:$I$89,3,0)*0.475*44/12</f>
        <v>0</v>
      </c>
      <c r="HJ47" s="22">
        <f t="shared" si="30"/>
        <v>9.6256685827480908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2.3499999999999996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8.6166666666666654</v>
      </c>
      <c r="H48" s="67">
        <f t="shared" si="1"/>
        <v>222.20000000000002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64.653975286061467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204</v>
      </c>
      <c r="L48" s="12">
        <f>VLOOKUP(A48,'Données projet'!$A$35:$I$55,9,0)</f>
        <v>11.4</v>
      </c>
      <c r="M48" s="12">
        <f t="array" ref="M48">INDEX(L:L,MIN(IF(ISNUMBER(L48:L244),ROW(L48:L244),"")))</f>
        <v>11.4</v>
      </c>
      <c r="N48" s="13">
        <f>IF('Données projet'!$A$36&gt;35,N47+M48-V47,IF(A48&lt;'Données projet'!$A$36,$K$205^A48,IF(A48='Données projet'!$A$36,'Données projet'!$B$36,N47+M48-V47)))</f>
        <v>203.99999999999997</v>
      </c>
      <c r="O48" s="13">
        <f>N48*VLOOKUP('Données projet'!$B$9,Paramètres!$A$1:$I$89,3,0)*VLOOKUP('Données projet'!$B$9,Paramètres!$A$1:$I$89,5,0)</f>
        <v>184.57919999999999</v>
      </c>
      <c r="P48" s="13">
        <f t="shared" si="33"/>
        <v>46.339479465836618</v>
      </c>
      <c r="Q48" s="20">
        <f t="shared" si="53"/>
        <v>402.18336673633206</v>
      </c>
      <c r="R48" s="59">
        <f t="shared" si="0"/>
        <v>675.91460945189078</v>
      </c>
      <c r="S48" s="59">
        <f ca="1">AVERAGE(OFFSET($R$3,0,0,'Données projet'!$E$9+1,1))-AVERAGE(OFFSET($H$3,0,0,'Données projet'!$E$9+1,1))</f>
        <v>473.88815717313474</v>
      </c>
      <c r="T48" s="59">
        <f t="shared" si="34"/>
        <v>287.19790203552895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28</v>
      </c>
      <c r="W48" s="16">
        <f>IF(ISNA(VLOOKUP(A48,'Données projet'!$A$35:$I$55,5,0)),0%,VLOOKUP(A48,'Données projet'!$A$35:$I$55,5,0)*VLOOKUP('Données projet'!$B$9,Paramètres!$A$1:$I$89,7,0))</f>
        <v>8.6000000000000007E-2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4.590036211201765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4.590036211201765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64.653975286061467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204</v>
      </c>
      <c r="AG48" s="12">
        <f>VLOOKUP(A48,'Données projet'!$A$61:$I$81,9,0)</f>
        <v>11.4</v>
      </c>
      <c r="AH48" s="12">
        <f t="array" ref="AH48">INDEX(AG:AG,MIN(IF(ISNUMBER(AG48:AG244),ROW(AG48:AG244),"")))</f>
        <v>11.4</v>
      </c>
      <c r="AI48" s="13">
        <f>IF('Données projet'!$A$62&gt;35,AI47+AH48-AQ47,IF(A48&lt;'Données projet'!$A$62,$AF$205^A48,IF(A48='Données projet'!$A$62,'Données projet'!$B$62,AI47+AH48-AQ47)))</f>
        <v>203.99999999999997</v>
      </c>
      <c r="AJ48" s="13">
        <f>AI48*VLOOKUP('Données projet'!$B$10,Paramètres!$A$1:$I$89,3,0)*VLOOKUP('Données projet'!$B$10,Paramètres!$A$1:$I$89,5,0)</f>
        <v>171.84960000000001</v>
      </c>
      <c r="AK48" s="13">
        <f t="shared" si="35"/>
        <v>43.50401120412441</v>
      </c>
      <c r="AL48" s="20">
        <f t="shared" si="4"/>
        <v>375.07420618051674</v>
      </c>
      <c r="AM48" s="59">
        <f t="shared" si="5"/>
        <v>648.8054488960754</v>
      </c>
      <c r="AN48" s="59">
        <f ca="1">AVERAGE(OFFSET($AM$3,0,0,'Données projet'!$E$10+1,1))-AVERAGE(OFFSET($H$3,0,0,'Données projet'!$E$10+1,1))</f>
        <v>445.19118535527258</v>
      </c>
      <c r="AO48" s="59">
        <f t="shared" si="36"/>
        <v>270.93483242839363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28</v>
      </c>
      <c r="AR48" s="16">
        <f>IF(ISNA(VLOOKUP(A48,'Données projet'!$A$61:$I$81,5,0)),0%,VLOOKUP(A48,'Données projet'!$A$61:$I$81,5,0)*VLOOKUP('Données projet'!$B$10,Paramètres!$A$1:$I$89,7,0))</f>
        <v>8.6000000000000007E-2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4.2734819897395759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4.2734819897395759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64.653975286061467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204</v>
      </c>
      <c r="BB48" s="12">
        <f>VLOOKUP(A48,'Données projet'!$A$87:$I$107,9,0)</f>
        <v>11.4</v>
      </c>
      <c r="BC48" s="12">
        <f t="array" ref="BC48">INDEX(BB:BB,MIN(IF(ISNUMBER(BB48:BB244),ROW(BB48:BB244),"")))</f>
        <v>11.4</v>
      </c>
      <c r="BD48" s="12">
        <f>IF('Données projet'!$A$88&gt;35,BD47+BC48-BL47,IF(A48&lt;'Données projet'!$A$88,$BA$205^A48,IF(A48='Données projet'!$A$88,'Données projet'!$B$88,BD47+BC48-BL47)))</f>
        <v>203.99999999999997</v>
      </c>
      <c r="BE48" s="13">
        <f>BD48*VLOOKUP('Données projet'!$B$11,Paramètres!$A$1:$I$89,3,0)*VLOOKUP('Données projet'!$B$11,Paramètres!$A$1:$I$89,5,0)</f>
        <v>206.85599999999999</v>
      </c>
      <c r="BF48" s="13">
        <f t="shared" si="37"/>
        <v>51.247940588293027</v>
      </c>
      <c r="BG48" s="20">
        <f t="shared" si="7"/>
        <v>449.53102985794368</v>
      </c>
      <c r="BH48" s="59">
        <f t="shared" si="8"/>
        <v>723.2622725735024</v>
      </c>
      <c r="BI48" s="59">
        <f ca="1">AVERAGE(OFFSET($BH$3,0,0,'Données projet'!$E$11+1,1))-AVERAGE(OFFSET($H$3,0,0,'Données projet'!$E$11+1,1))</f>
        <v>524.01140973345832</v>
      </c>
      <c r="BJ48" s="59">
        <f t="shared" si="38"/>
        <v>315.59942237999621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28</v>
      </c>
      <c r="BM48" s="16">
        <f>IF(ISNA(VLOOKUP(A48,'Données projet'!$A$87:$I$107,5,0)),0%,VLOOKUP(A48,'Données projet'!$A$87:$I$107,5,0)*VLOOKUP('Données projet'!$B$11,Paramètres!$A$1:$I$89,7,0))</f>
        <v>8.6000000000000007E-2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5.1440060987606007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5.1440060987606007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64.653975286061467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280</v>
      </c>
      <c r="BW48" s="12">
        <f>VLOOKUP(A48,'Données projet'!$A$113:$I$133,9,0)</f>
        <v>11.4</v>
      </c>
      <c r="BX48" s="12">
        <f t="array" ref="BX48">INDEX(BW:BW,MIN(IF(ISNUMBER(BW48:BW244),ROW(BW48:BW244),"")))</f>
        <v>11.4</v>
      </c>
      <c r="BY48" s="12">
        <f>IF('Données projet'!$A$114&gt;35,BY47+BX48-CG47,IF(A48&lt;'Données projet'!$A$114,$BV$205^A48,IF(A48='Données projet'!$A$114,'Données projet'!$B$114,BY47+BX48-CG47)))</f>
        <v>279.99999999999989</v>
      </c>
      <c r="BZ48" s="13">
        <f>BY48*VLOOKUP('Données projet'!$B$12,Paramètres!$A$1:$I$89,3,0)*VLOOKUP('Données projet'!$B$12,Paramètres!$A$1:$I$89,5,0)</f>
        <v>187.82399999999993</v>
      </c>
      <c r="CA48" s="13">
        <f t="shared" si="39"/>
        <v>47.058548109182688</v>
      </c>
      <c r="CB48" s="20">
        <f t="shared" si="10"/>
        <v>409.08710462349296</v>
      </c>
      <c r="CC48" s="59">
        <f t="shared" si="11"/>
        <v>682.81834733905168</v>
      </c>
      <c r="CD48" s="59">
        <f ca="1">AVERAGE(OFFSET($CC$3,0,0,'Données projet'!$E$12+1,1))-AVERAGE(OFFSET($H$3,0,0,'Données projet'!$E$12+1,1))</f>
        <v>358.95222991910504</v>
      </c>
      <c r="CE48" s="59">
        <f t="shared" si="40"/>
        <v>347.37506646970905</v>
      </c>
      <c r="CF48" s="15">
        <f>IF(ISNA(VLOOKUP(A48,'Données projet'!$A$113:$I$133,3,0)),0,VLOOKUP(A48,'Données projet'!$A$113:$I$133,3,0))</f>
        <v>8</v>
      </c>
      <c r="CG48" s="15">
        <f>IF(ISNA(VLOOKUP(A48,'Données projet'!$A$113:$I$133,4,0)),0,VLOOKUP(A48,'Données projet'!$A$113:$I$133,4,0))</f>
        <v>26</v>
      </c>
      <c r="CH48" s="16">
        <f>IF(ISNA(VLOOKUP(A48,'Données projet'!$A$113:$I$133,5,0)),0%,VLOOKUP(A48,'Données projet'!$A$113:$I$133,5,0)*VLOOKUP('Données projet'!$B$12,Paramètres!$A$1:$I$89,7,0))</f>
        <v>0.159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12.498341854532709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12.498341854532709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64.653975286061467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280</v>
      </c>
      <c r="CR48" s="12">
        <f>VLOOKUP(A48,'Données projet'!$A$139:$I$159,9,0)</f>
        <v>11.4</v>
      </c>
      <c r="CS48" s="12">
        <f t="array" ref="CS48">INDEX(CR:CR,MIN(IF(ISNUMBER(CR48:CR244),ROW(CR48:CR244),"")))</f>
        <v>11.4</v>
      </c>
      <c r="CT48" s="12">
        <f>IF('Données projet'!$A$140&gt;35,CT47+CS48-DB47,IF(A48&lt;'Données projet'!$A$140,$CQ$205^A48,IF(A48='Données projet'!$A$140,'Données projet'!$B$140,CT47+CS48-DB47)))</f>
        <v>279.99999999999989</v>
      </c>
      <c r="CU48" s="17">
        <f>CT48*VLOOKUP('Données projet'!$B$13,Paramètres!$A$1:$I$89,3,0)*VLOOKUP('Données projet'!$B$13,Paramètres!$A$1:$I$89,5,0)</f>
        <v>183.45599999999993</v>
      </c>
      <c r="CV48" s="13">
        <f t="shared" si="41"/>
        <v>46.090229375321108</v>
      </c>
      <c r="CW48" s="20">
        <f t="shared" si="13"/>
        <v>399.79301616201747</v>
      </c>
      <c r="CX48" s="59">
        <f t="shared" si="14"/>
        <v>673.52425887757613</v>
      </c>
      <c r="CY48" s="59">
        <f ca="1">AVERAGE(OFFSET($CX$3,0,0,'Données projet'!$E$13+1,1))-AVERAGE(OFFSET($H$3,0,0,'Données projet'!$E$13+1,1))</f>
        <v>351.7266381615546</v>
      </c>
      <c r="CZ48" s="59">
        <f t="shared" si="42"/>
        <v>340.52483243761799</v>
      </c>
      <c r="DA48" s="15">
        <f>IF(ISNA(VLOOKUP(A48,'Données projet'!$A$139:$I$159,3,0)),0,VLOOKUP(A48,'Données projet'!$A$139:$I$159,3,0))</f>
        <v>8</v>
      </c>
      <c r="DB48" s="15">
        <f>IF(ISNA(VLOOKUP(A48,'Données projet'!$A$139:$I$159,4,0)),0,VLOOKUP(A48,'Données projet'!$A$139:$I$159,4,0))</f>
        <v>26</v>
      </c>
      <c r="DC48" s="16">
        <f>IF(ISNA(VLOOKUP(A48,'Données projet'!$A$139:$I$159,5,0)),0%,VLOOKUP(A48,'Données projet'!$A$139:$I$159,5,0)*VLOOKUP('Données projet'!$B$13,Paramètres!$A$1:$I$89,7,0))</f>
        <v>0.215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21.449984662072943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21.449984662072943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64.653975286061467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241</v>
      </c>
      <c r="DM48" s="12">
        <f>VLOOKUP(A48,'Données projet'!$A$165:$I$185,9,0)</f>
        <v>13.8</v>
      </c>
      <c r="DN48" s="12">
        <f t="array" ref="DN48">INDEX(DM:DM,MIN(IF(ISNUMBER(DM48:DM244),ROW(DM48:DM244),"")))</f>
        <v>13.8</v>
      </c>
      <c r="DO48" s="12">
        <f>IF('Données projet'!$A$166&gt;35,DO47+DN48-DW47,IF(A48&lt;'Données projet'!$A$166,$DL$205^A48,IF(A48='Données projet'!$A$166,'Données projet'!$B$166,DO47+DN48-DW47)))</f>
        <v>241.00000000000014</v>
      </c>
      <c r="DP48" s="17">
        <f>DO48*VLOOKUP('Données projet'!$B$14,Paramètres!$A$1:$I$89,3,0)*VLOOKUP('Données projet'!$B$14,Paramètres!$A$1:$I$89,5,0)</f>
        <v>206.77800000000016</v>
      </c>
      <c r="DQ48" s="13">
        <f t="shared" si="43"/>
        <v>51.230865296361145</v>
      </c>
      <c r="DR48" s="20">
        <f t="shared" si="16"/>
        <v>449.36544039116256</v>
      </c>
      <c r="DS48" s="59">
        <f t="shared" si="17"/>
        <v>723.09668310672123</v>
      </c>
      <c r="DT48" s="59">
        <f ca="1">AVERAGE(OFFSET($DS$3,0,0,'Données projet'!$E$14+1,1))-AVERAGE(OFFSET($H$3,0,0,'Données projet'!$E$14+1,1))</f>
        <v>569.21675741362196</v>
      </c>
      <c r="DU48" s="59">
        <f t="shared" si="44"/>
        <v>321.12410801891679</v>
      </c>
      <c r="DV48" s="15">
        <f>IF(ISNA(VLOOKUP(A48,'Données projet'!$A$165:$I$185,3,0)),0,VLOOKUP(A48,'Données projet'!$A$165:$I$185,3,0))</f>
        <v>6</v>
      </c>
      <c r="DW48" s="15">
        <f>IF(ISNA(VLOOKUP(A48,'Données projet'!$A$165:$I$185,4,0)),0,VLOOKUP(A48,'Données projet'!$A$165:$I$185,4,0))</f>
        <v>35</v>
      </c>
      <c r="DX48" s="16">
        <f>IF(ISNA(VLOOKUP(A48,'Données projet'!$A$165:$I$185,5,0)),0%,VLOOKUP(A48,'Données projet'!$A$165:$I$185,5,0)*VLOOKUP('Données projet'!$B$14,Paramètres!$A$1:$I$89,7,0))</f>
        <v>0.10600000000000001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6.7060723514701026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6.7060723514701026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64.653975286061467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280</v>
      </c>
      <c r="EH48" s="12">
        <f>VLOOKUP(A48,'Données projet'!$A$191:$I$211,9,0)</f>
        <v>11.4</v>
      </c>
      <c r="EI48" s="12">
        <f t="array" ref="EI48">INDEX(EH:EH,MIN(IF(ISNUMBER(EH48:EH244),ROW(EH48:EH244),"")))</f>
        <v>11.4</v>
      </c>
      <c r="EJ48" s="12">
        <f>IF('Données projet'!$A$192&gt;35,EJ47+EI48-ER47,IF(A48&lt;'Données projet'!$A$192,$EG$205^A48,IF(A48='Données projet'!$A$192,'Données projet'!$B$192,EJ47+EI48-ER47)))</f>
        <v>279.99999999999989</v>
      </c>
      <c r="EK48" s="17">
        <f>EJ48*VLOOKUP('Données projet'!$B$15,Paramètres!$A$1:$I$89,3,0)*VLOOKUP('Données projet'!$B$15,Paramètres!$A$1:$I$89,5,0)</f>
        <v>222.76799999999994</v>
      </c>
      <c r="EL48" s="13">
        <f t="shared" si="45"/>
        <v>54.716058356609508</v>
      </c>
      <c r="EM48" s="20">
        <f t="shared" si="19"/>
        <v>483.28473497109485</v>
      </c>
      <c r="EN48" s="59">
        <f t="shared" si="20"/>
        <v>757.01597768665351</v>
      </c>
      <c r="EO48" s="59">
        <f ca="1">AVERAGE(OFFSET($EN$3,0,0,'Données projet'!$E$15+1,1))-AVERAGE(OFFSET($H$3,0,0,'Données projet'!$E$15+1,1))</f>
        <v>416.63597645452791</v>
      </c>
      <c r="EP48" s="59">
        <f t="shared" si="46"/>
        <v>402.05920382353497</v>
      </c>
      <c r="EQ48" s="15">
        <f>IF(ISNA(VLOOKUP(A48,'Données projet'!$A$191:$I$211,3,0)),0,VLOOKUP(A48,'Données projet'!$A$191:$I$211,3,0))</f>
        <v>8</v>
      </c>
      <c r="ER48" s="15">
        <f>IF(ISNA(VLOOKUP(A48,'Données projet'!$A$191:$I$211,4,0)),0,VLOOKUP(A48,'Données projet'!$A$191:$I$211,4,0))</f>
        <v>26</v>
      </c>
      <c r="ES48" s="16">
        <f>IF(ISNA(VLOOKUP(A48,'Données projet'!$A$191:$I$211,5,0)),0%,VLOOKUP(A48,'Données projet'!$A$191:$I$211,5,0)*VLOOKUP('Données projet'!$B$15,Paramètres!$A$1:$I$89,7,0))</f>
        <v>0.26500000000000001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32.103714585594219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32.103714585594219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64.653975286061467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242</v>
      </c>
      <c r="FC48" s="12">
        <f>VLOOKUP(A48,'Données projet'!$A$217:$I$237,9,0)</f>
        <v>9.8000000000000007</v>
      </c>
      <c r="FD48" s="12">
        <f t="array" ref="FD48">INDEX(FC:FC,MIN(IF(ISNUMBER(FC48:FC244),ROW(FC48:FC244),"")))</f>
        <v>9.8000000000000007</v>
      </c>
      <c r="FE48" s="12">
        <f>IF('Données projet'!$A$218&gt;35,FE47+FD48-FM47,IF(A48&lt;'Données projet'!$A$218,$FB$205^A48,IF(A48='Données projet'!$A$218,'Données projet'!$B$218,FE47+FD48-FM47)))</f>
        <v>242.00000000000006</v>
      </c>
      <c r="FF48" s="17">
        <f>FE48*VLOOKUP('Données projet'!$B$16,Paramètres!$A$1:$I$89,3,0)*VLOOKUP('Données projet'!$B$16,Paramètres!$A$1:$I$89,5,0)</f>
        <v>211.41120000000006</v>
      </c>
      <c r="FG48" s="13">
        <f t="shared" si="47"/>
        <v>52.243848094411156</v>
      </c>
      <c r="FH48" s="20">
        <f t="shared" si="22"/>
        <v>459.19920876443285</v>
      </c>
      <c r="FI48" s="59">
        <f t="shared" si="23"/>
        <v>732.93045147999158</v>
      </c>
      <c r="FJ48" s="59">
        <f ca="1">AVERAGE(OFFSET($FI$3,0,0,'Données projet'!$E$16+1,1))-AVERAGE(OFFSET($H$3,0,0,'Données projet'!$E$16+1,1))</f>
        <v>395.57130469647603</v>
      </c>
      <c r="FK48" s="59">
        <f t="shared" si="48"/>
        <v>383.97542781562674</v>
      </c>
      <c r="FL48" s="15">
        <f>IF(ISNA(VLOOKUP(A48,'Données projet'!$A$217:$I$237,3,0)),0,VLOOKUP(A48,'Données projet'!$A$217:$I$237,3,0))</f>
        <v>8</v>
      </c>
      <c r="FM48" s="15">
        <f>IF(ISNA(VLOOKUP(A48,'Données projet'!$A$217:$I$237,4,0)),0,VLOOKUP(A48,'Données projet'!$A$217:$I$237,4,0))</f>
        <v>24</v>
      </c>
      <c r="FN48" s="16">
        <f>IF(ISNA(VLOOKUP(A48,'Données projet'!$A$217:$I$237,5,0)),0%,VLOOKUP(A48,'Données projet'!$A$217:$I$237,5,0)*VLOOKUP('Données projet'!$B$16,Paramètres!$A$1:$I$89,7,0))</f>
        <v>0.26500000000000001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30.112618912607136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30.112618912607136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64.653975286061467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10.375</v>
      </c>
      <c r="FZ48" s="12">
        <f>IF('Données projet'!$A$244&gt;35,FZ47+FY48-GH47,IF(A48&lt;'Données projet'!$A$244,$FW$205^A48,IF(A48='Données projet'!$A$244,'Données projet'!$B$244,FZ47+FY48-GH47)))</f>
        <v>197.37499999999991</v>
      </c>
      <c r="GA48" s="17">
        <f>FZ48*VLOOKUP('Données projet'!$B$17,Paramètres!$A$1:$I$89,3,0)*VLOOKUP('Données projet'!$B$17,Paramètres!$A$1:$I$89,5,0)</f>
        <v>153.95249999999993</v>
      </c>
      <c r="GB48" s="13">
        <f t="shared" si="49"/>
        <v>39.475441267837361</v>
      </c>
      <c r="GC48" s="20">
        <f t="shared" si="25"/>
        <v>336.88699770814992</v>
      </c>
      <c r="GD48" s="59">
        <f t="shared" si="26"/>
        <v>610.61824042370858</v>
      </c>
      <c r="GE48" s="59">
        <f ca="1">AVERAGE(OFFSET($GD$3,0,0,'Données projet'!$E$17+1,1))-AVERAGE(OFFSET($H$3,0,0,'Données projet'!$E$17+1,1))</f>
        <v>301.74744407733351</v>
      </c>
      <c r="GF48" s="59">
        <f t="shared" si="50"/>
        <v>292.46787700966991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15.181977966303162</v>
      </c>
      <c r="GM48" s="21">
        <f>EXP(-LN(2)/25)*GM47+(1-EXP(-LN(2)/25))/(LN(2)/25)*Calculateur!GH48*Calculateur!GJ48*VLOOKUP('Données projet'!$B$17,Paramètres!$A$1:$I$89,3,0)*0.475*44/12</f>
        <v>0</v>
      </c>
      <c r="GN48" s="21">
        <f>EXP(-LN(2)/2)*GN47+(1-EXP(-LN(2)/2))/(LN(2)/2)*GH48*GK48*VLOOKUP('Données projet'!$B$17,Paramètres!$A$1:$I$89,3,0)*0.475*44/12</f>
        <v>0</v>
      </c>
      <c r="GO48" s="21">
        <f t="shared" si="27"/>
        <v>15.181977966303162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64.653975286061467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>
        <f>VLOOKUP(A48,'Données projet'!$A$269:$I$289,2,0)</f>
        <v>280</v>
      </c>
      <c r="GS48" s="12">
        <f>VLOOKUP(A48,'Données projet'!$A$269:$I$289,9,0)</f>
        <v>11.4</v>
      </c>
      <c r="GT48" s="12">
        <f t="array" ref="GT48">INDEX(GS:GS,MIN(IF(ISNUMBER(GS48:GS244),ROW(GS48:GS244),"")))</f>
        <v>11.4</v>
      </c>
      <c r="GU48" s="12">
        <f>IF('Données projet'!$A$270&gt;35,GU47+GT48-HC47,IF(A48&lt;'Données projet'!$A$270,$GR$205^A48,IF(A48='Données projet'!$A$270,'Données projet'!$B$270,GU47+GT48-HC47)))</f>
        <v>279.99999999999989</v>
      </c>
      <c r="GV48" s="17">
        <f>GU48*VLOOKUP('Données projet'!$B$18,Paramètres!$A$1:$I$89,3,0)*VLOOKUP('Données projet'!$B$18,Paramètres!$A$1:$I$89,5,0)</f>
        <v>165.98399999999995</v>
      </c>
      <c r="GW48" s="13">
        <f t="shared" si="51"/>
        <v>42.189325525922243</v>
      </c>
      <c r="GX48" s="20">
        <f t="shared" si="28"/>
        <v>362.56854195764782</v>
      </c>
      <c r="GY48" s="59">
        <f t="shared" si="29"/>
        <v>636.29978467320655</v>
      </c>
      <c r="GZ48" s="59">
        <f ca="1">AVERAGE(OFFSET($GY$3,0,0,'Données projet'!$E$18+1,1))-AVERAGE(OFFSET($H$3,0,0,'Données projet'!$E$18+1,1))</f>
        <v>322.78672881269978</v>
      </c>
      <c r="HA48" s="59">
        <f t="shared" si="52"/>
        <v>313.08736327626434</v>
      </c>
      <c r="HB48" s="15">
        <f>IF(ISNA(VLOOKUP(A48,'Données projet'!$A$269:$I$289,3,0)),0,VLOOKUP(A48,'Données projet'!$A$269:$I$289,3,0))</f>
        <v>8</v>
      </c>
      <c r="HC48" s="15">
        <f>IF(ISNA(VLOOKUP(A48,'Données projet'!$A$269:$I$289,4,0)),0,VLOOKUP(A48,'Données projet'!$A$269:$I$289,4,0))</f>
        <v>26</v>
      </c>
      <c r="HD48" s="16">
        <f>IF(ISNA(VLOOKUP(A48,'Données projet'!$A$269:$I$289,5,0)),0%,VLOOKUP(A48,'Données projet'!$A$269:$I$289,5,0)*VLOOKUP('Données projet'!$B$18,Paramètres!$A$1:$I$89,7,0))</f>
        <v>0.18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>
        <f>EXP(-LN(2)/35)*HG47+(1-EXP(-LN(2)/35))/(LN(2)/35)*HC48*HD48*VLOOKUP('Données projet'!$B$18,Paramètres!$A$1:$I$89,3,0)*0.475*44/12</f>
        <v>12.503825988738296</v>
      </c>
      <c r="HH48" s="21">
        <f>EXP(-LN(2)/25)*HH47+(1-EXP(-LN(2)/25))/(LN(2)/25)*Calculateur!HC48*Calculateur!HE48*VLOOKUP('Données projet'!$B$18,Paramètres!$A$1:$I$89,3,0)*0.475*44/12</f>
        <v>0</v>
      </c>
      <c r="HI48" s="21">
        <f>EXP(-LN(2)/2)*HI47+(1-EXP(-LN(2)/2))/(LN(2)/2)*HC48*HF48*VLOOKUP('Données projet'!$B$18,Paramètres!$A$1:$I$89,3,0)*0.475*44/12</f>
        <v>0</v>
      </c>
      <c r="HJ48" s="22">
        <f t="shared" si="30"/>
        <v>12.503825988738296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2.3499999999999996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8.6166666666666654</v>
      </c>
      <c r="H49" s="67">
        <f t="shared" si="1"/>
        <v>222.20000000000002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64.74671686292757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</v>
      </c>
      <c r="N49" s="13">
        <f>IF('Données projet'!$A$36&gt;35,N48+M49-V48,IF(A49&lt;'Données projet'!$A$36,$K$205^A49,IF(A49='Données projet'!$A$36,'Données projet'!$B$36,N48+M49-V48)))</f>
        <v>186.99999999999997</v>
      </c>
      <c r="O49" s="13">
        <f>N49*VLOOKUP('Données projet'!$B$9,Paramètres!$A$1:$I$89,3,0)*VLOOKUP('Données projet'!$B$9,Paramètres!$A$1:$I$89,5,0)</f>
        <v>169.19759999999997</v>
      </c>
      <c r="P49" s="13">
        <f t="shared" si="33"/>
        <v>42.910263223432885</v>
      </c>
      <c r="Q49" s="20">
        <f t="shared" si="53"/>
        <v>369.42119511414552</v>
      </c>
      <c r="R49" s="59">
        <f t="shared" si="0"/>
        <v>643.49249027821327</v>
      </c>
      <c r="S49" s="59">
        <f ca="1">AVERAGE(OFFSET($R$3,0,0,'Données projet'!$E$9+1,1))-AVERAGE(OFFSET($H$3,0,0,'Données projet'!$E$9+1,1))</f>
        <v>473.88815717313474</v>
      </c>
      <c r="T49" s="59">
        <f t="shared" si="34"/>
        <v>287.19790203552895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4.5000284007457454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4.5000284007457454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64.74671686292757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</v>
      </c>
      <c r="AI49" s="13">
        <f>IF('Données projet'!$A$62&gt;35,AI48+AH49-AQ48,IF(A49&lt;'Données projet'!$A$62,$AF$205^A49,IF(A49='Données projet'!$A$62,'Données projet'!$B$62,AI48+AH49-AQ48)))</f>
        <v>186.99999999999997</v>
      </c>
      <c r="AJ49" s="13">
        <f>AI49*VLOOKUP('Données projet'!$B$10,Paramètres!$A$1:$I$89,3,0)*VLOOKUP('Données projet'!$B$10,Paramètres!$A$1:$I$89,5,0)</f>
        <v>157.52879999999999</v>
      </c>
      <c r="AK49" s="13">
        <f t="shared" si="35"/>
        <v>40.284625411478977</v>
      </c>
      <c r="AL49" s="20">
        <f t="shared" si="4"/>
        <v>344.52504925832585</v>
      </c>
      <c r="AM49" s="59">
        <f t="shared" si="5"/>
        <v>618.5963444223936</v>
      </c>
      <c r="AN49" s="59">
        <f ca="1">AVERAGE(OFFSET($AM$3,0,0,'Données projet'!$E$10+1,1))-AVERAGE(OFFSET($H$3,0,0,'Données projet'!$E$10+1,1))</f>
        <v>445.19118535527258</v>
      </c>
      <c r="AO49" s="59">
        <f t="shared" si="36"/>
        <v>270.93483242839363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4.1896816144874194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4.1896816144874194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64.74671686292757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</v>
      </c>
      <c r="BD49" s="12">
        <f>IF('Données projet'!$A$88&gt;35,BD48+BC49-BL48,IF(A49&lt;'Données projet'!$A$88,$BA$205^A49,IF(A49='Données projet'!$A$88,'Données projet'!$B$88,BD48+BC49-BL48)))</f>
        <v>186.99999999999997</v>
      </c>
      <c r="BE49" s="13">
        <f>BD49*VLOOKUP('Données projet'!$B$11,Paramètres!$A$1:$I$89,3,0)*VLOOKUP('Données projet'!$B$11,Paramètres!$A$1:$I$89,5,0)</f>
        <v>189.61799999999997</v>
      </c>
      <c r="BF49" s="13">
        <f t="shared" si="37"/>
        <v>47.4554881852685</v>
      </c>
      <c r="BG49" s="20">
        <f t="shared" si="7"/>
        <v>412.90299192267588</v>
      </c>
      <c r="BH49" s="59">
        <f t="shared" si="8"/>
        <v>686.97428708674363</v>
      </c>
      <c r="BI49" s="59">
        <f ca="1">AVERAGE(OFFSET($BH$3,0,0,'Données projet'!$E$11+1,1))-AVERAGE(OFFSET($H$3,0,0,'Données projet'!$E$11+1,1))</f>
        <v>524.01140973345832</v>
      </c>
      <c r="BJ49" s="59">
        <f t="shared" si="38"/>
        <v>315.59942237999621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5.0431352766978197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5.0431352766978197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64.74671686292757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9.8000000000000007</v>
      </c>
      <c r="BY49" s="12">
        <f>IF('Données projet'!$A$114&gt;35,BY48+BX49-CG48,IF(A49&lt;'Données projet'!$A$114,$BV$205^A49,IF(A49='Données projet'!$A$114,'Données projet'!$B$114,BY48+BX49-CG48)))</f>
        <v>263.7999999999999</v>
      </c>
      <c r="BZ49" s="13">
        <f>BY49*VLOOKUP('Données projet'!$B$12,Paramètres!$A$1:$I$89,3,0)*VLOOKUP('Données projet'!$B$12,Paramètres!$A$1:$I$89,5,0)</f>
        <v>176.95703999999995</v>
      </c>
      <c r="CA49" s="13">
        <f t="shared" si="39"/>
        <v>44.64451330516016</v>
      </c>
      <c r="CB49" s="20">
        <f t="shared" si="10"/>
        <v>385.95603867315384</v>
      </c>
      <c r="CC49" s="59">
        <f t="shared" si="11"/>
        <v>660.02733383722159</v>
      </c>
      <c r="CD49" s="59">
        <f ca="1">AVERAGE(OFFSET($CC$3,0,0,'Données projet'!$E$12+1,1))-AVERAGE(OFFSET($H$3,0,0,'Données projet'!$E$12+1,1))</f>
        <v>358.95222991910504</v>
      </c>
      <c r="CE49" s="59">
        <f t="shared" si="40"/>
        <v>347.37506646970905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12.253256994001122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12.253256994001122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64.74671686292757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9.8000000000000007</v>
      </c>
      <c r="CT49" s="12">
        <f>IF('Données projet'!$A$140&gt;35,CT48+CS49-DB48,IF(A49&lt;'Données projet'!$A$140,$CQ$205^A49,IF(A49='Données projet'!$A$140,'Données projet'!$B$140,CT48+CS49-DB48)))</f>
        <v>263.7999999999999</v>
      </c>
      <c r="CU49" s="17">
        <f>CT49*VLOOKUP('Données projet'!$B$13,Paramètres!$A$1:$I$89,3,0)*VLOOKUP('Données projet'!$B$13,Paramètres!$A$1:$I$89,5,0)</f>
        <v>172.84175999999994</v>
      </c>
      <c r="CV49" s="13">
        <f t="shared" si="41"/>
        <v>43.725867908425457</v>
      </c>
      <c r="CW49" s="20">
        <f t="shared" si="13"/>
        <v>377.18861860717419</v>
      </c>
      <c r="CX49" s="59">
        <f t="shared" si="14"/>
        <v>651.25991377124194</v>
      </c>
      <c r="CY49" s="59">
        <f ca="1">AVERAGE(OFFSET($CX$3,0,0,'Données projet'!$E$13+1,1))-AVERAGE(OFFSET($H$3,0,0,'Données projet'!$E$13+1,1))</f>
        <v>351.7266381615546</v>
      </c>
      <c r="CZ49" s="59">
        <f t="shared" si="42"/>
        <v>340.52483243761799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21.029363546048479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21.029363546048479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64.74671686292757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13.6</v>
      </c>
      <c r="DO49" s="12">
        <f>IF('Données projet'!$A$166&gt;35,DO48+DN49-DW48,IF(A49&lt;'Données projet'!$A$166,$DL$205^A49,IF(A49='Données projet'!$A$166,'Données projet'!$B$166,DO48+DN49-DW48)))</f>
        <v>219.60000000000014</v>
      </c>
      <c r="DP49" s="17">
        <f>DO49*VLOOKUP('Données projet'!$B$14,Paramètres!$A$1:$I$89,3,0)*VLOOKUP('Données projet'!$B$14,Paramètres!$A$1:$I$89,5,0)</f>
        <v>188.41680000000014</v>
      </c>
      <c r="DQ49" s="13">
        <f t="shared" si="43"/>
        <v>47.189759534268717</v>
      </c>
      <c r="DR49" s="20">
        <f t="shared" si="16"/>
        <v>410.34809118885158</v>
      </c>
      <c r="DS49" s="59">
        <f t="shared" si="17"/>
        <v>684.41938635291933</v>
      </c>
      <c r="DT49" s="59">
        <f ca="1">AVERAGE(OFFSET($DS$3,0,0,'Données projet'!$E$14+1,1))-AVERAGE(OFFSET($H$3,0,0,'Données projet'!$E$14+1,1))</f>
        <v>569.21675741362196</v>
      </c>
      <c r="DU49" s="59">
        <f t="shared" si="44"/>
        <v>321.12410801891679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6.574570362958025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6.574570362958025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64.74671686292757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9.8000000000000007</v>
      </c>
      <c r="EJ49" s="12">
        <f>IF('Données projet'!$A$192&gt;35,EJ48+EI49-ER48,IF(A49&lt;'Données projet'!$A$192,$EG$205^A49,IF(A49='Données projet'!$A$192,'Données projet'!$B$192,EJ48+EI49-ER48)))</f>
        <v>263.7999999999999</v>
      </c>
      <c r="EK49" s="17">
        <f>EJ49*VLOOKUP('Données projet'!$B$15,Paramètres!$A$1:$I$89,3,0)*VLOOKUP('Données projet'!$B$15,Paramètres!$A$1:$I$89,5,0)</f>
        <v>209.87927999999994</v>
      </c>
      <c r="EL49" s="13">
        <f t="shared" si="45"/>
        <v>51.909204458241767</v>
      </c>
      <c r="EM49" s="20">
        <f t="shared" si="19"/>
        <v>455.94827709810426</v>
      </c>
      <c r="EN49" s="59">
        <f t="shared" si="20"/>
        <v>730.01957226217201</v>
      </c>
      <c r="EO49" s="59">
        <f ca="1">AVERAGE(OFFSET($EN$3,0,0,'Données projet'!$E$15+1,1))-AVERAGE(OFFSET($H$3,0,0,'Données projet'!$E$15+1,1))</f>
        <v>416.63597645452791</v>
      </c>
      <c r="EP49" s="59">
        <f t="shared" si="46"/>
        <v>402.05920382353497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31.474180323903116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31.474180323903116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64.74671686292757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8.6</v>
      </c>
      <c r="FE49" s="12">
        <f>IF('Données projet'!$A$218&gt;35,FE48+FD49-FM48,IF(A49&lt;'Données projet'!$A$218,$FB$205^A49,IF(A49='Données projet'!$A$218,'Données projet'!$B$218,FE48+FD49-FM48)))</f>
        <v>226.60000000000005</v>
      </c>
      <c r="FF49" s="17">
        <f>FE49*VLOOKUP('Données projet'!$B$16,Paramètres!$A$1:$I$89,3,0)*VLOOKUP('Données projet'!$B$16,Paramètres!$A$1:$I$89,5,0)</f>
        <v>197.95776000000006</v>
      </c>
      <c r="FG49" s="13">
        <f t="shared" si="47"/>
        <v>49.295077435194649</v>
      </c>
      <c r="FH49" s="20">
        <f t="shared" si="22"/>
        <v>430.63202519963079</v>
      </c>
      <c r="FI49" s="59">
        <f t="shared" si="23"/>
        <v>704.70332036369859</v>
      </c>
      <c r="FJ49" s="59">
        <f ca="1">AVERAGE(OFFSET($FI$3,0,0,'Données projet'!$E$16+1,1))-AVERAGE(OFFSET($H$3,0,0,'Données projet'!$E$16+1,1))</f>
        <v>395.57130469647603</v>
      </c>
      <c r="FK49" s="59">
        <f t="shared" si="48"/>
        <v>383.97542781562674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29.522128822614867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29.522128822614867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64.74671686292757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10.375</v>
      </c>
      <c r="FZ49" s="12">
        <f>IF('Données projet'!$A$244&gt;35,FZ48+FY49-GH48,IF(A49&lt;'Données projet'!$A$244,$FW$205^A49,IF(A49='Données projet'!$A$244,'Données projet'!$B$244,FZ48+FY49-GH48)))</f>
        <v>207.74999999999991</v>
      </c>
      <c r="GA49" s="17">
        <f>FZ49*VLOOKUP('Données projet'!$B$17,Paramètres!$A$1:$I$89,3,0)*VLOOKUP('Données projet'!$B$17,Paramètres!$A$1:$I$89,5,0)</f>
        <v>162.04499999999993</v>
      </c>
      <c r="GB49" s="13">
        <f t="shared" si="49"/>
        <v>41.303429372463391</v>
      </c>
      <c r="GC49" s="20">
        <f t="shared" si="25"/>
        <v>354.16518115704025</v>
      </c>
      <c r="GD49" s="59">
        <f t="shared" si="26"/>
        <v>628.23647632110806</v>
      </c>
      <c r="GE49" s="59">
        <f ca="1">AVERAGE(OFFSET($GD$3,0,0,'Données projet'!$E$17+1,1))-AVERAGE(OFFSET($H$3,0,0,'Données projet'!$E$17+1,1))</f>
        <v>301.74744407733351</v>
      </c>
      <c r="GF49" s="59">
        <f t="shared" si="50"/>
        <v>292.46787700966991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14.884268638476158</v>
      </c>
      <c r="GM49" s="21">
        <f>EXP(-LN(2)/25)*GM48+(1-EXP(-LN(2)/25))/(LN(2)/25)*Calculateur!GH49*Calculateur!GJ49*VLOOKUP('Données projet'!$B$17,Paramètres!$A$1:$I$89,3,0)*0.475*44/12</f>
        <v>0</v>
      </c>
      <c r="GN49" s="21">
        <f>EXP(-LN(2)/2)*GN48+(1-EXP(-LN(2)/2))/(LN(2)/2)*GH49*GK49*VLOOKUP('Données projet'!$B$17,Paramètres!$A$1:$I$89,3,0)*0.475*44/12</f>
        <v>0</v>
      </c>
      <c r="GO49" s="21">
        <f t="shared" si="27"/>
        <v>14.884268638476158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64.74671686292757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9.8000000000000007</v>
      </c>
      <c r="GU49" s="12">
        <f>IF('Données projet'!$A$270&gt;35,GU48+GT49-HC48,IF(A49&lt;'Données projet'!$A$270,$GR$205^A49,IF(A49='Données projet'!$A$270,'Données projet'!$B$270,GU48+GT49-HC48)))</f>
        <v>263.7999999999999</v>
      </c>
      <c r="GV49" s="17">
        <f>GU49*VLOOKUP('Données projet'!$B$18,Paramètres!$A$1:$I$89,3,0)*VLOOKUP('Données projet'!$B$18,Paramètres!$A$1:$I$89,5,0)</f>
        <v>156.38063999999994</v>
      </c>
      <c r="GW49" s="13">
        <f t="shared" si="51"/>
        <v>40.02507473047671</v>
      </c>
      <c r="GX49" s="20">
        <f t="shared" si="28"/>
        <v>342.07328648891354</v>
      </c>
      <c r="GY49" s="59">
        <f t="shared" si="29"/>
        <v>616.14458165298129</v>
      </c>
      <c r="GZ49" s="59">
        <f ca="1">AVERAGE(OFFSET($GY$3,0,0,'Données projet'!$E$18+1,1))-AVERAGE(OFFSET($H$3,0,0,'Données projet'!$E$18+1,1))</f>
        <v>322.78672881269978</v>
      </c>
      <c r="HA49" s="59">
        <f t="shared" si="52"/>
        <v>313.08736327626434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12.258633587679929</v>
      </c>
      <c r="HH49" s="21">
        <f>EXP(-LN(2)/25)*HH48+(1-EXP(-LN(2)/25))/(LN(2)/25)*Calculateur!HC49*Calculateur!HE49*VLOOKUP('Données projet'!$B$18,Paramètres!$A$1:$I$89,3,0)*0.475*44/12</f>
        <v>0</v>
      </c>
      <c r="HI49" s="21">
        <f>EXP(-LN(2)/2)*HI48+(1-EXP(-LN(2)/2))/(LN(2)/2)*HC49*HF49*VLOOKUP('Données projet'!$B$18,Paramètres!$A$1:$I$89,3,0)*0.475*44/12</f>
        <v>0</v>
      </c>
      <c r="HJ49" s="22">
        <f t="shared" si="30"/>
        <v>12.258633587679929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2.3499999999999996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8.6166666666666654</v>
      </c>
      <c r="H50" s="67">
        <f t="shared" si="1"/>
        <v>222.20000000000002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64.837849580774133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</v>
      </c>
      <c r="N50" s="13">
        <f>IF('Données projet'!$A$36&gt;35,N49+M50-V49,IF(A50&lt;'Données projet'!$A$36,$K$205^A50,IF(A50='Données projet'!$A$36,'Données projet'!$B$36,N49+M50-V49)))</f>
        <v>197.99999999999997</v>
      </c>
      <c r="O50" s="13">
        <f>N50*VLOOKUP('Données projet'!$B$9,Paramètres!$A$1:$I$89,3,0)*VLOOKUP('Données projet'!$B$9,Paramètres!$A$1:$I$89,5,0)</f>
        <v>179.15039999999996</v>
      </c>
      <c r="P50" s="13">
        <f t="shared" si="33"/>
        <v>45.133113803437304</v>
      </c>
      <c r="Q50" s="20">
        <f t="shared" si="53"/>
        <v>390.62711987431993</v>
      </c>
      <c r="R50" s="59">
        <f t="shared" si="0"/>
        <v>665.03256833715841</v>
      </c>
      <c r="S50" s="59">
        <f ca="1">AVERAGE(OFFSET($R$3,0,0,'Données projet'!$E$9+1,1))-AVERAGE(OFFSET($H$3,0,0,'Données projet'!$E$9+1,1))</f>
        <v>473.88815717313474</v>
      </c>
      <c r="T50" s="59">
        <f t="shared" si="34"/>
        <v>287.19790203552895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4.4117855885534247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4.4117855885534247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64.837849580774133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</v>
      </c>
      <c r="AI50" s="13">
        <f>IF('Données projet'!$A$62&gt;35,AI49+AH50-AQ49,IF(A50&lt;'Données projet'!$A$62,$AF$205^A50,IF(A50='Données projet'!$A$62,'Données projet'!$B$62,AI49+AH50-AQ49)))</f>
        <v>197.99999999999997</v>
      </c>
      <c r="AJ50" s="13">
        <f>AI50*VLOOKUP('Données projet'!$B$10,Paramètres!$A$1:$I$89,3,0)*VLOOKUP('Données projet'!$B$10,Paramètres!$A$1:$I$89,5,0)</f>
        <v>166.79519999999999</v>
      </c>
      <c r="AK50" s="13">
        <f t="shared" si="35"/>
        <v>42.371461898472788</v>
      </c>
      <c r="AL50" s="20">
        <f t="shared" si="4"/>
        <v>364.29860280650678</v>
      </c>
      <c r="AM50" s="59">
        <f t="shared" si="5"/>
        <v>638.7040512693452</v>
      </c>
      <c r="AN50" s="59">
        <f ca="1">AVERAGE(OFFSET($AM$3,0,0,'Données projet'!$E$10+1,1))-AVERAGE(OFFSET($H$3,0,0,'Données projet'!$E$10+1,1))</f>
        <v>445.19118535527258</v>
      </c>
      <c r="AO50" s="59">
        <f t="shared" si="36"/>
        <v>270.93483242839363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4.1075245134807759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4.1075245134807759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64.837849580774133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</v>
      </c>
      <c r="BD50" s="12">
        <f>IF('Données projet'!$A$88&gt;35,BD49+BC50-BL49,IF(A50&lt;'Données projet'!$A$88,$BA$205^A50,IF(A50='Données projet'!$A$88,'Données projet'!$B$88,BD49+BC50-BL49)))</f>
        <v>197.99999999999997</v>
      </c>
      <c r="BE50" s="13">
        <f>BD50*VLOOKUP('Données projet'!$B$11,Paramètres!$A$1:$I$89,3,0)*VLOOKUP('Données projet'!$B$11,Paramètres!$A$1:$I$89,5,0)</f>
        <v>200.77199999999999</v>
      </c>
      <c r="BF50" s="13">
        <f t="shared" si="37"/>
        <v>49.913791898945412</v>
      </c>
      <c r="BG50" s="20">
        <f t="shared" si="7"/>
        <v>436.61108755732994</v>
      </c>
      <c r="BH50" s="59">
        <f t="shared" si="8"/>
        <v>711.01653602016836</v>
      </c>
      <c r="BI50" s="59">
        <f ca="1">AVERAGE(OFFSET($BH$3,0,0,'Données projet'!$E$11+1,1))-AVERAGE(OFFSET($H$3,0,0,'Données projet'!$E$11+1,1))</f>
        <v>524.01140973345832</v>
      </c>
      <c r="BJ50" s="59">
        <f t="shared" si="38"/>
        <v>315.59942237999621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4.9442424699305638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4.9442424699305638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64.837849580774133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9.8000000000000007</v>
      </c>
      <c r="BY50" s="12">
        <f>IF('Données projet'!$A$114&gt;35,BY49+BX50-CG49,IF(A50&lt;'Données projet'!$A$114,$BV$205^A50,IF(A50='Données projet'!$A$114,'Données projet'!$B$114,BY49+BX50-CG49)))</f>
        <v>273.59999999999991</v>
      </c>
      <c r="BZ50" s="13">
        <f>BY50*VLOOKUP('Données projet'!$B$12,Paramètres!$A$1:$I$89,3,0)*VLOOKUP('Données projet'!$B$12,Paramètres!$A$1:$I$89,5,0)</f>
        <v>183.53087999999994</v>
      </c>
      <c r="CA50" s="13">
        <f t="shared" si="39"/>
        <v>46.106851562826662</v>
      </c>
      <c r="CB50" s="20">
        <f t="shared" si="10"/>
        <v>399.95238247192304</v>
      </c>
      <c r="CC50" s="59">
        <f t="shared" si="11"/>
        <v>674.35783093476152</v>
      </c>
      <c r="CD50" s="59">
        <f ca="1">AVERAGE(OFFSET($CC$3,0,0,'Données projet'!$E$12+1,1))-AVERAGE(OFFSET($H$3,0,0,'Données projet'!$E$12+1,1))</f>
        <v>358.95222991910504</v>
      </c>
      <c r="CE50" s="59">
        <f t="shared" si="40"/>
        <v>347.37506646970905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12.012978098097555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12.012978098097555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64.837849580774133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9.8000000000000007</v>
      </c>
      <c r="CT50" s="12">
        <f>IF('Données projet'!$A$140&gt;35,CT49+CS50-DB49,IF(A50&lt;'Données projet'!$A$140,$CQ$205^A50,IF(A50='Données projet'!$A$140,'Données projet'!$B$140,CT49+CS50-DB49)))</f>
        <v>273.59999999999991</v>
      </c>
      <c r="CU50" s="17">
        <f>CT50*VLOOKUP('Données projet'!$B$13,Paramètres!$A$1:$I$89,3,0)*VLOOKUP('Données projet'!$B$13,Paramètres!$A$1:$I$89,5,0)</f>
        <v>179.26271999999994</v>
      </c>
      <c r="CV50" s="13">
        <f t="shared" si="41"/>
        <v>45.158115787467111</v>
      </c>
      <c r="CW50" s="20">
        <f t="shared" si="13"/>
        <v>390.86628899650509</v>
      </c>
      <c r="CX50" s="59">
        <f t="shared" si="14"/>
        <v>665.27173745934351</v>
      </c>
      <c r="CY50" s="59">
        <f ca="1">AVERAGE(OFFSET($CX$3,0,0,'Données projet'!$E$13+1,1))-AVERAGE(OFFSET($H$3,0,0,'Données projet'!$E$13+1,1))</f>
        <v>351.7266381615546</v>
      </c>
      <c r="CZ50" s="59">
        <f t="shared" si="42"/>
        <v>340.52483243761799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20.616990553555706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20.616990553555706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64.837849580774133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13.6</v>
      </c>
      <c r="DO50" s="12">
        <f>IF('Données projet'!$A$166&gt;35,DO49+DN50-DW49,IF(A50&lt;'Données projet'!$A$166,$DL$205^A50,IF(A50='Données projet'!$A$166,'Données projet'!$B$166,DO49+DN50-DW49)))</f>
        <v>233.20000000000013</v>
      </c>
      <c r="DP50" s="17">
        <f>DO50*VLOOKUP('Données projet'!$B$14,Paramètres!$A$1:$I$89,3,0)*VLOOKUP('Données projet'!$B$14,Paramètres!$A$1:$I$89,5,0)</f>
        <v>200.08560000000011</v>
      </c>
      <c r="DQ50" s="13">
        <f t="shared" si="43"/>
        <v>49.762979545996977</v>
      </c>
      <c r="DR50" s="20">
        <f t="shared" si="16"/>
        <v>435.15294270927825</v>
      </c>
      <c r="DS50" s="59">
        <f t="shared" si="17"/>
        <v>709.55839117211667</v>
      </c>
      <c r="DT50" s="59">
        <f ca="1">AVERAGE(OFFSET($DS$3,0,0,'Données projet'!$E$14+1,1))-AVERAGE(OFFSET($H$3,0,0,'Données projet'!$E$14+1,1))</f>
        <v>569.21675741362196</v>
      </c>
      <c r="DU50" s="59">
        <f t="shared" si="44"/>
        <v>321.12410801891679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6.4456470482323756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6.4456470482323756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64.837849580774133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9.8000000000000007</v>
      </c>
      <c r="EJ50" s="12">
        <f>IF('Données projet'!$A$192&gt;35,EJ49+EI50-ER49,IF(A50&lt;'Données projet'!$A$192,$EG$205^A50,IF(A50='Données projet'!$A$192,'Données projet'!$B$192,EJ49+EI50-ER49)))</f>
        <v>273.59999999999991</v>
      </c>
      <c r="EK50" s="17">
        <f>EJ50*VLOOKUP('Données projet'!$B$15,Paramètres!$A$1:$I$89,3,0)*VLOOKUP('Données projet'!$B$15,Paramètres!$A$1:$I$89,5,0)</f>
        <v>217.67615999999992</v>
      </c>
      <c r="EL50" s="13">
        <f t="shared" si="45"/>
        <v>53.609498850196708</v>
      </c>
      <c r="EM50" s="20">
        <f t="shared" si="19"/>
        <v>472.48918916409235</v>
      </c>
      <c r="EN50" s="59">
        <f t="shared" si="20"/>
        <v>746.89463762693083</v>
      </c>
      <c r="EO50" s="59">
        <f ca="1">AVERAGE(OFFSET($EN$3,0,0,'Données projet'!$E$15+1,1))-AVERAGE(OFFSET($H$3,0,0,'Données projet'!$E$15+1,1))</f>
        <v>416.63597645452791</v>
      </c>
      <c r="EP50" s="59">
        <f t="shared" si="46"/>
        <v>402.05920382353497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30.856990845105791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30.856990845105791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64.837849580774133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8.6</v>
      </c>
      <c r="FE50" s="12">
        <f>IF('Données projet'!$A$218&gt;35,FE49+FD50-FM49,IF(A50&lt;'Données projet'!$A$218,$FB$205^A50,IF(A50='Données projet'!$A$218,'Données projet'!$B$218,FE49+FD50-FM49)))</f>
        <v>235.20000000000005</v>
      </c>
      <c r="FF50" s="17">
        <f>FE50*VLOOKUP('Données projet'!$B$16,Paramètres!$A$1:$I$89,3,0)*VLOOKUP('Données projet'!$B$16,Paramètres!$A$1:$I$89,5,0)</f>
        <v>205.47072000000009</v>
      </c>
      <c r="FG50" s="13">
        <f t="shared" si="47"/>
        <v>50.944571570352757</v>
      </c>
      <c r="FH50" s="20">
        <f t="shared" si="22"/>
        <v>446.58996615169781</v>
      </c>
      <c r="FI50" s="59">
        <f t="shared" si="23"/>
        <v>720.99541461453623</v>
      </c>
      <c r="FJ50" s="59">
        <f ca="1">AVERAGE(OFFSET($FI$3,0,0,'Données projet'!$E$16+1,1))-AVERAGE(OFFSET($H$3,0,0,'Données projet'!$E$16+1,1))</f>
        <v>395.57130469647603</v>
      </c>
      <c r="FK50" s="59">
        <f t="shared" si="48"/>
        <v>383.97542781562674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28.943217883123957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28.943217883123957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64.837849580774133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10.375</v>
      </c>
      <c r="FZ50" s="12">
        <f>IF('Données projet'!$A$244&gt;35,FZ49+FY50-GH49,IF(A50&lt;'Données projet'!$A$244,$FW$205^A50,IF(A50='Données projet'!$A$244,'Données projet'!$B$244,FZ49+FY50-GH49)))</f>
        <v>218.12499999999991</v>
      </c>
      <c r="GA50" s="17">
        <f>FZ50*VLOOKUP('Données projet'!$B$17,Paramètres!$A$1:$I$89,3,0)*VLOOKUP('Données projet'!$B$17,Paramètres!$A$1:$I$89,5,0)</f>
        <v>170.13749999999993</v>
      </c>
      <c r="GB50" s="13">
        <f t="shared" si="49"/>
        <v>43.120817562072375</v>
      </c>
      <c r="GC50" s="20">
        <f t="shared" si="25"/>
        <v>371.42490308727588</v>
      </c>
      <c r="GD50" s="59">
        <f t="shared" si="26"/>
        <v>645.8303515501143</v>
      </c>
      <c r="GE50" s="59">
        <f ca="1">AVERAGE(OFFSET($GD$3,0,0,'Données projet'!$E$17+1,1))-AVERAGE(OFFSET($H$3,0,0,'Données projet'!$E$17+1,1))</f>
        <v>301.74744407733351</v>
      </c>
      <c r="GF50" s="59">
        <f t="shared" si="50"/>
        <v>292.46787700966991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14.592397208983082</v>
      </c>
      <c r="GM50" s="21">
        <f>EXP(-LN(2)/25)*GM49+(1-EXP(-LN(2)/25))/(LN(2)/25)*Calculateur!GH50*Calculateur!GJ50*VLOOKUP('Données projet'!$B$17,Paramètres!$A$1:$I$89,3,0)*0.475*44/12</f>
        <v>0</v>
      </c>
      <c r="GN50" s="21">
        <f>EXP(-LN(2)/2)*GN49+(1-EXP(-LN(2)/2))/(LN(2)/2)*GH50*GK50*VLOOKUP('Données projet'!$B$17,Paramètres!$A$1:$I$89,3,0)*0.475*44/12</f>
        <v>0</v>
      </c>
      <c r="GO50" s="21">
        <f t="shared" si="27"/>
        <v>14.592397208983082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64.837849580774133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9.8000000000000007</v>
      </c>
      <c r="GU50" s="12">
        <f>IF('Données projet'!$A$270&gt;35,GU49+GT50-HC49,IF(A50&lt;'Données projet'!$A$270,$GR$205^A50,IF(A50='Données projet'!$A$270,'Données projet'!$B$270,GU49+GT50-HC49)))</f>
        <v>273.59999999999991</v>
      </c>
      <c r="GV50" s="17">
        <f>GU50*VLOOKUP('Données projet'!$B$18,Paramètres!$A$1:$I$89,3,0)*VLOOKUP('Données projet'!$B$18,Paramètres!$A$1:$I$89,5,0)</f>
        <v>162.19007999999994</v>
      </c>
      <c r="GW50" s="13">
        <f t="shared" si="51"/>
        <v>41.336102530113891</v>
      </c>
      <c r="GX50" s="20">
        <f t="shared" si="28"/>
        <v>354.47476790661489</v>
      </c>
      <c r="GY50" s="59">
        <f t="shared" si="29"/>
        <v>628.88021636945336</v>
      </c>
      <c r="GZ50" s="59">
        <f ca="1">AVERAGE(OFFSET($GY$3,0,0,'Données projet'!$E$18+1,1))-AVERAGE(OFFSET($H$3,0,0,'Données projet'!$E$18+1,1))</f>
        <v>322.78672881269978</v>
      </c>
      <c r="HA50" s="59">
        <f t="shared" si="52"/>
        <v>313.08736327626434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12.01824926005372</v>
      </c>
      <c r="HH50" s="21">
        <f>EXP(-LN(2)/25)*HH49+(1-EXP(-LN(2)/25))/(LN(2)/25)*Calculateur!HC50*Calculateur!HE50*VLOOKUP('Données projet'!$B$18,Paramètres!$A$1:$I$89,3,0)*0.475*44/12</f>
        <v>0</v>
      </c>
      <c r="HI50" s="21">
        <f>EXP(-LN(2)/2)*HI49+(1-EXP(-LN(2)/2))/(LN(2)/2)*HC50*HF50*VLOOKUP('Données projet'!$B$18,Paramètres!$A$1:$I$89,3,0)*0.475*44/12</f>
        <v>0</v>
      </c>
      <c r="HJ50" s="22">
        <f t="shared" si="30"/>
        <v>12.01824926005372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2.3499999999999996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8.6166666666666654</v>
      </c>
      <c r="H51" s="67">
        <f t="shared" si="1"/>
        <v>222.20000000000002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64.927401349708319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</v>
      </c>
      <c r="N51" s="13">
        <f>IF('Données projet'!$A$36&gt;35,N50+M51-V50,IF(A51&lt;'Données projet'!$A$36,$K$205^A51,IF(A51='Données projet'!$A$36,'Données projet'!$B$36,N50+M51-V50)))</f>
        <v>208.99999999999997</v>
      </c>
      <c r="O51" s="13">
        <f>N51*VLOOKUP('Données projet'!$B$9,Paramètres!$A$1:$I$89,3,0)*VLOOKUP('Données projet'!$B$9,Paramètres!$A$1:$I$89,5,0)</f>
        <v>189.10319999999996</v>
      </c>
      <c r="P51" s="13">
        <f t="shared" si="33"/>
        <v>47.34162854278712</v>
      </c>
      <c r="Q51" s="20">
        <f t="shared" si="53"/>
        <v>411.80807637868747</v>
      </c>
      <c r="R51" s="59">
        <f t="shared" si="0"/>
        <v>686.54188132761806</v>
      </c>
      <c r="S51" s="59">
        <f ca="1">AVERAGE(OFFSET($R$3,0,0,'Données projet'!$E$9+1,1))-AVERAGE(OFFSET($H$3,0,0,'Données projet'!$E$9+1,1))</f>
        <v>473.88815717313474</v>
      </c>
      <c r="T51" s="59">
        <f t="shared" si="34"/>
        <v>287.19790203552895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4.3252731640853943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4.3252731640853943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64.927401349708319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</v>
      </c>
      <c r="AI51" s="13">
        <f>IF('Données projet'!$A$62&gt;35,AI50+AH51-AQ50,IF(A51&lt;'Données projet'!$A$62,$AF$205^A51,IF(A51='Données projet'!$A$62,'Données projet'!$B$62,AI50+AH51-AQ50)))</f>
        <v>208.99999999999997</v>
      </c>
      <c r="AJ51" s="13">
        <f>AI51*VLOOKUP('Données projet'!$B$10,Paramètres!$A$1:$I$89,3,0)*VLOOKUP('Données projet'!$B$10,Paramètres!$A$1:$I$89,5,0)</f>
        <v>176.06159999999997</v>
      </c>
      <c r="AK51" s="13">
        <f t="shared" si="35"/>
        <v>44.444839741138928</v>
      </c>
      <c r="AL51" s="20">
        <f t="shared" si="4"/>
        <v>384.04871588248358</v>
      </c>
      <c r="AM51" s="59">
        <f t="shared" si="5"/>
        <v>658.7825208314141</v>
      </c>
      <c r="AN51" s="59">
        <f ca="1">AVERAGE(OFFSET($AM$3,0,0,'Données projet'!$E$10+1,1))-AVERAGE(OFFSET($H$3,0,0,'Données projet'!$E$10+1,1))</f>
        <v>445.19118535527258</v>
      </c>
      <c r="AO51" s="59">
        <f t="shared" si="36"/>
        <v>270.93483242839363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4.0269784631139887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4.0269784631139887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64.927401349708319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</v>
      </c>
      <c r="BD51" s="12">
        <f>IF('Données projet'!$A$88&gt;35,BD50+BC51-BL50,IF(A51&lt;'Données projet'!$A$88,$BA$205^A51,IF(A51='Données projet'!$A$88,'Données projet'!$B$88,BD50+BC51-BL50)))</f>
        <v>208.99999999999997</v>
      </c>
      <c r="BE51" s="13">
        <f>BD51*VLOOKUP('Données projet'!$B$11,Paramètres!$A$1:$I$89,3,0)*VLOOKUP('Données projet'!$B$11,Paramètres!$A$1:$I$89,5,0)</f>
        <v>211.92599999999999</v>
      </c>
      <c r="BF51" s="13">
        <f t="shared" si="37"/>
        <v>52.356241262970116</v>
      </c>
      <c r="BG51" s="20">
        <f t="shared" si="7"/>
        <v>460.29157019967289</v>
      </c>
      <c r="BH51" s="59">
        <f t="shared" si="8"/>
        <v>735.02537514860342</v>
      </c>
      <c r="BI51" s="59">
        <f ca="1">AVERAGE(OFFSET($BH$3,0,0,'Données projet'!$E$11+1,1))-AVERAGE(OFFSET($H$3,0,0,'Données projet'!$E$11+1,1))</f>
        <v>524.01140973345832</v>
      </c>
      <c r="BJ51" s="59">
        <f t="shared" si="38"/>
        <v>315.59942237999621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4.8472888907853573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4.8472888907853573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64.927401349708319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9.8000000000000007</v>
      </c>
      <c r="BY51" s="12">
        <f>IF('Données projet'!$A$114&gt;35,BY50+BX51-CG50,IF(A51&lt;'Données projet'!$A$114,$BV$205^A51,IF(A51='Données projet'!$A$114,'Données projet'!$B$114,BY50+BX51-CG50)))</f>
        <v>283.39999999999992</v>
      </c>
      <c r="BZ51" s="13">
        <f>BY51*VLOOKUP('Données projet'!$B$12,Paramètres!$A$1:$I$89,3,0)*VLOOKUP('Données projet'!$B$12,Paramètres!$A$1:$I$89,5,0)</f>
        <v>190.10471999999996</v>
      </c>
      <c r="CA51" s="13">
        <f t="shared" si="39"/>
        <v>47.563104213884252</v>
      </c>
      <c r="CB51" s="20">
        <f t="shared" si="10"/>
        <v>413.93812717251495</v>
      </c>
      <c r="CC51" s="59">
        <f t="shared" si="11"/>
        <v>688.67193212144548</v>
      </c>
      <c r="CD51" s="59">
        <f ca="1">AVERAGE(OFFSET($CC$3,0,0,'Données projet'!$E$12+1,1))-AVERAGE(OFFSET($H$3,0,0,'Données projet'!$E$12+1,1))</f>
        <v>358.95222991910504</v>
      </c>
      <c r="CE51" s="59">
        <f t="shared" si="40"/>
        <v>347.37506646970905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11.777410924787002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11.777410924787002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64.927401349708319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9.8000000000000007</v>
      </c>
      <c r="CT51" s="12">
        <f>IF('Données projet'!$A$140&gt;35,CT50+CS51-DB50,IF(A51&lt;'Données projet'!$A$140,$CQ$205^A51,IF(A51='Données projet'!$A$140,'Données projet'!$B$140,CT50+CS51-DB50)))</f>
        <v>283.39999999999992</v>
      </c>
      <c r="CU51" s="17">
        <f>CT51*VLOOKUP('Données projet'!$B$13,Paramètres!$A$1:$I$89,3,0)*VLOOKUP('Données projet'!$B$13,Paramètres!$A$1:$I$89,5,0)</f>
        <v>185.68367999999995</v>
      </c>
      <c r="CV51" s="13">
        <f t="shared" si="41"/>
        <v>46.584403282779078</v>
      </c>
      <c r="CW51" s="20">
        <f t="shared" si="13"/>
        <v>404.5335783841735</v>
      </c>
      <c r="CX51" s="59">
        <f t="shared" si="14"/>
        <v>679.26738333310402</v>
      </c>
      <c r="CY51" s="59">
        <f ca="1">AVERAGE(OFFSET($CX$3,0,0,'Données projet'!$E$13+1,1))-AVERAGE(OFFSET($H$3,0,0,'Données projet'!$E$13+1,1))</f>
        <v>351.7266381615546</v>
      </c>
      <c r="CZ51" s="59">
        <f t="shared" si="42"/>
        <v>340.52483243761799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20.212703943923024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20.212703943923024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64.927401349708319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13.6</v>
      </c>
      <c r="DO51" s="12">
        <f>IF('Données projet'!$A$166&gt;35,DO50+DN51-DW50,IF(A51&lt;'Données projet'!$A$166,$DL$205^A51,IF(A51='Données projet'!$A$166,'Données projet'!$B$166,DO50+DN51-DW50)))</f>
        <v>246.80000000000013</v>
      </c>
      <c r="DP51" s="17">
        <f>DO51*VLOOKUP('Données projet'!$B$14,Paramètres!$A$1:$I$89,3,0)*VLOOKUP('Données projet'!$B$14,Paramètres!$A$1:$I$89,5,0)</f>
        <v>211.75440000000012</v>
      </c>
      <c r="DQ51" s="13">
        <f t="shared" si="43"/>
        <v>52.318780408268793</v>
      </c>
      <c r="DR51" s="20">
        <f t="shared" si="16"/>
        <v>459.92745587773499</v>
      </c>
      <c r="DS51" s="59">
        <f t="shared" si="17"/>
        <v>734.66126082666551</v>
      </c>
      <c r="DT51" s="59">
        <f ca="1">AVERAGE(OFFSET($DS$3,0,0,'Données projet'!$E$14+1,1))-AVERAGE(OFFSET($H$3,0,0,'Données projet'!$E$14+1,1))</f>
        <v>569.21675741362196</v>
      </c>
      <c r="DU51" s="59">
        <f t="shared" si="44"/>
        <v>321.12410801891679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6.3192518410730392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6.3192518410730392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64.927401349708319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9.8000000000000007</v>
      </c>
      <c r="EJ51" s="12">
        <f>IF('Données projet'!$A$192&gt;35,EJ50+EI51-ER50,IF(A51&lt;'Données projet'!$A$192,$EG$205^A51,IF(A51='Données projet'!$A$192,'Données projet'!$B$192,EJ50+EI51-ER50)))</f>
        <v>283.39999999999992</v>
      </c>
      <c r="EK51" s="17">
        <f>EJ51*VLOOKUP('Données projet'!$B$15,Paramètres!$A$1:$I$89,3,0)*VLOOKUP('Données projet'!$B$15,Paramètres!$A$1:$I$89,5,0)</f>
        <v>225.47303999999994</v>
      </c>
      <c r="EL51" s="13">
        <f t="shared" si="45"/>
        <v>55.302717367103824</v>
      </c>
      <c r="EM51" s="20">
        <f t="shared" si="19"/>
        <v>489.0177774143724</v>
      </c>
      <c r="EN51" s="59">
        <f t="shared" si="20"/>
        <v>763.75158236330299</v>
      </c>
      <c r="EO51" s="59">
        <f ca="1">AVERAGE(OFFSET($EN$3,0,0,'Données projet'!$E$15+1,1))-AVERAGE(OFFSET($H$3,0,0,'Données projet'!$E$15+1,1))</f>
        <v>416.63597645452791</v>
      </c>
      <c r="EP51" s="59">
        <f t="shared" si="46"/>
        <v>402.05920382353497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30.251904075539272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30.251904075539272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64.927401349708319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8.6</v>
      </c>
      <c r="FE51" s="12">
        <f>IF('Données projet'!$A$218&gt;35,FE50+FD51-FM50,IF(A51&lt;'Données projet'!$A$218,$FB$205^A51,IF(A51='Données projet'!$A$218,'Données projet'!$B$218,FE50+FD51-FM50)))</f>
        <v>243.80000000000004</v>
      </c>
      <c r="FF51" s="17">
        <f>FE51*VLOOKUP('Données projet'!$B$16,Paramètres!$A$1:$I$89,3,0)*VLOOKUP('Données projet'!$B$16,Paramètres!$A$1:$I$89,5,0)</f>
        <v>212.98368000000008</v>
      </c>
      <c r="FG51" s="13">
        <f t="shared" si="47"/>
        <v>52.587058525970363</v>
      </c>
      <c r="FH51" s="20">
        <f t="shared" si="22"/>
        <v>462.53570293273191</v>
      </c>
      <c r="FI51" s="59">
        <f t="shared" si="23"/>
        <v>737.26950788166243</v>
      </c>
      <c r="FJ51" s="59">
        <f ca="1">AVERAGE(OFFSET($FI$3,0,0,'Données projet'!$E$16+1,1))-AVERAGE(OFFSET($H$3,0,0,'Données projet'!$E$16+1,1))</f>
        <v>395.57130469647603</v>
      </c>
      <c r="FK51" s="59">
        <f t="shared" si="48"/>
        <v>383.97542781562674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28.375659034055655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28.375659034055655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64.927401349708319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10.375</v>
      </c>
      <c r="FZ51" s="12">
        <f>IF('Données projet'!$A$244&gt;35,FZ50+FY51-GH50,IF(A51&lt;'Données projet'!$A$244,$FW$205^A51,IF(A51='Données projet'!$A$244,'Données projet'!$B$244,FZ50+FY51-GH50)))</f>
        <v>228.49999999999991</v>
      </c>
      <c r="GA51" s="17">
        <f>FZ51*VLOOKUP('Données projet'!$B$17,Paramètres!$A$1:$I$89,3,0)*VLOOKUP('Données projet'!$B$17,Paramètres!$A$1:$I$89,5,0)</f>
        <v>178.22999999999993</v>
      </c>
      <c r="GB51" s="13">
        <f t="shared" si="49"/>
        <v>44.928167580487852</v>
      </c>
      <c r="GC51" s="20">
        <f t="shared" si="25"/>
        <v>388.66714186934951</v>
      </c>
      <c r="GD51" s="59">
        <f t="shared" si="26"/>
        <v>663.40094681828009</v>
      </c>
      <c r="GE51" s="59">
        <f ca="1">AVERAGE(OFFSET($GD$3,0,0,'Données projet'!$E$17+1,1))-AVERAGE(OFFSET($H$3,0,0,'Données projet'!$E$17+1,1))</f>
        <v>301.74744407733351</v>
      </c>
      <c r="GF51" s="59">
        <f t="shared" si="50"/>
        <v>292.46787700966991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14.306249200198371</v>
      </c>
      <c r="GM51" s="21">
        <f>EXP(-LN(2)/25)*GM50+(1-EXP(-LN(2)/25))/(LN(2)/25)*Calculateur!GH51*Calculateur!GJ51*VLOOKUP('Données projet'!$B$17,Paramètres!$A$1:$I$89,3,0)*0.475*44/12</f>
        <v>0</v>
      </c>
      <c r="GN51" s="21">
        <f>EXP(-LN(2)/2)*GN50+(1-EXP(-LN(2)/2))/(LN(2)/2)*GH51*GK51*VLOOKUP('Données projet'!$B$17,Paramètres!$A$1:$I$89,3,0)*0.475*44/12</f>
        <v>0</v>
      </c>
      <c r="GO51" s="21">
        <f t="shared" si="27"/>
        <v>14.306249200198371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64.927401349708319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9.8000000000000007</v>
      </c>
      <c r="GU51" s="12">
        <f>IF('Données projet'!$A$270&gt;35,GU50+GT51-HC50,IF(A51&lt;'Données projet'!$A$270,$GR$205^A51,IF(A51='Données projet'!$A$270,'Données projet'!$B$270,GU50+GT51-HC50)))</f>
        <v>283.39999999999992</v>
      </c>
      <c r="GV51" s="17">
        <f>GU51*VLOOKUP('Données projet'!$B$18,Paramètres!$A$1:$I$89,3,0)*VLOOKUP('Données projet'!$B$18,Paramètres!$A$1:$I$89,5,0)</f>
        <v>167.99951999999996</v>
      </c>
      <c r="GW51" s="13">
        <f t="shared" si="51"/>
        <v>42.641674410506553</v>
      </c>
      <c r="GX51" s="20">
        <f t="shared" si="28"/>
        <v>366.86674693163218</v>
      </c>
      <c r="GY51" s="59">
        <f t="shared" si="29"/>
        <v>641.60055188056276</v>
      </c>
      <c r="GZ51" s="59">
        <f ca="1">AVERAGE(OFFSET($GY$3,0,0,'Données projet'!$E$18+1,1))-AVERAGE(OFFSET($H$3,0,0,'Données projet'!$E$18+1,1))</f>
        <v>322.78672881269978</v>
      </c>
      <c r="HA51" s="59">
        <f t="shared" si="52"/>
        <v>313.08736327626434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11.782578722472298</v>
      </c>
      <c r="HH51" s="21">
        <f>EXP(-LN(2)/25)*HH50+(1-EXP(-LN(2)/25))/(LN(2)/25)*Calculateur!HC51*Calculateur!HE51*VLOOKUP('Données projet'!$B$18,Paramètres!$A$1:$I$89,3,0)*0.475*44/12</f>
        <v>0</v>
      </c>
      <c r="HI51" s="21">
        <f>EXP(-LN(2)/2)*HI50+(1-EXP(-LN(2)/2))/(LN(2)/2)*HC51*HF51*VLOOKUP('Données projet'!$B$18,Paramètres!$A$1:$I$89,3,0)*0.475*44/12</f>
        <v>0</v>
      </c>
      <c r="HJ51" s="22">
        <f t="shared" si="30"/>
        <v>11.782578722472298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2.3499999999999996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8.6166666666666654</v>
      </c>
      <c r="H52" s="67">
        <f t="shared" si="1"/>
        <v>222.20000000000002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65.015399595659233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</v>
      </c>
      <c r="N52" s="13">
        <f>IF('Données projet'!$A$36&gt;35,N51+M52-V51,IF(A52&lt;'Données projet'!$A$36,$K$205^A52,IF(A52='Données projet'!$A$36,'Données projet'!$B$36,N51+M52-V51)))</f>
        <v>219.99999999999997</v>
      </c>
      <c r="O52" s="13">
        <f>N52*VLOOKUP('Données projet'!$B$9,Paramètres!$A$1:$I$89,3,0)*VLOOKUP('Données projet'!$B$9,Paramètres!$A$1:$I$89,5,0)</f>
        <v>199.05599999999998</v>
      </c>
      <c r="P52" s="13">
        <f t="shared" si="33"/>
        <v>49.536648006253934</v>
      </c>
      <c r="Q52" s="20">
        <f t="shared" si="53"/>
        <v>432.96552861089225</v>
      </c>
      <c r="R52" s="59">
        <f t="shared" si="0"/>
        <v>708.02199379497608</v>
      </c>
      <c r="S52" s="59">
        <f ca="1">AVERAGE(OFFSET($R$3,0,0,'Données projet'!$E$9+1,1))-AVERAGE(OFFSET($H$3,0,0,'Données projet'!$E$9+1,1))</f>
        <v>473.88815717313474</v>
      </c>
      <c r="T52" s="59">
        <f t="shared" si="34"/>
        <v>287.19790203552895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4.2404571954938133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4.2404571954938133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65.015399595659233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</v>
      </c>
      <c r="AI52" s="13">
        <f>IF('Données projet'!$A$62&gt;35,AI51+AH52-AQ51,IF(A52&lt;'Données projet'!$A$62,$AF$205^A52,IF(A52='Données projet'!$A$62,'Données projet'!$B$62,AI51+AH52-AQ51)))</f>
        <v>219.99999999999997</v>
      </c>
      <c r="AJ52" s="13">
        <f>AI52*VLOOKUP('Données projet'!$B$10,Paramètres!$A$1:$I$89,3,0)*VLOOKUP('Données projet'!$B$10,Paramètres!$A$1:$I$89,5,0)</f>
        <v>185.328</v>
      </c>
      <c r="AK52" s="13">
        <f t="shared" si="35"/>
        <v>46.505548070897582</v>
      </c>
      <c r="AL52" s="20">
        <f t="shared" si="4"/>
        <v>403.7767628901467</v>
      </c>
      <c r="AM52" s="59">
        <f t="shared" si="5"/>
        <v>678.83322807423053</v>
      </c>
      <c r="AN52" s="59">
        <f ca="1">AVERAGE(OFFSET($AM$3,0,0,'Données projet'!$E$10+1,1))-AVERAGE(OFFSET($H$3,0,0,'Données projet'!$E$10+1,1))</f>
        <v>445.19118535527258</v>
      </c>
      <c r="AO52" s="59">
        <f t="shared" si="36"/>
        <v>270.93483242839363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3.948011871666655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3.948011871666655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65.015399595659233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</v>
      </c>
      <c r="BD52" s="12">
        <f>IF('Données projet'!$A$88&gt;35,BD51+BC52-BL51,IF(A52&lt;'Données projet'!$A$88,$BA$205^A52,IF(A52='Données projet'!$A$88,'Données projet'!$B$88,BD51+BC52-BL51)))</f>
        <v>219.99999999999997</v>
      </c>
      <c r="BE52" s="13">
        <f>BD52*VLOOKUP('Données projet'!$B$11,Paramètres!$A$1:$I$89,3,0)*VLOOKUP('Données projet'!$B$11,Paramètres!$A$1:$I$89,5,0)</f>
        <v>223.08</v>
      </c>
      <c r="BF52" s="13">
        <f t="shared" si="37"/>
        <v>54.783765878062667</v>
      </c>
      <c r="BG52" s="20">
        <f t="shared" si="7"/>
        <v>483.94605890429244</v>
      </c>
      <c r="BH52" s="59">
        <f t="shared" si="8"/>
        <v>759.00252408837628</v>
      </c>
      <c r="BI52" s="59">
        <f ca="1">AVERAGE(OFFSET($BH$3,0,0,'Données projet'!$E$11+1,1))-AVERAGE(OFFSET($H$3,0,0,'Données projet'!$E$11+1,1))</f>
        <v>524.01140973345832</v>
      </c>
      <c r="BJ52" s="59">
        <f t="shared" si="38"/>
        <v>315.59942237999621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4.7522365121913444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4.7522365121913444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65.015399595659233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9.8000000000000007</v>
      </c>
      <c r="BY52" s="12">
        <f>IF('Données projet'!$A$114&gt;35,BY51+BX52-CG51,IF(A52&lt;'Données projet'!$A$114,$BV$205^A52,IF(A52='Données projet'!$A$114,'Données projet'!$B$114,BY51+BX52-CG51)))</f>
        <v>293.19999999999993</v>
      </c>
      <c r="BZ52" s="13">
        <f>BY52*VLOOKUP('Données projet'!$B$12,Paramètres!$A$1:$I$89,3,0)*VLOOKUP('Données projet'!$B$12,Paramètres!$A$1:$I$89,5,0)</f>
        <v>196.67855999999995</v>
      </c>
      <c r="CA52" s="13">
        <f t="shared" si="39"/>
        <v>49.013505817347365</v>
      </c>
      <c r="CB52" s="20">
        <f t="shared" si="10"/>
        <v>427.91368129854658</v>
      </c>
      <c r="CC52" s="59">
        <f t="shared" si="11"/>
        <v>702.97014648263041</v>
      </c>
      <c r="CD52" s="59">
        <f ca="1">AVERAGE(OFFSET($CC$3,0,0,'Données projet'!$E$12+1,1))-AVERAGE(OFFSET($H$3,0,0,'Données projet'!$E$12+1,1))</f>
        <v>358.95222991910504</v>
      </c>
      <c r="CE52" s="59">
        <f t="shared" si="40"/>
        <v>347.37506646970905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11.54646308006328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11.54646308006328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65.015399595659233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9.8000000000000007</v>
      </c>
      <c r="CT52" s="12">
        <f>IF('Données projet'!$A$140&gt;35,CT51+CS52-DB51,IF(A52&lt;'Données projet'!$A$140,$CQ$205^A52,IF(A52='Données projet'!$A$140,'Données projet'!$B$140,CT51+CS52-DB51)))</f>
        <v>293.19999999999993</v>
      </c>
      <c r="CU52" s="17">
        <f>CT52*VLOOKUP('Données projet'!$B$13,Paramètres!$A$1:$I$89,3,0)*VLOOKUP('Données projet'!$B$13,Paramètres!$A$1:$I$89,5,0)</f>
        <v>192.10463999999996</v>
      </c>
      <c r="CV52" s="13">
        <f t="shared" si="41"/>
        <v>48.004960126879922</v>
      </c>
      <c r="CW52" s="20">
        <f t="shared" si="13"/>
        <v>418.19088688764913</v>
      </c>
      <c r="CX52" s="59">
        <f t="shared" si="14"/>
        <v>693.24735207173296</v>
      </c>
      <c r="CY52" s="59">
        <f ca="1">AVERAGE(OFFSET($CX$3,0,0,'Données projet'!$E$13+1,1))-AVERAGE(OFFSET($H$3,0,0,'Données projet'!$E$13+1,1))</f>
        <v>351.7266381615546</v>
      </c>
      <c r="CZ52" s="59">
        <f t="shared" si="42"/>
        <v>340.52483243761799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19.81634514811476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19.81634514811476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65.015399595659233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13.6</v>
      </c>
      <c r="DO52" s="12">
        <f>IF('Données projet'!$A$166&gt;35,DO51+DN52-DW51,IF(A52&lt;'Données projet'!$A$166,$DL$205^A52,IF(A52='Données projet'!$A$166,'Données projet'!$B$166,DO51+DN52-DW51)))</f>
        <v>260.40000000000015</v>
      </c>
      <c r="DP52" s="17">
        <f>DO52*VLOOKUP('Données projet'!$B$14,Paramètres!$A$1:$I$89,3,0)*VLOOKUP('Données projet'!$B$14,Paramètres!$A$1:$I$89,5,0)</f>
        <v>223.42320000000015</v>
      </c>
      <c r="DQ52" s="13">
        <f t="shared" si="43"/>
        <v>54.858231422257631</v>
      </c>
      <c r="DR52" s="20">
        <f t="shared" si="16"/>
        <v>484.67349306043229</v>
      </c>
      <c r="DS52" s="59">
        <f t="shared" si="17"/>
        <v>759.72995824451618</v>
      </c>
      <c r="DT52" s="59">
        <f ca="1">AVERAGE(OFFSET($DS$3,0,0,'Données projet'!$E$14+1,1))-AVERAGE(OFFSET($H$3,0,0,'Données projet'!$E$14+1,1))</f>
        <v>569.21675741362196</v>
      </c>
      <c r="DU52" s="59">
        <f t="shared" si="44"/>
        <v>321.12410801891679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6.1953351668326331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6.1953351668326331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65.015399595659233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9.8000000000000007</v>
      </c>
      <c r="EJ52" s="12">
        <f>IF('Données projet'!$A$192&gt;35,EJ51+EI52-ER51,IF(A52&lt;'Données projet'!$A$192,$EG$205^A52,IF(A52='Données projet'!$A$192,'Données projet'!$B$192,EJ51+EI52-ER51)))</f>
        <v>293.19999999999993</v>
      </c>
      <c r="EK52" s="17">
        <f>EJ52*VLOOKUP('Données projet'!$B$15,Paramètres!$A$1:$I$89,3,0)*VLOOKUP('Données projet'!$B$15,Paramètres!$A$1:$I$89,5,0)</f>
        <v>233.26991999999993</v>
      </c>
      <c r="EL52" s="13">
        <f t="shared" si="45"/>
        <v>56.989132736134763</v>
      </c>
      <c r="EM52" s="20">
        <f t="shared" si="19"/>
        <v>505.53451684876785</v>
      </c>
      <c r="EN52" s="59">
        <f t="shared" si="20"/>
        <v>780.59098203285168</v>
      </c>
      <c r="EO52" s="59">
        <f ca="1">AVERAGE(OFFSET($EN$3,0,0,'Données projet'!$E$15+1,1))-AVERAGE(OFFSET($H$3,0,0,'Données projet'!$E$15+1,1))</f>
        <v>416.63597645452791</v>
      </c>
      <c r="EP52" s="59">
        <f t="shared" si="46"/>
        <v>402.05920382353497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29.658682688457464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29.658682688457464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65.015399595659233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8.6</v>
      </c>
      <c r="FE52" s="12">
        <f>IF('Données projet'!$A$218&gt;35,FE51+FD52-FM51,IF(A52&lt;'Données projet'!$A$218,$FB$205^A52,IF(A52='Données projet'!$A$218,'Données projet'!$B$218,FE51+FD52-FM51)))</f>
        <v>252.40000000000003</v>
      </c>
      <c r="FF52" s="17">
        <f>FE52*VLOOKUP('Données projet'!$B$16,Paramètres!$A$1:$I$89,3,0)*VLOOKUP('Données projet'!$B$16,Paramètres!$A$1:$I$89,5,0)</f>
        <v>220.49664000000004</v>
      </c>
      <c r="FG52" s="13">
        <f t="shared" si="47"/>
        <v>54.222813800824916</v>
      </c>
      <c r="FH52" s="20">
        <f t="shared" si="22"/>
        <v>478.46971536977009</v>
      </c>
      <c r="FI52" s="59">
        <f t="shared" si="23"/>
        <v>753.52618055385392</v>
      </c>
      <c r="FJ52" s="59">
        <f ca="1">AVERAGE(OFFSET($FI$3,0,0,'Données projet'!$E$16+1,1))-AVERAGE(OFFSET($H$3,0,0,'Données projet'!$E$16+1,1))</f>
        <v>395.57130469647603</v>
      </c>
      <c r="FK52" s="59">
        <f t="shared" si="48"/>
        <v>383.97542781562674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27.819229667840865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27.819229667840865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65.015399595659233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10.375</v>
      </c>
      <c r="FZ52" s="12">
        <f>IF('Données projet'!$A$244&gt;35,FZ51+FY52-GH51,IF(A52&lt;'Données projet'!$A$244,$FW$205^A52,IF(A52='Données projet'!$A$244,'Données projet'!$B$244,FZ51+FY52-GH51)))</f>
        <v>238.87499999999991</v>
      </c>
      <c r="GA52" s="17">
        <f>FZ52*VLOOKUP('Données projet'!$B$17,Paramètres!$A$1:$I$89,3,0)*VLOOKUP('Données projet'!$B$17,Paramètres!$A$1:$I$89,5,0)</f>
        <v>186.32249999999993</v>
      </c>
      <c r="GB52" s="13">
        <f t="shared" si="49"/>
        <v>46.725987276254116</v>
      </c>
      <c r="GC52" s="20">
        <f t="shared" si="25"/>
        <v>405.8927820061424</v>
      </c>
      <c r="GD52" s="59">
        <f t="shared" si="26"/>
        <v>680.94924719022629</v>
      </c>
      <c r="GE52" s="59">
        <f ca="1">AVERAGE(OFFSET($GD$3,0,0,'Données projet'!$E$17+1,1))-AVERAGE(OFFSET($H$3,0,0,'Données projet'!$E$17+1,1))</f>
        <v>301.74744407733351</v>
      </c>
      <c r="GF52" s="59">
        <f t="shared" si="50"/>
        <v>292.46787700966991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14.025712379332877</v>
      </c>
      <c r="GM52" s="21">
        <f>EXP(-LN(2)/25)*GM51+(1-EXP(-LN(2)/25))/(LN(2)/25)*Calculateur!GH52*Calculateur!GJ52*VLOOKUP('Données projet'!$B$17,Paramètres!$A$1:$I$89,3,0)*0.475*44/12</f>
        <v>0</v>
      </c>
      <c r="GN52" s="21">
        <f>EXP(-LN(2)/2)*GN51+(1-EXP(-LN(2)/2))/(LN(2)/2)*GH52*GK52*VLOOKUP('Données projet'!$B$17,Paramètres!$A$1:$I$89,3,0)*0.475*44/12</f>
        <v>0</v>
      </c>
      <c r="GO52" s="21">
        <f t="shared" si="27"/>
        <v>14.025712379332877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65.015399595659233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9.8000000000000007</v>
      </c>
      <c r="GU52" s="12">
        <f>IF('Données projet'!$A$270&gt;35,GU51+GT52-HC51,IF(A52&lt;'Données projet'!$A$270,$GR$205^A52,IF(A52='Données projet'!$A$270,'Données projet'!$B$270,GU51+GT52-HC51)))</f>
        <v>293.19999999999993</v>
      </c>
      <c r="GV52" s="17">
        <f>GU52*VLOOKUP('Données projet'!$B$18,Paramètres!$A$1:$I$89,3,0)*VLOOKUP('Données projet'!$B$18,Paramètres!$A$1:$I$89,5,0)</f>
        <v>173.80895999999996</v>
      </c>
      <c r="GW52" s="13">
        <f t="shared" si="51"/>
        <v>43.942000660476097</v>
      </c>
      <c r="GX52" s="20">
        <f t="shared" si="28"/>
        <v>379.24958981699575</v>
      </c>
      <c r="GY52" s="59">
        <f t="shared" si="29"/>
        <v>654.30605500107959</v>
      </c>
      <c r="GZ52" s="59">
        <f ca="1">AVERAGE(OFFSET($GY$3,0,0,'Données projet'!$E$18+1,1))-AVERAGE(OFFSET($H$3,0,0,'Données projet'!$E$18+1,1))</f>
        <v>322.78672881269978</v>
      </c>
      <c r="HA52" s="59">
        <f t="shared" si="52"/>
        <v>313.08736327626434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projet'!$B$18,Paramètres!$A$1:$I$89,3,0)*0.475*44/12</f>
        <v>11.551529540388012</v>
      </c>
      <c r="HH52" s="21">
        <f>EXP(-LN(2)/25)*HH51+(1-EXP(-LN(2)/25))/(LN(2)/25)*Calculateur!HC52*Calculateur!HE52*VLOOKUP('Données projet'!$B$18,Paramètres!$A$1:$I$89,3,0)*0.475*44/12</f>
        <v>0</v>
      </c>
      <c r="HI52" s="21">
        <f>EXP(-LN(2)/2)*HI51+(1-EXP(-LN(2)/2))/(LN(2)/2)*HC52*HF52*VLOOKUP('Données projet'!$B$18,Paramètres!$A$1:$I$89,3,0)*0.475*44/12</f>
        <v>0</v>
      </c>
      <c r="HJ52" s="22">
        <f t="shared" si="30"/>
        <v>11.551529540388012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2.3499999999999996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8.6166666666666654</v>
      </c>
      <c r="H53" s="67">
        <f t="shared" si="1"/>
        <v>222.20000000000002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65.101871268777529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231</v>
      </c>
      <c r="L53" s="12">
        <f>VLOOKUP(A53,'Données projet'!$A$35:$I$55,9,0)</f>
        <v>11</v>
      </c>
      <c r="M53" s="12">
        <f t="array" ref="M53">INDEX(L:L,MIN(IF(ISNUMBER(L53:L249),ROW(L53:L249),"")))</f>
        <v>11</v>
      </c>
      <c r="N53" s="13">
        <f>IF('Données projet'!$A$36&gt;35,N52+M53-V52,IF(A53&lt;'Données projet'!$A$36,$K$205^A53,IF(A53='Données projet'!$A$36,'Données projet'!$B$36,N52+M53-V52)))</f>
        <v>230.99999999999997</v>
      </c>
      <c r="O53" s="13">
        <f>N53*VLOOKUP('Données projet'!$B$9,Paramètres!$A$1:$I$89,3,0)*VLOOKUP('Données projet'!$B$9,Paramètres!$A$1:$I$89,5,0)</f>
        <v>209.00879999999995</v>
      </c>
      <c r="P53" s="13">
        <f t="shared" si="33"/>
        <v>51.718923953824202</v>
      </c>
      <c r="Q53" s="20">
        <f t="shared" si="53"/>
        <v>454.10078588624361</v>
      </c>
      <c r="R53" s="59">
        <f t="shared" si="0"/>
        <v>729.47431387176118</v>
      </c>
      <c r="S53" s="59">
        <f ca="1">AVERAGE(OFFSET($R$3,0,0,'Données projet'!$E$9+1,1))-AVERAGE(OFFSET($H$3,0,0,'Données projet'!$E$9+1,1))</f>
        <v>473.88815717313474</v>
      </c>
      <c r="T53" s="59">
        <f t="shared" si="34"/>
        <v>287.19790203552895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28</v>
      </c>
      <c r="W53" s="16">
        <f>IF(ISNA(VLOOKUP(A53,'Données projet'!$A$35:$I$55,5,0)),0%,VLOOKUP(A53,'Données projet'!$A$35:$I$55,5,0)*VLOOKUP('Données projet'!$B$9,Paramètres!$A$1:$I$89,7,0))</f>
        <v>0.129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7.7701337293515849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7.7701337293515849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65.101871268777529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231</v>
      </c>
      <c r="AG53" s="12">
        <f>VLOOKUP(A53,'Données projet'!$A$61:$I$81,9,0)</f>
        <v>11</v>
      </c>
      <c r="AH53" s="12">
        <f t="array" ref="AH53">INDEX(AG:AG,MIN(IF(ISNUMBER(AG53:AG249),ROW(AG53:AG249),"")))</f>
        <v>11</v>
      </c>
      <c r="AI53" s="13">
        <f>IF('Données projet'!$A$62&gt;35,AI52+AH53-AQ52,IF(A53&lt;'Données projet'!$A$62,$AF$205^A53,IF(A53='Données projet'!$A$62,'Données projet'!$B$62,AI52+AH53-AQ52)))</f>
        <v>230.99999999999997</v>
      </c>
      <c r="AJ53" s="13">
        <f>AI53*VLOOKUP('Données projet'!$B$10,Paramètres!$A$1:$I$89,3,0)*VLOOKUP('Données projet'!$B$10,Paramètres!$A$1:$I$89,5,0)</f>
        <v>194.59440000000001</v>
      </c>
      <c r="AK53" s="13">
        <f t="shared" si="35"/>
        <v>48.554292648263456</v>
      </c>
      <c r="AL53" s="20">
        <f t="shared" si="4"/>
        <v>423.48397302905886</v>
      </c>
      <c r="AM53" s="59">
        <f t="shared" si="5"/>
        <v>698.85750101457643</v>
      </c>
      <c r="AN53" s="59">
        <f ca="1">AVERAGE(OFFSET($AM$3,0,0,'Données projet'!$E$10+1,1))-AVERAGE(OFFSET($H$3,0,0,'Données projet'!$E$10+1,1))</f>
        <v>445.19118535527258</v>
      </c>
      <c r="AO53" s="59">
        <f t="shared" si="36"/>
        <v>270.93483242839363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28</v>
      </c>
      <c r="AR53" s="16">
        <f>IF(ISNA(VLOOKUP(A53,'Données projet'!$A$61:$I$81,5,0)),0%,VLOOKUP(A53,'Données projet'!$A$61:$I$81,5,0)*VLOOKUP('Données projet'!$B$10,Paramètres!$A$1:$I$89,7,0))</f>
        <v>0.129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7.234262437672168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7.234262437672168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65.101871268777529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231</v>
      </c>
      <c r="BB53" s="12">
        <f>VLOOKUP(A53,'Données projet'!$A$87:$I$107,9,0)</f>
        <v>11</v>
      </c>
      <c r="BC53" s="12">
        <f t="array" ref="BC53">INDEX(BB:BB,MIN(IF(ISNUMBER(BB53:BB249),ROW(BB53:BB249),"")))</f>
        <v>11</v>
      </c>
      <c r="BD53" s="12">
        <f>IF('Données projet'!$A$88&gt;35,BD52+BC53-BL52,IF(A53&lt;'Données projet'!$A$88,$BA$205^A53,IF(A53='Données projet'!$A$88,'Données projet'!$B$88,BD52+BC53-BL52)))</f>
        <v>230.99999999999997</v>
      </c>
      <c r="BE53" s="13">
        <f>BD53*VLOOKUP('Données projet'!$B$11,Paramètres!$A$1:$I$89,3,0)*VLOOKUP('Données projet'!$B$11,Paramètres!$A$1:$I$89,5,0)</f>
        <v>234.23399999999998</v>
      </c>
      <c r="BF53" s="13">
        <f t="shared" si="37"/>
        <v>57.197197133603488</v>
      </c>
      <c r="BG53" s="20">
        <f t="shared" si="7"/>
        <v>507.5760016743593</v>
      </c>
      <c r="BH53" s="59">
        <f t="shared" si="8"/>
        <v>782.94952965987682</v>
      </c>
      <c r="BI53" s="59">
        <f ca="1">AVERAGE(OFFSET($BH$3,0,0,'Données projet'!$E$11+1,1))-AVERAGE(OFFSET($H$3,0,0,'Données projet'!$E$11+1,1))</f>
        <v>524.01140973345832</v>
      </c>
      <c r="BJ53" s="59">
        <f t="shared" si="38"/>
        <v>315.59942237999621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28</v>
      </c>
      <c r="BM53" s="16">
        <f>IF(ISNA(VLOOKUP(A53,'Données projet'!$A$87:$I$107,5,0)),0%,VLOOKUP(A53,'Données projet'!$A$87:$I$107,5,0)*VLOOKUP('Données projet'!$B$11,Paramètres!$A$1:$I$89,7,0))</f>
        <v>0.129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8.7079084897905723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8.7079084897905723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65.101871268777529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303</v>
      </c>
      <c r="BW53" s="12">
        <f>VLOOKUP(A53,'Données projet'!$A$113:$I$133,9,0)</f>
        <v>9.8000000000000007</v>
      </c>
      <c r="BX53" s="12">
        <f t="array" ref="BX53">INDEX(BW:BW,MIN(IF(ISNUMBER(BW53:BW249),ROW(BW53:BW249),"")))</f>
        <v>9.8000000000000007</v>
      </c>
      <c r="BY53" s="12">
        <f>IF('Données projet'!$A$114&gt;35,BY52+BX53-CG52,IF(A53&lt;'Données projet'!$A$114,$BV$205^A53,IF(A53='Données projet'!$A$114,'Données projet'!$B$114,BY52+BX53-CG52)))</f>
        <v>302.99999999999994</v>
      </c>
      <c r="BZ53" s="13">
        <f>BY53*VLOOKUP('Données projet'!$B$12,Paramètres!$A$1:$I$89,3,0)*VLOOKUP('Données projet'!$B$12,Paramètres!$A$1:$I$89,5,0)</f>
        <v>203.25239999999994</v>
      </c>
      <c r="CA53" s="13">
        <f t="shared" si="39"/>
        <v>50.458274362577384</v>
      </c>
      <c r="CB53" s="20">
        <f t="shared" si="10"/>
        <v>441.87942451482218</v>
      </c>
      <c r="CC53" s="59">
        <f t="shared" si="11"/>
        <v>717.25295250033969</v>
      </c>
      <c r="CD53" s="59">
        <f ca="1">AVERAGE(OFFSET($CC$3,0,0,'Données projet'!$E$12+1,1))-AVERAGE(OFFSET($H$3,0,0,'Données projet'!$E$12+1,1))</f>
        <v>358.95222991910504</v>
      </c>
      <c r="CE53" s="59">
        <f t="shared" si="40"/>
        <v>347.37506646970905</v>
      </c>
      <c r="CF53" s="15">
        <f>IF(ISNA(VLOOKUP(A53,'Données projet'!$A$113:$I$133,3,0)),0,VLOOKUP(A53,'Données projet'!$A$113:$I$133,3,0))</f>
        <v>9</v>
      </c>
      <c r="CG53" s="15">
        <f>IF(ISNA(VLOOKUP(A53,'Données projet'!$A$113:$I$133,4,0)),0,VLOOKUP(A53,'Données projet'!$A$113:$I$133,4,0))</f>
        <v>21</v>
      </c>
      <c r="CH53" s="16">
        <f>IF(ISNA(VLOOKUP(A53,'Données projet'!$A$113:$I$133,5,0)),0%,VLOOKUP(A53,'Données projet'!$A$113:$I$133,5,0)*VLOOKUP('Données projet'!$B$12,Paramètres!$A$1:$I$89,7,0))</f>
        <v>0.21200000000000002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14.621422491900123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14.621422491900123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65.101871268777529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303</v>
      </c>
      <c r="CR53" s="12">
        <f>VLOOKUP(A53,'Données projet'!$A$139:$I$159,9,0)</f>
        <v>9.8000000000000007</v>
      </c>
      <c r="CS53" s="12">
        <f t="array" ref="CS53">INDEX(CR:CR,MIN(IF(ISNUMBER(CR53:CR249),ROW(CR53:CR249),"")))</f>
        <v>9.8000000000000007</v>
      </c>
      <c r="CT53" s="12">
        <f>IF('Données projet'!$A$140&gt;35,CT52+CS53-DB52,IF(A53&lt;'Données projet'!$A$140,$CQ$205^A53,IF(A53='Données projet'!$A$140,'Données projet'!$B$140,CT52+CS53-DB52)))</f>
        <v>302.99999999999994</v>
      </c>
      <c r="CU53" s="17">
        <f>CT53*VLOOKUP('Données projet'!$B$13,Paramètres!$A$1:$I$89,3,0)*VLOOKUP('Données projet'!$B$13,Paramètres!$A$1:$I$89,5,0)</f>
        <v>198.52559999999997</v>
      </c>
      <c r="CV53" s="13">
        <f t="shared" si="41"/>
        <v>49.419999823587155</v>
      </c>
      <c r="CW53" s="20">
        <f t="shared" si="13"/>
        <v>431.83858635941419</v>
      </c>
      <c r="CX53" s="59">
        <f t="shared" si="14"/>
        <v>707.21211434493171</v>
      </c>
      <c r="CY53" s="59">
        <f ca="1">AVERAGE(OFFSET($CX$3,0,0,'Données projet'!$E$13+1,1))-AVERAGE(OFFSET($H$3,0,0,'Données projet'!$E$13+1,1))</f>
        <v>351.7266381615546</v>
      </c>
      <c r="CZ53" s="59">
        <f t="shared" si="42"/>
        <v>340.52483243761799</v>
      </c>
      <c r="DA53" s="15">
        <f>IF(ISNA(VLOOKUP(A53,'Données projet'!$A$139:$I$159,3,0)),0,VLOOKUP(A53,'Données projet'!$A$139:$I$159,3,0))</f>
        <v>9</v>
      </c>
      <c r="DB53" s="15">
        <f>IF(ISNA(VLOOKUP(A53,'Données projet'!$A$139:$I$159,4,0)),0,VLOOKUP(A53,'Données projet'!$A$139:$I$159,4,0))</f>
        <v>21</v>
      </c>
      <c r="DC53" s="16">
        <f>IF(ISNA(VLOOKUP(A53,'Données projet'!$A$139:$I$159,5,0)),0%,VLOOKUP(A53,'Données projet'!$A$139:$I$159,5,0)*VLOOKUP('Données projet'!$B$13,Paramètres!$A$1:$I$89,7,0))</f>
        <v>0.215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22.697992136442302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22.697992136442302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65.101871268777529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274</v>
      </c>
      <c r="DM53" s="12">
        <f>VLOOKUP(A53,'Données projet'!$A$165:$I$185,9,0)</f>
        <v>13.6</v>
      </c>
      <c r="DN53" s="12">
        <f t="array" ref="DN53">INDEX(DM:DM,MIN(IF(ISNUMBER(DM53:DM249),ROW(DM53:DM249),"")))</f>
        <v>13.6</v>
      </c>
      <c r="DO53" s="12">
        <f>IF('Données projet'!$A$166&gt;35,DO52+DN53-DW52,IF(A53&lt;'Données projet'!$A$166,$DL$205^A53,IF(A53='Données projet'!$A$166,'Données projet'!$B$166,DO52+DN53-DW52)))</f>
        <v>274.00000000000017</v>
      </c>
      <c r="DP53" s="17">
        <f>DO53*VLOOKUP('Données projet'!$B$14,Paramètres!$A$1:$I$89,3,0)*VLOOKUP('Données projet'!$B$14,Paramètres!$A$1:$I$89,5,0)</f>
        <v>235.09200000000016</v>
      </c>
      <c r="DQ53" s="13">
        <f t="shared" si="43"/>
        <v>57.38228388709345</v>
      </c>
      <c r="DR53" s="20">
        <f t="shared" si="16"/>
        <v>509.39271110335471</v>
      </c>
      <c r="DS53" s="59">
        <f t="shared" si="17"/>
        <v>784.76623908887223</v>
      </c>
      <c r="DT53" s="59">
        <f ca="1">AVERAGE(OFFSET($DS$3,0,0,'Données projet'!$E$14+1,1))-AVERAGE(OFFSET($H$3,0,0,'Données projet'!$E$14+1,1))</f>
        <v>569.21675741362196</v>
      </c>
      <c r="DU53" s="59">
        <f t="shared" si="44"/>
        <v>321.12410801891679</v>
      </c>
      <c r="DV53" s="15">
        <f>IF(ISNA(VLOOKUP(A53,'Données projet'!$A$165:$I$185,3,0)),0,VLOOKUP(A53,'Données projet'!$A$165:$I$185,3,0))</f>
        <v>7</v>
      </c>
      <c r="DW53" s="15">
        <f>IF(ISNA(VLOOKUP(A53,'Données projet'!$A$165:$I$185,4,0)),0,VLOOKUP(A53,'Données projet'!$A$165:$I$185,4,0))</f>
        <v>35</v>
      </c>
      <c r="DX53" s="16">
        <f>IF(ISNA(VLOOKUP(A53,'Données projet'!$A$165:$I$185,5,0)),0%,VLOOKUP(A53,'Données projet'!$A$165:$I$185,5,0)*VLOOKUP('Données projet'!$B$14,Paramètres!$A$1:$I$89,7,0))</f>
        <v>0.159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11.352215227074918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11.352215227074918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65.101871268777529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303</v>
      </c>
      <c r="EH53" s="12">
        <f>VLOOKUP(A53,'Données projet'!$A$191:$I$211,9,0)</f>
        <v>9.8000000000000007</v>
      </c>
      <c r="EI53" s="12">
        <f t="array" ref="EI53">INDEX(EH:EH,MIN(IF(ISNUMBER(EH53:EH249),ROW(EH53:EH249),"")))</f>
        <v>9.8000000000000007</v>
      </c>
      <c r="EJ53" s="12">
        <f>IF('Données projet'!$A$192&gt;35,EJ52+EI53-ER52,IF(A53&lt;'Données projet'!$A$192,$EG$205^A53,IF(A53='Données projet'!$A$192,'Données projet'!$B$192,EJ52+EI53-ER52)))</f>
        <v>302.99999999999994</v>
      </c>
      <c r="EK53" s="17">
        <f>EJ53*VLOOKUP('Données projet'!$B$15,Paramètres!$A$1:$I$89,3,0)*VLOOKUP('Données projet'!$B$15,Paramètres!$A$1:$I$89,5,0)</f>
        <v>241.06679999999997</v>
      </c>
      <c r="EL53" s="13">
        <f t="shared" si="45"/>
        <v>58.668998418543559</v>
      </c>
      <c r="EM53" s="20">
        <f t="shared" si="19"/>
        <v>522.03984891229663</v>
      </c>
      <c r="EN53" s="59">
        <f t="shared" si="20"/>
        <v>797.41337689781426</v>
      </c>
      <c r="EO53" s="59">
        <f ca="1">AVERAGE(OFFSET($EN$3,0,0,'Données projet'!$E$15+1,1))-AVERAGE(OFFSET($H$3,0,0,'Données projet'!$E$15+1,1))</f>
        <v>416.63597645452791</v>
      </c>
      <c r="EP53" s="59">
        <f t="shared" si="46"/>
        <v>402.05920382353497</v>
      </c>
      <c r="EQ53" s="15">
        <f>IF(ISNA(VLOOKUP(A53,'Données projet'!$A$191:$I$211,3,0)),0,VLOOKUP(A53,'Données projet'!$A$191:$I$211,3,0))</f>
        <v>9</v>
      </c>
      <c r="ER53" s="15">
        <f>IF(ISNA(VLOOKUP(A53,'Données projet'!$A$191:$I$211,4,0)),0,VLOOKUP(A53,'Données projet'!$A$191:$I$211,4,0))</f>
        <v>21</v>
      </c>
      <c r="ES53" s="16">
        <f>IF(ISNA(VLOOKUP(A53,'Données projet'!$A$191:$I$211,5,0)),0%,VLOOKUP(A53,'Données projet'!$A$191:$I$211,5,0)*VLOOKUP('Données projet'!$B$15,Paramètres!$A$1:$I$89,7,0))</f>
        <v>0.26500000000000001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33.971579592914466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33.971579592914466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65.101871268777529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261</v>
      </c>
      <c r="FC53" s="12">
        <f>VLOOKUP(A53,'Données projet'!$A$217:$I$237,9,0)</f>
        <v>8.6</v>
      </c>
      <c r="FD53" s="12">
        <f t="array" ref="FD53">INDEX(FC:FC,MIN(IF(ISNUMBER(FC53:FC249),ROW(FC53:FC249),"")))</f>
        <v>8.6</v>
      </c>
      <c r="FE53" s="12">
        <f>IF('Données projet'!$A$218&gt;35,FE52+FD53-FM52,IF(A53&lt;'Données projet'!$A$218,$FB$205^A53,IF(A53='Données projet'!$A$218,'Données projet'!$B$218,FE52+FD53-FM52)))</f>
        <v>261.00000000000006</v>
      </c>
      <c r="FF53" s="17">
        <f>FE53*VLOOKUP('Données projet'!$B$16,Paramètres!$A$1:$I$89,3,0)*VLOOKUP('Données projet'!$B$16,Paramètres!$A$1:$I$89,5,0)</f>
        <v>228.00960000000009</v>
      </c>
      <c r="FG53" s="13">
        <f t="shared" si="47"/>
        <v>55.852093054619878</v>
      </c>
      <c r="FH53" s="20">
        <f t="shared" si="22"/>
        <v>494.3924487367965</v>
      </c>
      <c r="FI53" s="59">
        <f t="shared" si="23"/>
        <v>769.76597672231401</v>
      </c>
      <c r="FJ53" s="59">
        <f ca="1">AVERAGE(OFFSET($FI$3,0,0,'Données projet'!$E$16+1,1))-AVERAGE(OFFSET($H$3,0,0,'Données projet'!$E$16+1,1))</f>
        <v>395.57130469647603</v>
      </c>
      <c r="FK53" s="59">
        <f t="shared" si="48"/>
        <v>383.97542781562674</v>
      </c>
      <c r="FL53" s="15">
        <f>IF(ISNA(VLOOKUP(A53,'Données projet'!$A$217:$I$237,3,0)),0,VLOOKUP(A53,'Données projet'!$A$217:$I$237,3,0))</f>
        <v>9</v>
      </c>
      <c r="FM53" s="15">
        <f>IF(ISNA(VLOOKUP(A53,'Données projet'!$A$217:$I$237,4,0)),0,VLOOKUP(A53,'Données projet'!$A$217:$I$237,4,0))</f>
        <v>19</v>
      </c>
      <c r="FN53" s="16">
        <f>IF(ISNA(VLOOKUP(A53,'Données projet'!$A$217:$I$237,5,0)),0%,VLOOKUP(A53,'Données projet'!$A$217:$I$237,5,0)*VLOOKUP('Données projet'!$B$16,Paramètres!$A$1:$I$89,7,0))</f>
        <v>0.26500000000000001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32.136207022233677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32.136207022233677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65.101871268777529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10.375</v>
      </c>
      <c r="FZ53" s="12">
        <f>IF('Données projet'!$A$244&gt;35,FZ52+FY53-GH52,IF(A53&lt;'Données projet'!$A$244,$FW$205^A53,IF(A53='Données projet'!$A$244,'Données projet'!$B$244,FZ52+FY53-GH52)))</f>
        <v>249.24999999999991</v>
      </c>
      <c r="GA53" s="17">
        <f>FZ53*VLOOKUP('Données projet'!$B$17,Paramètres!$A$1:$I$89,3,0)*VLOOKUP('Données projet'!$B$17,Paramètres!$A$1:$I$89,5,0)</f>
        <v>194.41499999999994</v>
      </c>
      <c r="GB53" s="13">
        <f t="shared" si="49"/>
        <v>48.514737888684927</v>
      </c>
      <c r="GC53" s="20">
        <f t="shared" si="25"/>
        <v>423.10262682279273</v>
      </c>
      <c r="GD53" s="59">
        <f t="shared" si="26"/>
        <v>698.4761548083103</v>
      </c>
      <c r="GE53" s="59">
        <f ca="1">AVERAGE(OFFSET($GD$3,0,0,'Données projet'!$E$17+1,1))-AVERAGE(OFFSET($H$3,0,0,'Données projet'!$E$17+1,1))</f>
        <v>301.74744407733351</v>
      </c>
      <c r="GF53" s="59">
        <f t="shared" si="50"/>
        <v>292.46787700966991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13.75067671441399</v>
      </c>
      <c r="GM53" s="21">
        <f>EXP(-LN(2)/25)*GM52+(1-EXP(-LN(2)/25))/(LN(2)/25)*Calculateur!GH53*Calculateur!GJ53*VLOOKUP('Données projet'!$B$17,Paramètres!$A$1:$I$89,3,0)*0.475*44/12</f>
        <v>0</v>
      </c>
      <c r="GN53" s="21">
        <f>EXP(-LN(2)/2)*GN52+(1-EXP(-LN(2)/2))/(LN(2)/2)*GH53*GK53*VLOOKUP('Données projet'!$B$17,Paramètres!$A$1:$I$89,3,0)*0.475*44/12</f>
        <v>0</v>
      </c>
      <c r="GO53" s="21">
        <f t="shared" si="27"/>
        <v>13.75067671441399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65.101871268777529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>
        <f>VLOOKUP(A53,'Données projet'!$A$269:$I$289,2,0)</f>
        <v>303</v>
      </c>
      <c r="GS53" s="12">
        <f>VLOOKUP(A53,'Données projet'!$A$269:$I$289,9,0)</f>
        <v>9.8000000000000007</v>
      </c>
      <c r="GT53" s="12">
        <f t="array" ref="GT53">INDEX(GS:GS,MIN(IF(ISNUMBER(GS53:GS249),ROW(GS53:GS249),"")))</f>
        <v>9.8000000000000007</v>
      </c>
      <c r="GU53" s="12">
        <f>IF('Données projet'!$A$270&gt;35,GU52+GT53-HC52,IF(A53&lt;'Données projet'!$A$270,$GR$205^A53,IF(A53='Données projet'!$A$270,'Données projet'!$B$270,GU52+GT53-HC52)))</f>
        <v>302.99999999999994</v>
      </c>
      <c r="GV53" s="17">
        <f>GU53*VLOOKUP('Données projet'!$B$18,Paramètres!$A$1:$I$89,3,0)*VLOOKUP('Données projet'!$B$18,Paramètres!$A$1:$I$89,5,0)</f>
        <v>179.61839999999998</v>
      </c>
      <c r="GW53" s="13">
        <f t="shared" si="51"/>
        <v>45.237276713679023</v>
      </c>
      <c r="GX53" s="20">
        <f t="shared" si="28"/>
        <v>391.62363694299091</v>
      </c>
      <c r="GY53" s="59">
        <f t="shared" si="29"/>
        <v>666.99716492850848</v>
      </c>
      <c r="GZ53" s="59">
        <f ca="1">AVERAGE(OFFSET($GY$3,0,0,'Données projet'!$E$18+1,1))-AVERAGE(OFFSET($H$3,0,0,'Données projet'!$E$18+1,1))</f>
        <v>322.78672881269978</v>
      </c>
      <c r="HA53" s="59">
        <f t="shared" si="52"/>
        <v>313.08736327626434</v>
      </c>
      <c r="HB53" s="15">
        <f>IF(ISNA(VLOOKUP(A53,'Données projet'!$A$269:$I$289,3,0)),0,VLOOKUP(A53,'Données projet'!$A$269:$I$289,3,0))</f>
        <v>9</v>
      </c>
      <c r="HC53" s="15">
        <f>IF(ISNA(VLOOKUP(A53,'Données projet'!$A$269:$I$289,4,0)),0,VLOOKUP(A53,'Données projet'!$A$269:$I$289,4,0))</f>
        <v>21</v>
      </c>
      <c r="HD53" s="16">
        <f>IF(ISNA(VLOOKUP(A53,'Données projet'!$A$269:$I$289,5,0)),0%,VLOOKUP(A53,'Données projet'!$A$269:$I$289,5,0)*VLOOKUP('Données projet'!$B$18,Paramètres!$A$1:$I$89,7,0))</f>
        <v>0.24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>
        <f>EXP(-LN(2)/35)*HG52+(1-EXP(-LN(2)/35))/(LN(2)/35)*HC53*HD53*VLOOKUP('Données projet'!$B$18,Paramètres!$A$1:$I$89,3,0)*0.475*44/12</f>
        <v>14.627838210413463</v>
      </c>
      <c r="HH53" s="21">
        <f>EXP(-LN(2)/25)*HH52+(1-EXP(-LN(2)/25))/(LN(2)/25)*Calculateur!HC53*Calculateur!HE53*VLOOKUP('Données projet'!$B$18,Paramètres!$A$1:$I$89,3,0)*0.475*44/12</f>
        <v>0</v>
      </c>
      <c r="HI53" s="21">
        <f>EXP(-LN(2)/2)*HI52+(1-EXP(-LN(2)/2))/(LN(2)/2)*HC53*HF53*VLOOKUP('Données projet'!$B$18,Paramètres!$A$1:$I$89,3,0)*0.475*44/12</f>
        <v>0</v>
      </c>
      <c r="HJ53" s="22">
        <f t="shared" si="30"/>
        <v>14.627838210413463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2.3499999999999996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8.6166666666666654</v>
      </c>
      <c r="H54" s="67">
        <f t="shared" si="1"/>
        <v>222.20000000000002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65.186842851688908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10.199999999999999</v>
      </c>
      <c r="N54" s="13">
        <f>IF('Données projet'!$A$36&gt;35,N53+M54-V53,IF(A54&lt;'Données projet'!$A$36,$K$205^A54,IF(A54='Données projet'!$A$36,'Données projet'!$B$36,N53+M54-V53)))</f>
        <v>213.19999999999996</v>
      </c>
      <c r="O54" s="13">
        <f>N54*VLOOKUP('Données projet'!$B$9,Paramètres!$A$1:$I$89,3,0)*VLOOKUP('Données projet'!$B$9,Paramètres!$A$1:$I$89,5,0)</f>
        <v>192.90335999999994</v>
      </c>
      <c r="P54" s="13">
        <f t="shared" si="33"/>
        <v>48.181276881765257</v>
      </c>
      <c r="Q54" s="20">
        <f t="shared" si="53"/>
        <v>419.88907590240768</v>
      </c>
      <c r="R54" s="59">
        <f t="shared" si="0"/>
        <v>695.57416635860034</v>
      </c>
      <c r="S54" s="59">
        <f ca="1">AVERAGE(OFFSET($R$3,0,0,'Données projet'!$E$9+1,1))-AVERAGE(OFFSET($H$3,0,0,'Données projet'!$E$9+1,1))</f>
        <v>473.88815717313474</v>
      </c>
      <c r="T54" s="59">
        <f t="shared" si="34"/>
        <v>287.19790203552895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7.6177661462326069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7.6177661462326069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65.186842851688908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10.199999999999999</v>
      </c>
      <c r="AI54" s="13">
        <f>IF('Données projet'!$A$62&gt;35,AI53+AH54-AQ53,IF(A54&lt;'Données projet'!$A$62,$AF$205^A54,IF(A54='Données projet'!$A$62,'Données projet'!$B$62,AI53+AH54-AQ53)))</f>
        <v>213.19999999999996</v>
      </c>
      <c r="AJ54" s="13">
        <f>AI54*VLOOKUP('Données projet'!$B$10,Paramètres!$A$1:$I$89,3,0)*VLOOKUP('Données projet'!$B$10,Paramètres!$A$1:$I$89,5,0)</f>
        <v>179.59967999999998</v>
      </c>
      <c r="AK54" s="13">
        <f t="shared" si="35"/>
        <v>45.233110804333748</v>
      </c>
      <c r="AL54" s="20">
        <f t="shared" si="4"/>
        <v>391.58377731754786</v>
      </c>
      <c r="AM54" s="59">
        <f t="shared" si="5"/>
        <v>667.26886777374057</v>
      </c>
      <c r="AN54" s="59">
        <f ca="1">AVERAGE(OFFSET($AM$3,0,0,'Données projet'!$E$10+1,1))-AVERAGE(OFFSET($H$3,0,0,'Données projet'!$E$10+1,1))</f>
        <v>445.19118535527258</v>
      </c>
      <c r="AO54" s="59">
        <f t="shared" si="36"/>
        <v>270.93483242839363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7.0924029637338091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7.0924029637338091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65.186842851688908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10.199999999999999</v>
      </c>
      <c r="BD54" s="12">
        <f>IF('Données projet'!$A$88&gt;35,BD53+BC54-BL53,IF(A54&lt;'Données projet'!$A$88,$BA$205^A54,IF(A54='Données projet'!$A$88,'Données projet'!$B$88,BD53+BC54-BL53)))</f>
        <v>213.19999999999996</v>
      </c>
      <c r="BE54" s="13">
        <f>BD54*VLOOKUP('Données projet'!$B$11,Paramètres!$A$1:$I$89,3,0)*VLOOKUP('Données projet'!$B$11,Paramètres!$A$1:$I$89,5,0)</f>
        <v>216.1848</v>
      </c>
      <c r="BF54" s="13">
        <f t="shared" si="37"/>
        <v>53.284828478170375</v>
      </c>
      <c r="BG54" s="20">
        <f t="shared" si="7"/>
        <v>469.32626959947999</v>
      </c>
      <c r="BH54" s="59">
        <f t="shared" si="8"/>
        <v>745.01136005567264</v>
      </c>
      <c r="BI54" s="59">
        <f ca="1">AVERAGE(OFFSET($BH$3,0,0,'Données projet'!$E$11+1,1))-AVERAGE(OFFSET($H$3,0,0,'Données projet'!$E$11+1,1))</f>
        <v>524.01140973345832</v>
      </c>
      <c r="BJ54" s="59">
        <f t="shared" si="38"/>
        <v>315.59942237999621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8.5371517156055106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8.5371517156055106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65.186842851688908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8.4</v>
      </c>
      <c r="BY54" s="12">
        <f>IF('Données projet'!$A$114&gt;35,BY53+BX54-CG53,IF(A54&lt;'Données projet'!$A$114,$BV$205^A54,IF(A54='Données projet'!$A$114,'Données projet'!$B$114,BY53+BX54-CG53)))</f>
        <v>290.39999999999992</v>
      </c>
      <c r="BZ54" s="13">
        <f>BY54*VLOOKUP('Données projet'!$B$12,Paramètres!$A$1:$I$89,3,0)*VLOOKUP('Données projet'!$B$12,Paramètres!$A$1:$I$89,5,0)</f>
        <v>194.80031999999994</v>
      </c>
      <c r="CA54" s="13">
        <f t="shared" si="39"/>
        <v>48.599689401459429</v>
      </c>
      <c r="CB54" s="20">
        <f t="shared" si="10"/>
        <v>423.92168304087505</v>
      </c>
      <c r="CC54" s="59">
        <f t="shared" si="11"/>
        <v>699.60677349706771</v>
      </c>
      <c r="CD54" s="59">
        <f ca="1">AVERAGE(OFFSET($CC$3,0,0,'Données projet'!$E$12+1,1))-AVERAGE(OFFSET($H$3,0,0,'Données projet'!$E$12+1,1))</f>
        <v>358.95222991910504</v>
      </c>
      <c r="CE54" s="59">
        <f t="shared" si="40"/>
        <v>347.37506646970905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14.334705315021084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14.334705315021084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65.186842851688908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8.4</v>
      </c>
      <c r="CT54" s="12">
        <f>IF('Données projet'!$A$140&gt;35,CT53+CS54-DB53,IF(A54&lt;'Données projet'!$A$140,$CQ$205^A54,IF(A54='Données projet'!$A$140,'Données projet'!$B$140,CT53+CS54-DB53)))</f>
        <v>290.39999999999992</v>
      </c>
      <c r="CU54" s="17">
        <f>CT54*VLOOKUP('Données projet'!$B$13,Paramètres!$A$1:$I$89,3,0)*VLOOKUP('Données projet'!$B$13,Paramètres!$A$1:$I$89,5,0)</f>
        <v>190.27007999999995</v>
      </c>
      <c r="CV54" s="13">
        <f t="shared" si="41"/>
        <v>47.599658767320413</v>
      </c>
      <c r="CW54" s="20">
        <f t="shared" si="13"/>
        <v>414.28979501974959</v>
      </c>
      <c r="CX54" s="59">
        <f t="shared" si="14"/>
        <v>689.9748854759423</v>
      </c>
      <c r="CY54" s="59">
        <f ca="1">AVERAGE(OFFSET($CX$3,0,0,'Données projet'!$E$13+1,1))-AVERAGE(OFFSET($H$3,0,0,'Données projet'!$E$13+1,1))</f>
        <v>351.7266381615546</v>
      </c>
      <c r="CZ54" s="59">
        <f t="shared" si="42"/>
        <v>340.52483243761799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22.25289835505485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22.25289835505485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65.186842851688908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13.4</v>
      </c>
      <c r="DO54" s="12">
        <f>IF('Données projet'!$A$166&gt;35,DO53+DN54-DW53,IF(A54&lt;'Données projet'!$A$166,$DL$205^A54,IF(A54='Données projet'!$A$166,'Données projet'!$B$166,DO53+DN54-DW53)))</f>
        <v>252.40000000000015</v>
      </c>
      <c r="DP54" s="17">
        <f>DO54*VLOOKUP('Données projet'!$B$14,Paramètres!$A$1:$I$89,3,0)*VLOOKUP('Données projet'!$B$14,Paramètres!$A$1:$I$89,5,0)</f>
        <v>216.55920000000012</v>
      </c>
      <c r="DQ54" s="13">
        <f t="shared" si="43"/>
        <v>53.366360125240526</v>
      </c>
      <c r="DR54" s="20">
        <f t="shared" si="16"/>
        <v>470.12035055146072</v>
      </c>
      <c r="DS54" s="59">
        <f t="shared" si="17"/>
        <v>745.80544100765337</v>
      </c>
      <c r="DT54" s="59">
        <f ca="1">AVERAGE(OFFSET($DS$3,0,0,'Données projet'!$E$14+1,1))-AVERAGE(OFFSET($H$3,0,0,'Données projet'!$E$14+1,1))</f>
        <v>569.21675741362196</v>
      </c>
      <c r="DU54" s="59">
        <f t="shared" si="44"/>
        <v>321.12410801891679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11.129605210639562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11.129605210639562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65.186842851688908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8.4</v>
      </c>
      <c r="EJ54" s="12">
        <f>IF('Données projet'!$A$192&gt;35,EJ53+EI54-ER53,IF(A54&lt;'Données projet'!$A$192,$EG$205^A54,IF(A54='Données projet'!$A$192,'Données projet'!$B$192,EJ53+EI54-ER53)))</f>
        <v>290.39999999999992</v>
      </c>
      <c r="EK54" s="17">
        <f>EJ54*VLOOKUP('Données projet'!$B$15,Paramètres!$A$1:$I$89,3,0)*VLOOKUP('Données projet'!$B$15,Paramètres!$A$1:$I$89,5,0)</f>
        <v>231.04223999999994</v>
      </c>
      <c r="EL54" s="13">
        <f t="shared" si="45"/>
        <v>56.507978852931409</v>
      </c>
      <c r="EM54" s="20">
        <f t="shared" si="19"/>
        <v>500.81663116885539</v>
      </c>
      <c r="EN54" s="59">
        <f t="shared" si="20"/>
        <v>776.50172162504805</v>
      </c>
      <c r="EO54" s="59">
        <f ca="1">AVERAGE(OFFSET($EN$3,0,0,'Données projet'!$E$15+1,1))-AVERAGE(OFFSET($H$3,0,0,'Données projet'!$E$15+1,1))</f>
        <v>416.63597645452791</v>
      </c>
      <c r="EP54" s="59">
        <f t="shared" si="46"/>
        <v>402.05920382353497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33.305417637714974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33.305417637714974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65.186842851688908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7.4</v>
      </c>
      <c r="FE54" s="12">
        <f>IF('Données projet'!$A$218&gt;35,FE53+FD54-FM53,IF(A54&lt;'Données projet'!$A$218,$FB$205^A54,IF(A54='Données projet'!$A$218,'Données projet'!$B$218,FE53+FD54-FM53)))</f>
        <v>249.40000000000003</v>
      </c>
      <c r="FF54" s="17">
        <f>FE54*VLOOKUP('Données projet'!$B$16,Paramètres!$A$1:$I$89,3,0)*VLOOKUP('Données projet'!$B$16,Paramètres!$A$1:$I$89,5,0)</f>
        <v>217.87584000000007</v>
      </c>
      <c r="FG54" s="13">
        <f t="shared" si="47"/>
        <v>53.652949670124926</v>
      </c>
      <c r="FH54" s="20">
        <f t="shared" si="22"/>
        <v>472.91264200880101</v>
      </c>
      <c r="FI54" s="59">
        <f t="shared" si="23"/>
        <v>748.59773246499367</v>
      </c>
      <c r="FJ54" s="59">
        <f ca="1">AVERAGE(OFFSET($FI$3,0,0,'Données projet'!$E$16+1,1))-AVERAGE(OFFSET($H$3,0,0,'Données projet'!$E$16+1,1))</f>
        <v>395.57130469647603</v>
      </c>
      <c r="FK54" s="59">
        <f t="shared" si="48"/>
        <v>383.97542781562674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31.506035603678505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31.506035603678505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65.186842851688908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10.375</v>
      </c>
      <c r="FZ54" s="12">
        <f>IF('Données projet'!$A$244&gt;35,FZ53+FY54-GH53,IF(A54&lt;'Données projet'!$A$244,$FW$205^A54,IF(A54='Données projet'!$A$244,'Données projet'!$B$244,FZ53+FY54-GH53)))</f>
        <v>259.62499999999989</v>
      </c>
      <c r="GA54" s="17">
        <f>FZ54*VLOOKUP('Données projet'!$B$17,Paramètres!$A$1:$I$89,3,0)*VLOOKUP('Données projet'!$B$17,Paramètres!$A$1:$I$89,5,0)</f>
        <v>202.50749999999991</v>
      </c>
      <c r="GB54" s="13">
        <f t="shared" si="49"/>
        <v>50.294840086606349</v>
      </c>
      <c r="GC54" s="20">
        <f t="shared" si="25"/>
        <v>440.29740898417253</v>
      </c>
      <c r="GD54" s="59">
        <f t="shared" si="26"/>
        <v>715.98249944036525</v>
      </c>
      <c r="GE54" s="59">
        <f ca="1">AVERAGE(OFFSET($GD$3,0,0,'Données projet'!$E$17+1,1))-AVERAGE(OFFSET($H$3,0,0,'Données projet'!$E$17+1,1))</f>
        <v>301.74744407733351</v>
      </c>
      <c r="GF54" s="59">
        <f t="shared" si="50"/>
        <v>292.46787700966991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13.481034331128971</v>
      </c>
      <c r="GM54" s="21">
        <f>EXP(-LN(2)/25)*GM53+(1-EXP(-LN(2)/25))/(LN(2)/25)*Calculateur!GH54*Calculateur!GJ54*VLOOKUP('Données projet'!$B$17,Paramètres!$A$1:$I$89,3,0)*0.475*44/12</f>
        <v>0</v>
      </c>
      <c r="GN54" s="21">
        <f>EXP(-LN(2)/2)*GN53+(1-EXP(-LN(2)/2))/(LN(2)/2)*GH54*GK54*VLOOKUP('Données projet'!$B$17,Paramètres!$A$1:$I$89,3,0)*0.475*44/12</f>
        <v>0</v>
      </c>
      <c r="GO54" s="21">
        <f t="shared" si="27"/>
        <v>13.481034331128971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65.186842851688908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8.4</v>
      </c>
      <c r="GU54" s="12">
        <f>IF('Données projet'!$A$270&gt;35,GU53+GT54-HC53,IF(A54&lt;'Données projet'!$A$270,$GR$205^A54,IF(A54='Données projet'!$A$270,'Données projet'!$B$270,GU53+GT54-HC53)))</f>
        <v>290.39999999999992</v>
      </c>
      <c r="GV54" s="17">
        <f>GU54*VLOOKUP('Données projet'!$B$18,Paramètres!$A$1:$I$89,3,0)*VLOOKUP('Données projet'!$B$18,Paramètres!$A$1:$I$89,5,0)</f>
        <v>172.14911999999995</v>
      </c>
      <c r="GW54" s="13">
        <f t="shared" si="51"/>
        <v>43.571002485237912</v>
      </c>
      <c r="GX54" s="20">
        <f t="shared" si="28"/>
        <v>375.71254666178925</v>
      </c>
      <c r="GY54" s="59">
        <f t="shared" si="29"/>
        <v>651.39763711798196</v>
      </c>
      <c r="GZ54" s="59">
        <f ca="1">AVERAGE(OFFSET($GY$3,0,0,'Données projet'!$E$18+1,1))-AVERAGE(OFFSET($H$3,0,0,'Données projet'!$E$18+1,1))</f>
        <v>322.78672881269978</v>
      </c>
      <c r="HA54" s="59">
        <f t="shared" si="52"/>
        <v>313.08736327626434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14.34099522520758</v>
      </c>
      <c r="HH54" s="21">
        <f>EXP(-LN(2)/25)*HH53+(1-EXP(-LN(2)/25))/(LN(2)/25)*Calculateur!HC54*Calculateur!HE54*VLOOKUP('Données projet'!$B$18,Paramètres!$A$1:$I$89,3,0)*0.475*44/12</f>
        <v>0</v>
      </c>
      <c r="HI54" s="21">
        <f>EXP(-LN(2)/2)*HI53+(1-EXP(-LN(2)/2))/(LN(2)/2)*HC54*HF54*VLOOKUP('Données projet'!$B$18,Paramètres!$A$1:$I$89,3,0)*0.475*44/12</f>
        <v>0</v>
      </c>
      <c r="HJ54" s="22">
        <f t="shared" si="30"/>
        <v>14.34099522520758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2.3499999999999996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8.6166666666666654</v>
      </c>
      <c r="H55" s="67">
        <f t="shared" si="1"/>
        <v>222.20000000000002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65.270340367604774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10.199999999999999</v>
      </c>
      <c r="N55" s="13">
        <f>IF('Données projet'!$A$36&gt;35,N54+M55-V54,IF(A55&lt;'Données projet'!$A$36,$K$205^A55,IF(A55='Données projet'!$A$36,'Données projet'!$B$36,N54+M55-V54)))</f>
        <v>223.39999999999995</v>
      </c>
      <c r="O55" s="13">
        <f>N55*VLOOKUP('Données projet'!$B$9,Paramètres!$A$1:$I$89,3,0)*VLOOKUP('Données projet'!$B$9,Paramètres!$A$1:$I$89,5,0)</f>
        <v>202.13231999999996</v>
      </c>
      <c r="P55" s="13">
        <f t="shared" si="33"/>
        <v>50.212497488959627</v>
      </c>
      <c r="Q55" s="20">
        <f t="shared" si="53"/>
        <v>439.50055712660463</v>
      </c>
      <c r="R55" s="59">
        <f t="shared" si="0"/>
        <v>715.49180514115551</v>
      </c>
      <c r="S55" s="59">
        <f ca="1">AVERAGE(OFFSET($R$3,0,0,'Données projet'!$E$9+1,1))-AVERAGE(OFFSET($H$3,0,0,'Données projet'!$E$9+1,1))</f>
        <v>473.88815717313474</v>
      </c>
      <c r="T55" s="59">
        <f t="shared" si="34"/>
        <v>287.19790203552895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7.4683863984835428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7.4683863984835428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65.270340367604774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10.199999999999999</v>
      </c>
      <c r="AI55" s="13">
        <f>IF('Données projet'!$A$62&gt;35,AI54+AH55-AQ54,IF(A55&lt;'Données projet'!$A$62,$AF$205^A55,IF(A55='Données projet'!$A$62,'Données projet'!$B$62,AI54+AH55-AQ54)))</f>
        <v>223.39999999999995</v>
      </c>
      <c r="AJ55" s="13">
        <f>AI55*VLOOKUP('Données projet'!$B$10,Paramètres!$A$1:$I$89,3,0)*VLOOKUP('Données projet'!$B$10,Paramètres!$A$1:$I$89,5,0)</f>
        <v>188.19215999999997</v>
      </c>
      <c r="AK55" s="13">
        <f t="shared" si="35"/>
        <v>47.140042972585213</v>
      </c>
      <c r="AL55" s="20">
        <f t="shared" si="4"/>
        <v>409.87025351058583</v>
      </c>
      <c r="AM55" s="59">
        <f t="shared" si="5"/>
        <v>685.86150152513665</v>
      </c>
      <c r="AN55" s="59">
        <f ca="1">AVERAGE(OFFSET($AM$3,0,0,'Données projet'!$E$10+1,1))-AVERAGE(OFFSET($H$3,0,0,'Données projet'!$E$10+1,1))</f>
        <v>445.19118535527258</v>
      </c>
      <c r="AO55" s="59">
        <f t="shared" si="36"/>
        <v>270.93483242839363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6.9533252675536463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6.9533252675536463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65.270340367604774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10.199999999999999</v>
      </c>
      <c r="BD55" s="12">
        <f>IF('Données projet'!$A$88&gt;35,BD54+BC55-BL54,IF(A55&lt;'Données projet'!$A$88,$BA$205^A55,IF(A55='Données projet'!$A$88,'Données projet'!$B$88,BD54+BC55-BL54)))</f>
        <v>223.39999999999995</v>
      </c>
      <c r="BE55" s="13">
        <f>BD55*VLOOKUP('Données projet'!$B$11,Paramètres!$A$1:$I$89,3,0)*VLOOKUP('Données projet'!$B$11,Paramètres!$A$1:$I$89,5,0)</f>
        <v>226.52759999999998</v>
      </c>
      <c r="BF55" s="13">
        <f t="shared" si="37"/>
        <v>55.531204013656371</v>
      </c>
      <c r="BG55" s="20">
        <f t="shared" si="7"/>
        <v>491.25241699045142</v>
      </c>
      <c r="BH55" s="59">
        <f t="shared" si="8"/>
        <v>767.24366500500219</v>
      </c>
      <c r="BI55" s="59">
        <f ca="1">AVERAGE(OFFSET($BH$3,0,0,'Données projet'!$E$11+1,1))-AVERAGE(OFFSET($H$3,0,0,'Données projet'!$E$11+1,1))</f>
        <v>524.01140973345832</v>
      </c>
      <c r="BJ55" s="59">
        <f t="shared" si="38"/>
        <v>315.59942237999621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8.3697433776108703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8.3697433776108703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65.270340367604774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8.4</v>
      </c>
      <c r="BY55" s="12">
        <f>IF('Données projet'!$A$114&gt;35,BY54+BX55-CG54,IF(A55&lt;'Données projet'!$A$114,$BV$205^A55,IF(A55='Données projet'!$A$114,'Données projet'!$B$114,BY54+BX55-CG54)))</f>
        <v>298.7999999999999</v>
      </c>
      <c r="BZ55" s="13">
        <f>BY55*VLOOKUP('Données projet'!$B$12,Paramètres!$A$1:$I$89,3,0)*VLOOKUP('Données projet'!$B$12,Paramètres!$A$1:$I$89,5,0)</f>
        <v>200.43503999999993</v>
      </c>
      <c r="CA55" s="13">
        <f t="shared" si="39"/>
        <v>49.839764256087797</v>
      </c>
      <c r="CB55" s="20">
        <f t="shared" si="10"/>
        <v>435.89528407935273</v>
      </c>
      <c r="CC55" s="59">
        <f t="shared" si="11"/>
        <v>711.8865320939035</v>
      </c>
      <c r="CD55" s="59">
        <f ca="1">AVERAGE(OFFSET($CC$3,0,0,'Données projet'!$E$12+1,1))-AVERAGE(OFFSET($H$3,0,0,'Données projet'!$E$12+1,1))</f>
        <v>358.95222991910504</v>
      </c>
      <c r="CE55" s="59">
        <f t="shared" si="40"/>
        <v>347.37506646970905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14.053610487100434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14.053610487100434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65.270340367604774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8.4</v>
      </c>
      <c r="CT55" s="12">
        <f>IF('Données projet'!$A$140&gt;35,CT54+CS55-DB54,IF(A55&lt;'Données projet'!$A$140,$CQ$205^A55,IF(A55='Données projet'!$A$140,'Données projet'!$B$140,CT54+CS55-DB54)))</f>
        <v>298.7999999999999</v>
      </c>
      <c r="CU55" s="17">
        <f>CT55*VLOOKUP('Données projet'!$B$13,Paramètres!$A$1:$I$89,3,0)*VLOOKUP('Données projet'!$B$13,Paramètres!$A$1:$I$89,5,0)</f>
        <v>195.77375999999992</v>
      </c>
      <c r="CV55" s="13">
        <f t="shared" si="41"/>
        <v>48.814216733702644</v>
      </c>
      <c r="CW55" s="20">
        <f t="shared" si="13"/>
        <v>425.99072614453195</v>
      </c>
      <c r="CX55" s="59">
        <f t="shared" si="14"/>
        <v>701.98197415908271</v>
      </c>
      <c r="CY55" s="59">
        <f ca="1">AVERAGE(OFFSET($CX$3,0,0,'Données projet'!$E$13+1,1))-AVERAGE(OFFSET($H$3,0,0,'Données projet'!$E$13+1,1))</f>
        <v>351.7266381615546</v>
      </c>
      <c r="CZ55" s="59">
        <f t="shared" si="42"/>
        <v>340.52483243761799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21.816532591240005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21.816532591240005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65.270340367604774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13.4</v>
      </c>
      <c r="DO55" s="12">
        <f>IF('Données projet'!$A$166&gt;35,DO54+DN55-DW54,IF(A55&lt;'Données projet'!$A$166,$DL$205^A55,IF(A55='Données projet'!$A$166,'Données projet'!$B$166,DO54+DN55-DW54)))</f>
        <v>265.80000000000013</v>
      </c>
      <c r="DP55" s="17">
        <f>DO55*VLOOKUP('Données projet'!$B$14,Paramètres!$A$1:$I$89,3,0)*VLOOKUP('Données projet'!$B$14,Paramètres!$A$1:$I$89,5,0)</f>
        <v>228.05640000000014</v>
      </c>
      <c r="DQ55" s="13">
        <f t="shared" si="43"/>
        <v>55.862222430632038</v>
      </c>
      <c r="DR55" s="20">
        <f t="shared" si="16"/>
        <v>494.49160073335105</v>
      </c>
      <c r="DS55" s="59">
        <f t="shared" si="17"/>
        <v>770.48284874790193</v>
      </c>
      <c r="DT55" s="59">
        <f ca="1">AVERAGE(OFFSET($DS$3,0,0,'Données projet'!$E$14+1,1))-AVERAGE(OFFSET($H$3,0,0,'Données projet'!$E$14+1,1))</f>
        <v>569.21675741362196</v>
      </c>
      <c r="DU55" s="59">
        <f t="shared" si="44"/>
        <v>321.12410801891679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10.911360440847801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10.911360440847801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65.270340367604774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8.4</v>
      </c>
      <c r="EJ55" s="12">
        <f>IF('Données projet'!$A$192&gt;35,EJ54+EI55-ER54,IF(A55&lt;'Données projet'!$A$192,$EG$205^A55,IF(A55='Données projet'!$A$192,'Données projet'!$B$192,EJ54+EI55-ER54)))</f>
        <v>298.7999999999999</v>
      </c>
      <c r="EK55" s="17">
        <f>EJ55*VLOOKUP('Données projet'!$B$15,Paramètres!$A$1:$I$89,3,0)*VLOOKUP('Données projet'!$B$15,Paramètres!$A$1:$I$89,5,0)</f>
        <v>237.72527999999994</v>
      </c>
      <c r="EL55" s="13">
        <f t="shared" si="45"/>
        <v>57.949842464086196</v>
      </c>
      <c r="EM55" s="20">
        <f t="shared" si="19"/>
        <v>514.96750495828326</v>
      </c>
      <c r="EN55" s="59">
        <f t="shared" si="20"/>
        <v>790.95875297283408</v>
      </c>
      <c r="EO55" s="59">
        <f ca="1">AVERAGE(OFFSET($EN$3,0,0,'Données projet'!$E$15+1,1))-AVERAGE(OFFSET($H$3,0,0,'Données projet'!$E$15+1,1))</f>
        <v>416.63597645452791</v>
      </c>
      <c r="EP55" s="59">
        <f t="shared" si="46"/>
        <v>402.05920382353497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32.652318712138275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32.652318712138275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65.270340367604774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7.4</v>
      </c>
      <c r="FE55" s="12">
        <f>IF('Données projet'!$A$218&gt;35,FE54+FD55-FM54,IF(A55&lt;'Données projet'!$A$218,$FB$205^A55,IF(A55='Données projet'!$A$218,'Données projet'!$B$218,FE54+FD55-FM54)))</f>
        <v>256.8</v>
      </c>
      <c r="FF55" s="17">
        <f>FE55*VLOOKUP('Données projet'!$B$16,Paramètres!$A$1:$I$89,3,0)*VLOOKUP('Données projet'!$B$16,Paramètres!$A$1:$I$89,5,0)</f>
        <v>224.34048000000004</v>
      </c>
      <c r="FG55" s="13">
        <f t="shared" si="47"/>
        <v>55.057192232003722</v>
      </c>
      <c r="FH55" s="20">
        <f t="shared" si="22"/>
        <v>486.61761247073986</v>
      </c>
      <c r="FI55" s="59">
        <f t="shared" si="23"/>
        <v>762.60886048529073</v>
      </c>
      <c r="FJ55" s="59">
        <f ca="1">AVERAGE(OFFSET($FI$3,0,0,'Données projet'!$E$16+1,1))-AVERAGE(OFFSET($H$3,0,0,'Données projet'!$E$16+1,1))</f>
        <v>395.57130469647603</v>
      </c>
      <c r="FK55" s="59">
        <f t="shared" si="48"/>
        <v>383.97542781562674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30.88822146227459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30.88822146227459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65.270340367604774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>
        <f>VLOOKUP(A55,'Données projet'!$A$243:$I$263,2,0)</f>
        <v>270</v>
      </c>
      <c r="FX55" s="12">
        <f>VLOOKUP(A55,'Données projet'!$A$243:$I$263,9,0)</f>
        <v>10.375</v>
      </c>
      <c r="FY55" s="12">
        <f t="array" ref="FY55">INDEX(FX:FX,MIN(IF(ISNUMBER(FX55:FX251),ROW(FX55:FX251),"")))</f>
        <v>10.375</v>
      </c>
      <c r="FZ55" s="12">
        <f>IF('Données projet'!$A$244&gt;35,FZ54+FY55-GH54,IF(A55&lt;'Données projet'!$A$244,$FW$205^A55,IF(A55='Données projet'!$A$244,'Données projet'!$B$244,FZ54+FY55-GH54)))</f>
        <v>269.99999999999989</v>
      </c>
      <c r="GA55" s="17">
        <f>FZ55*VLOOKUP('Données projet'!$B$17,Paramètres!$A$1:$I$89,3,0)*VLOOKUP('Données projet'!$B$17,Paramètres!$A$1:$I$89,5,0)</f>
        <v>210.59999999999991</v>
      </c>
      <c r="GB55" s="13">
        <f t="shared" si="49"/>
        <v>52.066679014659961</v>
      </c>
      <c r="GC55" s="20">
        <f t="shared" si="25"/>
        <v>457.47779928386586</v>
      </c>
      <c r="GD55" s="59">
        <f t="shared" si="26"/>
        <v>733.46904729841663</v>
      </c>
      <c r="GE55" s="59">
        <f ca="1">AVERAGE(OFFSET($GD$3,0,0,'Données projet'!$E$17+1,1))-AVERAGE(OFFSET($H$3,0,0,'Données projet'!$E$17+1,1))</f>
        <v>301.74744407733351</v>
      </c>
      <c r="GF55" s="59">
        <f t="shared" si="50"/>
        <v>292.46787700966991</v>
      </c>
      <c r="GG55" s="15">
        <f>IF(ISNA(VLOOKUP(A55,'Données projet'!$A$243:$I$263,3,0)),0,VLOOKUP(A55,'Données projet'!$A$243:$I$263,3,0))</f>
        <v>7</v>
      </c>
      <c r="GH55" s="15">
        <f>IF(ISNA(VLOOKUP(A55,'Données projet'!$A$243:$I$263,4,0)),0,VLOOKUP(A55,'Données projet'!$A$243:$I$263,4,0))</f>
        <v>48</v>
      </c>
      <c r="GI55" s="16">
        <f>IF(ISNA(VLOOKUP(A55,'Données projet'!$A$243:$I$263,5,0)),0%,VLOOKUP(A55,'Données projet'!$A$243:$I$263,5,0)*VLOOKUP('Données projet'!$B$17,Paramètres!$A$1:$I$89,7,0))</f>
        <v>0.17200000000000001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20.335554964185306</v>
      </c>
      <c r="GM55" s="21">
        <f>EXP(-LN(2)/25)*GM54+(1-EXP(-LN(2)/25))/(LN(2)/25)*Calculateur!GH55*Calculateur!GJ55*VLOOKUP('Données projet'!$B$17,Paramètres!$A$1:$I$89,3,0)*0.475*44/12</f>
        <v>0</v>
      </c>
      <c r="GN55" s="21">
        <f>EXP(-LN(2)/2)*GN54+(1-EXP(-LN(2)/2))/(LN(2)/2)*GH55*GK55*VLOOKUP('Données projet'!$B$17,Paramètres!$A$1:$I$89,3,0)*0.475*44/12</f>
        <v>0</v>
      </c>
      <c r="GO55" s="21">
        <f t="shared" si="27"/>
        <v>20.335554964185306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65.270340367604774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8.4</v>
      </c>
      <c r="GU55" s="12">
        <f>IF('Données projet'!$A$270&gt;35,GU54+GT55-HC54,IF(A55&lt;'Données projet'!$A$270,$GR$205^A55,IF(A55='Données projet'!$A$270,'Données projet'!$B$270,GU54+GT55-HC54)))</f>
        <v>298.7999999999999</v>
      </c>
      <c r="GV55" s="17">
        <f>GU55*VLOOKUP('Données projet'!$B$18,Paramètres!$A$1:$I$89,3,0)*VLOOKUP('Données projet'!$B$18,Paramètres!$A$1:$I$89,5,0)</f>
        <v>177.12863999999996</v>
      </c>
      <c r="GW55" s="13">
        <f t="shared" si="51"/>
        <v>44.682764828543569</v>
      </c>
      <c r="GX55" s="20">
        <f t="shared" si="28"/>
        <v>386.32153007637999</v>
      </c>
      <c r="GY55" s="59">
        <f t="shared" si="29"/>
        <v>662.31277809093081</v>
      </c>
      <c r="GZ55" s="59">
        <f ca="1">AVERAGE(OFFSET($GY$3,0,0,'Données projet'!$E$18+1,1))-AVERAGE(OFFSET($H$3,0,0,'Données projet'!$E$18+1,1))</f>
        <v>322.78672881269978</v>
      </c>
      <c r="HA55" s="59">
        <f t="shared" si="52"/>
        <v>313.08736327626434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projet'!$B$18,Paramètres!$A$1:$I$89,3,0)*0.475*44/12</f>
        <v>14.059777055984638</v>
      </c>
      <c r="HH55" s="21">
        <f>EXP(-LN(2)/25)*HH54+(1-EXP(-LN(2)/25))/(LN(2)/25)*Calculateur!HC55*Calculateur!HE55*VLOOKUP('Données projet'!$B$18,Paramètres!$A$1:$I$89,3,0)*0.475*44/12</f>
        <v>0</v>
      </c>
      <c r="HI55" s="21">
        <f>EXP(-LN(2)/2)*HI54+(1-EXP(-LN(2)/2))/(LN(2)/2)*HC55*HF55*VLOOKUP('Données projet'!$B$18,Paramètres!$A$1:$I$89,3,0)*0.475*44/12</f>
        <v>0</v>
      </c>
      <c r="HJ55" s="22">
        <f t="shared" si="30"/>
        <v>14.059777055984638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2.3499999999999996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8.6166666666666654</v>
      </c>
      <c r="H56" s="67">
        <f t="shared" si="1"/>
        <v>222.20000000000002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65.352389388291982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10.199999999999999</v>
      </c>
      <c r="N56" s="13">
        <f>IF('Données projet'!$A$36&gt;35,N55+M56-V55,IF(A56&lt;'Données projet'!$A$36,$K$205^A56,IF(A56='Données projet'!$A$36,'Données projet'!$B$36,N55+M56-V55)))</f>
        <v>233.59999999999994</v>
      </c>
      <c r="O56" s="13">
        <f>N56*VLOOKUP('Données projet'!$B$9,Paramètres!$A$1:$I$89,3,0)*VLOOKUP('Données projet'!$B$9,Paramètres!$A$1:$I$89,5,0)</f>
        <v>211.36127999999991</v>
      </c>
      <c r="P56" s="13">
        <f t="shared" si="33"/>
        <v>52.232947669705631</v>
      </c>
      <c r="Q56" s="20">
        <f t="shared" si="53"/>
        <v>459.0932798580705</v>
      </c>
      <c r="R56" s="59">
        <f t="shared" si="0"/>
        <v>735.3853742818078</v>
      </c>
      <c r="S56" s="59">
        <f ca="1">AVERAGE(OFFSET($R$3,0,0,'Données projet'!$E$9+1,1))-AVERAGE(OFFSET($H$3,0,0,'Données projet'!$E$9+1,1))</f>
        <v>473.88815717313474</v>
      </c>
      <c r="T56" s="59">
        <f t="shared" si="34"/>
        <v>287.19790203552895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7.3219358964751882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7.3219358964751882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65.352389388291982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10.199999999999999</v>
      </c>
      <c r="AI56" s="13">
        <f>IF('Données projet'!$A$62&gt;35,AI55+AH56-AQ55,IF(A56&lt;'Données projet'!$A$62,$AF$205^A56,IF(A56='Données projet'!$A$62,'Données projet'!$B$62,AI55+AH56-AQ55)))</f>
        <v>233.59999999999994</v>
      </c>
      <c r="AJ56" s="13">
        <f>AI56*VLOOKUP('Données projet'!$B$10,Paramètres!$A$1:$I$89,3,0)*VLOOKUP('Données projet'!$B$10,Paramètres!$A$1:$I$89,5,0)</f>
        <v>196.78463999999997</v>
      </c>
      <c r="AK56" s="13">
        <f t="shared" si="35"/>
        <v>49.036863746442876</v>
      </c>
      <c r="AL56" s="20">
        <f t="shared" si="4"/>
        <v>428.13911902505453</v>
      </c>
      <c r="AM56" s="59">
        <f t="shared" si="5"/>
        <v>704.43121344879182</v>
      </c>
      <c r="AN56" s="59">
        <f ca="1">AVERAGE(OFFSET($AM$3,0,0,'Données projet'!$E$10+1,1))-AVERAGE(OFFSET($H$3,0,0,'Données projet'!$E$10+1,1))</f>
        <v>445.19118535527258</v>
      </c>
      <c r="AO56" s="59">
        <f t="shared" si="36"/>
        <v>270.93483242839363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6.816974800166558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6.816974800166558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65.352389388291982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10.199999999999999</v>
      </c>
      <c r="BD56" s="12">
        <f>IF('Données projet'!$A$88&gt;35,BD55+BC56-BL55,IF(A56&lt;'Données projet'!$A$88,$BA$205^A56,IF(A56='Données projet'!$A$88,'Données projet'!$B$88,BD55+BC56-BL55)))</f>
        <v>233.59999999999994</v>
      </c>
      <c r="BE56" s="13">
        <f>BD56*VLOOKUP('Données projet'!$B$11,Paramètres!$A$1:$I$89,3,0)*VLOOKUP('Données projet'!$B$11,Paramètres!$A$1:$I$89,5,0)</f>
        <v>236.87039999999996</v>
      </c>
      <c r="BF56" s="13">
        <f t="shared" si="37"/>
        <v>57.765668276484661</v>
      </c>
      <c r="BG56" s="20">
        <f t="shared" si="7"/>
        <v>513.15781891487734</v>
      </c>
      <c r="BH56" s="59">
        <f t="shared" si="8"/>
        <v>789.44991333861458</v>
      </c>
      <c r="BI56" s="59">
        <f ca="1">AVERAGE(OFFSET($BH$3,0,0,'Données projet'!$E$11+1,1))-AVERAGE(OFFSET($H$3,0,0,'Données projet'!$E$11+1,1))</f>
        <v>524.01140973345832</v>
      </c>
      <c r="BJ56" s="59">
        <f t="shared" si="38"/>
        <v>315.59942237999621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8.2056178150152999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8.2056178150152999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65.352389388291982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8.4</v>
      </c>
      <c r="BY56" s="12">
        <f>IF('Données projet'!$A$114&gt;35,BY55+BX56-CG55,IF(A56&lt;'Données projet'!$A$114,$BV$205^A56,IF(A56='Données projet'!$A$114,'Données projet'!$B$114,BY55+BX56-CG55)))</f>
        <v>307.19999999999987</v>
      </c>
      <c r="BZ56" s="13">
        <f>BY56*VLOOKUP('Données projet'!$B$12,Paramètres!$A$1:$I$89,3,0)*VLOOKUP('Données projet'!$B$12,Paramètres!$A$1:$I$89,5,0)</f>
        <v>206.06975999999992</v>
      </c>
      <c r="CA56" s="13">
        <f t="shared" si="39"/>
        <v>51.075787295320026</v>
      </c>
      <c r="CB56" s="20">
        <f t="shared" si="10"/>
        <v>447.86182820601556</v>
      </c>
      <c r="CC56" s="59">
        <f t="shared" si="11"/>
        <v>724.15392262975286</v>
      </c>
      <c r="CD56" s="59">
        <f ca="1">AVERAGE(OFFSET($CC$3,0,0,'Données projet'!$E$12+1,1))-AVERAGE(OFFSET($H$3,0,0,'Données projet'!$E$12+1,1))</f>
        <v>358.95222991910504</v>
      </c>
      <c r="CE56" s="59">
        <f t="shared" si="40"/>
        <v>347.37506646970905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13.778027757304391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13.778027757304391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65.352389388291982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8.4</v>
      </c>
      <c r="CT56" s="12">
        <f>IF('Données projet'!$A$140&gt;35,CT55+CS56-DB55,IF(A56&lt;'Données projet'!$A$140,$CQ$205^A56,IF(A56='Données projet'!$A$140,'Données projet'!$B$140,CT55+CS56-DB55)))</f>
        <v>307.19999999999987</v>
      </c>
      <c r="CU56" s="17">
        <f>CT56*VLOOKUP('Données projet'!$B$13,Paramètres!$A$1:$I$89,3,0)*VLOOKUP('Données projet'!$B$13,Paramètres!$A$1:$I$89,5,0)</f>
        <v>201.27743999999993</v>
      </c>
      <c r="CV56" s="13">
        <f t="shared" si="41"/>
        <v>50.024806258462775</v>
      </c>
      <c r="CW56" s="20">
        <f t="shared" si="13"/>
        <v>437.68474556682253</v>
      </c>
      <c r="CX56" s="59">
        <f t="shared" si="14"/>
        <v>713.97683999055982</v>
      </c>
      <c r="CY56" s="59">
        <f ca="1">AVERAGE(OFFSET($CX$3,0,0,'Données projet'!$E$13+1,1))-AVERAGE(OFFSET($H$3,0,0,'Données projet'!$E$13+1,1))</f>
        <v>351.7266381615546</v>
      </c>
      <c r="CZ56" s="59">
        <f t="shared" si="42"/>
        <v>340.52483243761799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21.388723693896736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21.388723693896736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65.352389388291982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13.4</v>
      </c>
      <c r="DO56" s="12">
        <f>IF('Données projet'!$A$166&gt;35,DO55+DN56-DW55,IF(A56&lt;'Données projet'!$A$166,$DL$205^A56,IF(A56='Données projet'!$A$166,'Données projet'!$B$166,DO55+DN56-DW55)))</f>
        <v>279.2000000000001</v>
      </c>
      <c r="DP56" s="17">
        <f>DO56*VLOOKUP('Données projet'!$B$14,Paramètres!$A$1:$I$89,3,0)*VLOOKUP('Données projet'!$B$14,Paramètres!$A$1:$I$89,5,0)</f>
        <v>239.5536000000001</v>
      </c>
      <c r="DQ56" s="13">
        <f t="shared" si="43"/>
        <v>58.343474943343601</v>
      </c>
      <c r="DR56" s="20">
        <f t="shared" si="16"/>
        <v>518.83740552632355</v>
      </c>
      <c r="DS56" s="59">
        <f t="shared" si="17"/>
        <v>795.12949995006079</v>
      </c>
      <c r="DT56" s="59">
        <f ca="1">AVERAGE(OFFSET($DS$3,0,0,'Données projet'!$E$14+1,1))-AVERAGE(OFFSET($H$3,0,0,'Données projet'!$E$14+1,1))</f>
        <v>569.21675741362196</v>
      </c>
      <c r="DU56" s="59">
        <f t="shared" si="44"/>
        <v>321.12410801891679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10.697395317875491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10.697395317875491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65.352389388291982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8.4</v>
      </c>
      <c r="EJ56" s="12">
        <f>IF('Données projet'!$A$192&gt;35,EJ55+EI56-ER55,IF(A56&lt;'Données projet'!$A$192,$EG$205^A56,IF(A56='Données projet'!$A$192,'Données projet'!$B$192,EJ55+EI56-ER55)))</f>
        <v>307.19999999999987</v>
      </c>
      <c r="EK56" s="17">
        <f>EJ56*VLOOKUP('Données projet'!$B$15,Paramètres!$A$1:$I$89,3,0)*VLOOKUP('Données projet'!$B$15,Paramètres!$A$1:$I$89,5,0)</f>
        <v>244.40831999999992</v>
      </c>
      <c r="EL56" s="13">
        <f t="shared" si="45"/>
        <v>59.38699493610541</v>
      </c>
      <c r="EM56" s="20">
        <f t="shared" si="19"/>
        <v>529.11017351371675</v>
      </c>
      <c r="EN56" s="59">
        <f t="shared" si="20"/>
        <v>805.4022679374541</v>
      </c>
      <c r="EO56" s="59">
        <f ca="1">AVERAGE(OFFSET($EN$3,0,0,'Données projet'!$E$15+1,1))-AVERAGE(OFFSET($H$3,0,0,'Données projet'!$E$15+1,1))</f>
        <v>416.63597645452791</v>
      </c>
      <c r="EP56" s="59">
        <f t="shared" si="46"/>
        <v>402.05920382353497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32.012026658141124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32.012026658141124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65.352389388291982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7.4</v>
      </c>
      <c r="FE56" s="12">
        <f>IF('Données projet'!$A$218&gt;35,FE55+FD56-FM55,IF(A56&lt;'Données projet'!$A$218,$FB$205^A56,IF(A56='Données projet'!$A$218,'Données projet'!$B$218,FE55+FD56-FM55)))</f>
        <v>264.2</v>
      </c>
      <c r="FF56" s="17">
        <f>FE56*VLOOKUP('Données projet'!$B$16,Paramètres!$A$1:$I$89,3,0)*VLOOKUP('Données projet'!$B$16,Paramètres!$A$1:$I$89,5,0)</f>
        <v>230.80512000000002</v>
      </c>
      <c r="FG56" s="13">
        <f t="shared" si="47"/>
        <v>56.456731878408327</v>
      </c>
      <c r="FH56" s="20">
        <f t="shared" si="22"/>
        <v>500.3143920215611</v>
      </c>
      <c r="FI56" s="59">
        <f t="shared" si="23"/>
        <v>776.6064864452984</v>
      </c>
      <c r="FJ56" s="59">
        <f ca="1">AVERAGE(OFFSET($FI$3,0,0,'Données projet'!$E$16+1,1))-AVERAGE(OFFSET($H$3,0,0,'Données projet'!$E$16+1,1))</f>
        <v>395.57130469647603</v>
      </c>
      <c r="FK56" s="59">
        <f t="shared" si="48"/>
        <v>383.97542781562674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30.282522279354186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30.282522279354186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65.352389388291982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9.375</v>
      </c>
      <c r="FZ56" s="12">
        <f>IF('Données projet'!$A$244&gt;35,FZ55+FY56-GH55,IF(A56&lt;'Données projet'!$A$244,$FW$205^A56,IF(A56='Données projet'!$A$244,'Données projet'!$B$244,FZ55+FY56-GH55)))</f>
        <v>231.37499999999989</v>
      </c>
      <c r="GA56" s="17">
        <f>FZ56*VLOOKUP('Données projet'!$B$17,Paramètres!$A$1:$I$89,3,0)*VLOOKUP('Données projet'!$B$17,Paramètres!$A$1:$I$89,5,0)</f>
        <v>180.47249999999991</v>
      </c>
      <c r="GB56" s="13">
        <f t="shared" si="49"/>
        <v>45.427292666837829</v>
      </c>
      <c r="GC56" s="20">
        <f t="shared" si="25"/>
        <v>393.44213889474241</v>
      </c>
      <c r="GD56" s="59">
        <f t="shared" si="26"/>
        <v>669.73423331847971</v>
      </c>
      <c r="GE56" s="59">
        <f ca="1">AVERAGE(OFFSET($GD$3,0,0,'Données projet'!$E$17+1,1))-AVERAGE(OFFSET($H$3,0,0,'Données projet'!$E$17+1,1))</f>
        <v>301.74744407733351</v>
      </c>
      <c r="GF56" s="59">
        <f t="shared" si="50"/>
        <v>292.46787700966991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19.936787134801421</v>
      </c>
      <c r="GM56" s="21">
        <f>EXP(-LN(2)/25)*GM55+(1-EXP(-LN(2)/25))/(LN(2)/25)*Calculateur!GH56*Calculateur!GJ56*VLOOKUP('Données projet'!$B$17,Paramètres!$A$1:$I$89,3,0)*0.475*44/12</f>
        <v>0</v>
      </c>
      <c r="GN56" s="21">
        <f>EXP(-LN(2)/2)*GN55+(1-EXP(-LN(2)/2))/(LN(2)/2)*GH56*GK56*VLOOKUP('Données projet'!$B$17,Paramètres!$A$1:$I$89,3,0)*0.475*44/12</f>
        <v>0</v>
      </c>
      <c r="GO56" s="21">
        <f t="shared" si="27"/>
        <v>19.936787134801421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65.352389388291982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8.4</v>
      </c>
      <c r="GU56" s="12">
        <f>IF('Données projet'!$A$270&gt;35,GU55+GT56-HC55,IF(A56&lt;'Données projet'!$A$270,$GR$205^A56,IF(A56='Données projet'!$A$270,'Données projet'!$B$270,GU55+GT56-HC55)))</f>
        <v>307.19999999999987</v>
      </c>
      <c r="GV56" s="17">
        <f>GU56*VLOOKUP('Données projet'!$B$18,Paramètres!$A$1:$I$89,3,0)*VLOOKUP('Données projet'!$B$18,Paramètres!$A$1:$I$89,5,0)</f>
        <v>182.10815999999991</v>
      </c>
      <c r="GW56" s="13">
        <f t="shared" si="51"/>
        <v>45.790894604216163</v>
      </c>
      <c r="GX56" s="20">
        <f t="shared" si="28"/>
        <v>396.92418676900962</v>
      </c>
      <c r="GY56" s="59">
        <f t="shared" si="29"/>
        <v>673.21628119274692</v>
      </c>
      <c r="GZ56" s="59">
        <f ca="1">AVERAGE(OFFSET($GY$3,0,0,'Données projet'!$E$18+1,1))-AVERAGE(OFFSET($H$3,0,0,'Données projet'!$E$18+1,1))</f>
        <v>322.78672881269978</v>
      </c>
      <c r="HA56" s="59">
        <f t="shared" si="52"/>
        <v>313.08736327626434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13.784073403534011</v>
      </c>
      <c r="HH56" s="21">
        <f>EXP(-LN(2)/25)*HH55+(1-EXP(-LN(2)/25))/(LN(2)/25)*Calculateur!HC56*Calculateur!HE56*VLOOKUP('Données projet'!$B$18,Paramètres!$A$1:$I$89,3,0)*0.475*44/12</f>
        <v>0</v>
      </c>
      <c r="HI56" s="21">
        <f>EXP(-LN(2)/2)*HI55+(1-EXP(-LN(2)/2))/(LN(2)/2)*HC56*HF56*VLOOKUP('Données projet'!$B$18,Paramètres!$A$1:$I$89,3,0)*0.475*44/12</f>
        <v>0</v>
      </c>
      <c r="HJ56" s="22">
        <f t="shared" si="30"/>
        <v>13.784073403534011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2.3499999999999996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8.6166666666666654</v>
      </c>
      <c r="H57" s="67">
        <f t="shared" si="1"/>
        <v>222.20000000000002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65.433015041904397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10.199999999999999</v>
      </c>
      <c r="N57" s="13">
        <f>IF('Données projet'!$A$36&gt;35,N56+M57-V56,IF(A57&lt;'Données projet'!$A$36,$K$205^A57,IF(A57='Données projet'!$A$36,'Données projet'!$B$36,N56+M57-V56)))</f>
        <v>243.79999999999993</v>
      </c>
      <c r="O57" s="13">
        <f>N57*VLOOKUP('Données projet'!$B$9,Paramètres!$A$1:$I$89,3,0)*VLOOKUP('Données projet'!$B$9,Paramètres!$A$1:$I$89,5,0)</f>
        <v>220.59023999999991</v>
      </c>
      <c r="P57" s="13">
        <f t="shared" si="33"/>
        <v>54.243151457087848</v>
      </c>
      <c r="Q57" s="20">
        <f t="shared" si="53"/>
        <v>478.66815678776123</v>
      </c>
      <c r="R57" s="59">
        <f t="shared" si="0"/>
        <v>755.25587860807741</v>
      </c>
      <c r="S57" s="59">
        <f ca="1">AVERAGE(OFFSET($R$3,0,0,'Données projet'!$E$9+1,1))-AVERAGE(OFFSET($H$3,0,0,'Données projet'!$E$9+1,1))</f>
        <v>473.88815717313474</v>
      </c>
      <c r="T57" s="59">
        <f t="shared" si="34"/>
        <v>287.19790203552895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7.178357199485232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7.178357199485232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65.433015041904397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10.199999999999999</v>
      </c>
      <c r="AI57" s="13">
        <f>IF('Données projet'!$A$62&gt;35,AI56+AH57-AQ56,IF(A57&lt;'Données projet'!$A$62,$AF$205^A57,IF(A57='Données projet'!$A$62,'Données projet'!$B$62,AI56+AH57-AQ56)))</f>
        <v>243.79999999999993</v>
      </c>
      <c r="AJ57" s="13">
        <f>AI57*VLOOKUP('Données projet'!$B$10,Paramètres!$A$1:$I$89,3,0)*VLOOKUP('Données projet'!$B$10,Paramètres!$A$1:$I$89,5,0)</f>
        <v>205.37711999999993</v>
      </c>
      <c r="AK57" s="13">
        <f t="shared" si="35"/>
        <v>50.924065093909938</v>
      </c>
      <c r="AL57" s="20">
        <f t="shared" si="4"/>
        <v>446.39123070522629</v>
      </c>
      <c r="AM57" s="59">
        <f t="shared" si="5"/>
        <v>722.97895252554235</v>
      </c>
      <c r="AN57" s="59">
        <f ca="1">AVERAGE(OFFSET($AM$3,0,0,'Données projet'!$E$10+1,1))-AVERAGE(OFFSET($H$3,0,0,'Données projet'!$E$10+1,1))</f>
        <v>445.19118535527258</v>
      </c>
      <c r="AO57" s="59">
        <f t="shared" si="36"/>
        <v>270.93483242839363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6.6832980822793573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6.6832980822793573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65.433015041904397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10.199999999999999</v>
      </c>
      <c r="BD57" s="12">
        <f>IF('Données projet'!$A$88&gt;35,BD56+BC57-BL56,IF(A57&lt;'Données projet'!$A$88,$BA$205^A57,IF(A57='Données projet'!$A$88,'Données projet'!$B$88,BD56+BC57-BL56)))</f>
        <v>243.79999999999993</v>
      </c>
      <c r="BE57" s="13">
        <f>BD57*VLOOKUP('Données projet'!$B$11,Paramètres!$A$1:$I$89,3,0)*VLOOKUP('Données projet'!$B$11,Paramètres!$A$1:$I$89,5,0)</f>
        <v>247.21319999999997</v>
      </c>
      <c r="BF57" s="13">
        <f t="shared" si="37"/>
        <v>59.988800807398761</v>
      </c>
      <c r="BG57" s="20">
        <f t="shared" si="7"/>
        <v>535.04348473955281</v>
      </c>
      <c r="BH57" s="59">
        <f t="shared" si="8"/>
        <v>811.63120655986893</v>
      </c>
      <c r="BI57" s="59">
        <f ca="1">AVERAGE(OFFSET($BH$3,0,0,'Données projet'!$E$11+1,1))-AVERAGE(OFFSET($H$3,0,0,'Données projet'!$E$11+1,1))</f>
        <v>524.01140973345832</v>
      </c>
      <c r="BJ57" s="59">
        <f t="shared" si="38"/>
        <v>315.59942237999621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8.0447106545955211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8.0447106545955211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65.433015041904397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8.4</v>
      </c>
      <c r="BY57" s="12">
        <f>IF('Données projet'!$A$114&gt;35,BY56+BX57-CG56,IF(A57&lt;'Données projet'!$A$114,$BV$205^A57,IF(A57='Données projet'!$A$114,'Données projet'!$B$114,BY56+BX57-CG56)))</f>
        <v>315.59999999999985</v>
      </c>
      <c r="BZ57" s="13">
        <f>BY57*VLOOKUP('Données projet'!$B$12,Paramètres!$A$1:$I$89,3,0)*VLOOKUP('Données projet'!$B$12,Paramètres!$A$1:$I$89,5,0)</f>
        <v>211.7044799999999</v>
      </c>
      <c r="CA57" s="13">
        <f t="shared" si="39"/>
        <v>52.307882041697226</v>
      </c>
      <c r="CB57" s="20">
        <f t="shared" si="10"/>
        <v>459.82153055595586</v>
      </c>
      <c r="CC57" s="59">
        <f t="shared" si="11"/>
        <v>736.40925237627198</v>
      </c>
      <c r="CD57" s="59">
        <f ca="1">AVERAGE(OFFSET($CC$3,0,0,'Données projet'!$E$12+1,1))-AVERAGE(OFFSET($H$3,0,0,'Données projet'!$E$12+1,1))</f>
        <v>358.95222991910504</v>
      </c>
      <c r="CE57" s="59">
        <f t="shared" si="40"/>
        <v>347.37506646970905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13.50784903675078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13.50784903675078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65.433015041904397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8.4</v>
      </c>
      <c r="CT57" s="12">
        <f>IF('Données projet'!$A$140&gt;35,CT56+CS57-DB56,IF(A57&lt;'Données projet'!$A$140,$CQ$205^A57,IF(A57='Données projet'!$A$140,'Données projet'!$B$140,CT56+CS57-DB56)))</f>
        <v>315.59999999999985</v>
      </c>
      <c r="CU57" s="17">
        <f>CT57*VLOOKUP('Données projet'!$B$13,Paramètres!$A$1:$I$89,3,0)*VLOOKUP('Données projet'!$B$13,Paramètres!$A$1:$I$89,5,0)</f>
        <v>206.7811199999999</v>
      </c>
      <c r="CV57" s="13">
        <f t="shared" si="41"/>
        <v>51.231548322431593</v>
      </c>
      <c r="CW57" s="20">
        <f t="shared" si="13"/>
        <v>449.37206399490151</v>
      </c>
      <c r="CX57" s="59">
        <f t="shared" si="14"/>
        <v>725.95978581521763</v>
      </c>
      <c r="CY57" s="59">
        <f ca="1">AVERAGE(OFFSET($CX$3,0,0,'Données projet'!$E$13+1,1))-AVERAGE(OFFSET($H$3,0,0,'Données projet'!$E$13+1,1))</f>
        <v>351.7266381615546</v>
      </c>
      <c r="CZ57" s="59">
        <f t="shared" si="42"/>
        <v>340.52483243761799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20.969303868092705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20.969303868092705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65.433015041904397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13.4</v>
      </c>
      <c r="DO57" s="12">
        <f>IF('Données projet'!$A$166&gt;35,DO56+DN57-DW56,IF(A57&lt;'Données projet'!$A$166,$DL$205^A57,IF(A57='Données projet'!$A$166,'Données projet'!$B$166,DO56+DN57-DW56)))</f>
        <v>292.60000000000008</v>
      </c>
      <c r="DP57" s="17">
        <f>DO57*VLOOKUP('Données projet'!$B$14,Paramètres!$A$1:$I$89,3,0)*VLOOKUP('Données projet'!$B$14,Paramètres!$A$1:$I$89,5,0)</f>
        <v>251.05080000000009</v>
      </c>
      <c r="DQ57" s="13">
        <f t="shared" si="43"/>
        <v>60.810898898941176</v>
      </c>
      <c r="DR57" s="20">
        <f t="shared" si="16"/>
        <v>543.15912558232264</v>
      </c>
      <c r="DS57" s="59">
        <f t="shared" si="17"/>
        <v>819.74684740263876</v>
      </c>
      <c r="DT57" s="59">
        <f ca="1">AVERAGE(OFFSET($DS$3,0,0,'Données projet'!$E$14+1,1))-AVERAGE(OFFSET($H$3,0,0,'Données projet'!$E$14+1,1))</f>
        <v>569.21675741362196</v>
      </c>
      <c r="DU57" s="59">
        <f t="shared" si="44"/>
        <v>321.12410801891679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10.48762592045883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10.48762592045883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65.433015041904397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8.4</v>
      </c>
      <c r="EJ57" s="12">
        <f>IF('Données projet'!$A$192&gt;35,EJ56+EI57-ER56,IF(A57&lt;'Données projet'!$A$192,$EG$205^A57,IF(A57='Données projet'!$A$192,'Données projet'!$B$192,EJ56+EI57-ER56)))</f>
        <v>315.59999999999985</v>
      </c>
      <c r="EK57" s="17">
        <f>EJ57*VLOOKUP('Données projet'!$B$15,Paramètres!$A$1:$I$89,3,0)*VLOOKUP('Données projet'!$B$15,Paramètres!$A$1:$I$89,5,0)</f>
        <v>251.0913599999999</v>
      </c>
      <c r="EL57" s="13">
        <f t="shared" si="45"/>
        <v>60.81957989149403</v>
      </c>
      <c r="EM57" s="20">
        <f t="shared" si="19"/>
        <v>543.24488697768527</v>
      </c>
      <c r="EN57" s="59">
        <f t="shared" si="20"/>
        <v>819.83260879800139</v>
      </c>
      <c r="EO57" s="59">
        <f ca="1">AVERAGE(OFFSET($EN$3,0,0,'Données projet'!$E$15+1,1))-AVERAGE(OFFSET($H$3,0,0,'Données projet'!$E$15+1,1))</f>
        <v>416.63597645452791</v>
      </c>
      <c r="EP57" s="59">
        <f t="shared" si="46"/>
        <v>402.05920382353497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31.384290340783263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31.384290340783263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65.433015041904397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7.4</v>
      </c>
      <c r="FE57" s="12">
        <f>IF('Données projet'!$A$218&gt;35,FE56+FD57-FM56,IF(A57&lt;'Données projet'!$A$218,$FB$205^A57,IF(A57='Données projet'!$A$218,'Données projet'!$B$218,FE56+FD57-FM56)))</f>
        <v>271.59999999999997</v>
      </c>
      <c r="FF57" s="17">
        <f>FE57*VLOOKUP('Données projet'!$B$16,Paramètres!$A$1:$I$89,3,0)*VLOOKUP('Données projet'!$B$16,Paramètres!$A$1:$I$89,5,0)</f>
        <v>237.26976000000002</v>
      </c>
      <c r="FG57" s="13">
        <f t="shared" si="47"/>
        <v>57.851715465847946</v>
      </c>
      <c r="FH57" s="20">
        <f t="shared" si="22"/>
        <v>514.00323643635181</v>
      </c>
      <c r="FI57" s="59">
        <f t="shared" si="23"/>
        <v>790.59095825666793</v>
      </c>
      <c r="FJ57" s="59">
        <f ca="1">AVERAGE(OFFSET($FI$3,0,0,'Données projet'!$E$16+1,1))-AVERAGE(OFFSET($H$3,0,0,'Données projet'!$E$16+1,1))</f>
        <v>395.57130469647603</v>
      </c>
      <c r="FK57" s="59">
        <f t="shared" si="48"/>
        <v>383.97542781562674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29.688700487970831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29.688700487970831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65.433015041904397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9.375</v>
      </c>
      <c r="FZ57" s="12">
        <f>IF('Données projet'!$A$244&gt;35,FZ56+FY57-GH56,IF(A57&lt;'Données projet'!$A$244,$FW$205^A57,IF(A57='Données projet'!$A$244,'Données projet'!$B$244,FZ56+FY57-GH56)))</f>
        <v>240.74999999999989</v>
      </c>
      <c r="GA57" s="17">
        <f>FZ57*VLOOKUP('Données projet'!$B$17,Paramètres!$A$1:$I$89,3,0)*VLOOKUP('Données projet'!$B$17,Paramètres!$A$1:$I$89,5,0)</f>
        <v>187.78499999999991</v>
      </c>
      <c r="GB57" s="13">
        <f t="shared" si="49"/>
        <v>47.049914090154054</v>
      </c>
      <c r="GC57" s="20">
        <f t="shared" si="25"/>
        <v>409.0041420403515</v>
      </c>
      <c r="GD57" s="59">
        <f t="shared" si="26"/>
        <v>685.59186386066767</v>
      </c>
      <c r="GE57" s="59">
        <f ca="1">AVERAGE(OFFSET($GD$3,0,0,'Données projet'!$E$17+1,1))-AVERAGE(OFFSET($H$3,0,0,'Données projet'!$E$17+1,1))</f>
        <v>301.74744407733351</v>
      </c>
      <c r="GF57" s="59">
        <f t="shared" si="50"/>
        <v>292.46787700966991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19.545838899327393</v>
      </c>
      <c r="GM57" s="21">
        <f>EXP(-LN(2)/25)*GM56+(1-EXP(-LN(2)/25))/(LN(2)/25)*Calculateur!GH57*Calculateur!GJ57*VLOOKUP('Données projet'!$B$17,Paramètres!$A$1:$I$89,3,0)*0.475*44/12</f>
        <v>0</v>
      </c>
      <c r="GN57" s="21">
        <f>EXP(-LN(2)/2)*GN56+(1-EXP(-LN(2)/2))/(LN(2)/2)*GH57*GK57*VLOOKUP('Données projet'!$B$17,Paramètres!$A$1:$I$89,3,0)*0.475*44/12</f>
        <v>0</v>
      </c>
      <c r="GO57" s="21">
        <f t="shared" si="27"/>
        <v>19.545838899327393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65.433015041904397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8.4</v>
      </c>
      <c r="GU57" s="12">
        <f>IF('Données projet'!$A$270&gt;35,GU56+GT57-HC56,IF(A57&lt;'Données projet'!$A$270,$GR$205^A57,IF(A57='Données projet'!$A$270,'Données projet'!$B$270,GU56+GT57-HC56)))</f>
        <v>315.59999999999985</v>
      </c>
      <c r="GV57" s="17">
        <f>GU57*VLOOKUP('Données projet'!$B$18,Paramètres!$A$1:$I$89,3,0)*VLOOKUP('Données projet'!$B$18,Paramètres!$A$1:$I$89,5,0)</f>
        <v>187.08767999999992</v>
      </c>
      <c r="GW57" s="13">
        <f t="shared" si="51"/>
        <v>46.895502553723709</v>
      </c>
      <c r="GX57" s="20">
        <f t="shared" si="28"/>
        <v>407.52070961440199</v>
      </c>
      <c r="GY57" s="59">
        <f t="shared" si="29"/>
        <v>684.10843143471811</v>
      </c>
      <c r="GZ57" s="59">
        <f ca="1">AVERAGE(OFFSET($GY$3,0,0,'Données projet'!$E$18+1,1))-AVERAGE(OFFSET($H$3,0,0,'Données projet'!$E$18+1,1))</f>
        <v>322.78672881269978</v>
      </c>
      <c r="HA57" s="59">
        <f t="shared" si="52"/>
        <v>313.08736327626434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13.513776131545319</v>
      </c>
      <c r="HH57" s="21">
        <f>EXP(-LN(2)/25)*HH56+(1-EXP(-LN(2)/25))/(LN(2)/25)*Calculateur!HC57*Calculateur!HE57*VLOOKUP('Données projet'!$B$18,Paramètres!$A$1:$I$89,3,0)*0.475*44/12</f>
        <v>0</v>
      </c>
      <c r="HI57" s="21">
        <f>EXP(-LN(2)/2)*HI56+(1-EXP(-LN(2)/2))/(LN(2)/2)*HC57*HF57*VLOOKUP('Données projet'!$B$18,Paramètres!$A$1:$I$89,3,0)*0.475*44/12</f>
        <v>0</v>
      </c>
      <c r="HJ57" s="22">
        <f t="shared" si="30"/>
        <v>13.513776131545319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2.3499999999999996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8.6166666666666654</v>
      </c>
      <c r="H58" s="67">
        <f t="shared" si="1"/>
        <v>222.20000000000002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65.512242020678599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254</v>
      </c>
      <c r="L58" s="12">
        <f>VLOOKUP(A58,'Données projet'!$A$35:$I$55,9,0)</f>
        <v>10.199999999999999</v>
      </c>
      <c r="M58" s="12">
        <f t="array" ref="M58">INDEX(L:L,MIN(IF(ISNUMBER(L58:L254),ROW(L58:L254),"")))</f>
        <v>10.199999999999999</v>
      </c>
      <c r="N58" s="13">
        <f>IF('Données projet'!$A$36&gt;35,N57+M58-V57,IF(A58&lt;'Données projet'!$A$36,$K$205^A58,IF(A58='Données projet'!$A$36,'Données projet'!$B$36,N57+M58-V57)))</f>
        <v>253.99999999999991</v>
      </c>
      <c r="O58" s="13">
        <f>N58*VLOOKUP('Données projet'!$B$9,Paramètres!$A$1:$I$89,3,0)*VLOOKUP('Données projet'!$B$9,Paramètres!$A$1:$I$89,5,0)</f>
        <v>229.81919999999991</v>
      </c>
      <c r="P58" s="13">
        <f t="shared" si="33"/>
        <v>56.243586554989342</v>
      </c>
      <c r="Q58" s="20">
        <f t="shared" si="53"/>
        <v>498.22601991660628</v>
      </c>
      <c r="R58" s="59">
        <f t="shared" si="0"/>
        <v>775.10424065909444</v>
      </c>
      <c r="S58" s="59">
        <f ca="1">AVERAGE(OFFSET($R$3,0,0,'Données projet'!$E$9+1,1))-AVERAGE(OFFSET($H$3,0,0,'Données projet'!$E$9+1,1))</f>
        <v>473.88815717313474</v>
      </c>
      <c r="T58" s="59">
        <f t="shared" si="34"/>
        <v>287.19790203552895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28</v>
      </c>
      <c r="W58" s="16">
        <f>IF(ISNA(VLOOKUP(A58,'Données projet'!$A$35:$I$55,5,0)),0%,VLOOKUP(A58,'Données projet'!$A$35:$I$55,5,0)*VLOOKUP('Données projet'!$B$9,Paramètres!$A$1:$I$89,7,0))</f>
        <v>0.129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10.650423306206795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10.650423306206795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65.512242020678599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254</v>
      </c>
      <c r="AG58" s="12">
        <f>VLOOKUP(A58,'Données projet'!$A$61:$I$81,9,0)</f>
        <v>10.199999999999999</v>
      </c>
      <c r="AH58" s="12">
        <f t="array" ref="AH58">INDEX(AG:AG,MIN(IF(ISNUMBER(AG58:AG254),ROW(AG58:AG254),"")))</f>
        <v>10.199999999999999</v>
      </c>
      <c r="AI58" s="13">
        <f>IF('Données projet'!$A$62&gt;35,AI57+AH58-AQ57,IF(A58&lt;'Données projet'!$A$62,$AF$205^A58,IF(A58='Données projet'!$A$62,'Données projet'!$B$62,AI57+AH58-AQ57)))</f>
        <v>253.99999999999991</v>
      </c>
      <c r="AJ58" s="13">
        <f>AI58*VLOOKUP('Données projet'!$B$10,Paramètres!$A$1:$I$89,3,0)*VLOOKUP('Données projet'!$B$10,Paramètres!$A$1:$I$89,5,0)</f>
        <v>213.96959999999996</v>
      </c>
      <c r="AK58" s="13">
        <f t="shared" si="35"/>
        <v>52.802095488627479</v>
      </c>
      <c r="AL58" s="20">
        <f t="shared" si="4"/>
        <v>464.62736964269271</v>
      </c>
      <c r="AM58" s="59">
        <f t="shared" si="5"/>
        <v>741.50559038518088</v>
      </c>
      <c r="AN58" s="59">
        <f ca="1">AVERAGE(OFFSET($AM$3,0,0,'Données projet'!$E$10+1,1))-AVERAGE(OFFSET($H$3,0,0,'Données projet'!$E$10+1,1))</f>
        <v>445.19118535527258</v>
      </c>
      <c r="AO58" s="59">
        <f t="shared" si="36"/>
        <v>270.93483242839363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28</v>
      </c>
      <c r="AR58" s="16">
        <f>IF(ISNA(VLOOKUP(A58,'Données projet'!$A$61:$I$81,5,0)),0%,VLOOKUP(A58,'Données projet'!$A$61:$I$81,5,0)*VLOOKUP('Données projet'!$B$10,Paramètres!$A$1:$I$89,7,0))</f>
        <v>0.129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9.9159113540546073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9.9159113540546073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65.512242020678599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254</v>
      </c>
      <c r="BB58" s="12">
        <f>VLOOKUP(A58,'Données projet'!$A$87:$I$107,9,0)</f>
        <v>10.199999999999999</v>
      </c>
      <c r="BC58" s="12">
        <f t="array" ref="BC58">INDEX(BB:BB,MIN(IF(ISNUMBER(BB58:BB254),ROW(BB58:BB254),"")))</f>
        <v>10.199999999999999</v>
      </c>
      <c r="BD58" s="12">
        <f>IF('Données projet'!$A$88&gt;35,BD57+BC58-BL57,IF(A58&lt;'Données projet'!$A$88,$BA$205^A58,IF(A58='Données projet'!$A$88,'Données projet'!$B$88,BD57+BC58-BL57)))</f>
        <v>253.99999999999991</v>
      </c>
      <c r="BE58" s="13">
        <f>BD58*VLOOKUP('Données projet'!$B$11,Paramètres!$A$1:$I$89,3,0)*VLOOKUP('Données projet'!$B$11,Paramètres!$A$1:$I$89,5,0)</f>
        <v>257.55599999999993</v>
      </c>
      <c r="BF58" s="13">
        <f t="shared" si="37"/>
        <v>62.201129910568184</v>
      </c>
      <c r="BG58" s="20">
        <f t="shared" si="7"/>
        <v>556.91033459423932</v>
      </c>
      <c r="BH58" s="59">
        <f t="shared" si="8"/>
        <v>833.78855533672754</v>
      </c>
      <c r="BI58" s="59">
        <f ca="1">AVERAGE(OFFSET($BH$3,0,0,'Données projet'!$E$11+1,1))-AVERAGE(OFFSET($H$3,0,0,'Données projet'!$E$11+1,1))</f>
        <v>524.01140973345832</v>
      </c>
      <c r="BJ58" s="59">
        <f t="shared" si="38"/>
        <v>315.59942237999621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28</v>
      </c>
      <c r="BM58" s="16">
        <f>IF(ISNA(VLOOKUP(A58,'Données projet'!$A$87:$I$107,5,0)),0%,VLOOKUP(A58,'Données projet'!$A$87:$I$107,5,0)*VLOOKUP('Données projet'!$B$11,Paramètres!$A$1:$I$89,7,0))</f>
        <v>0.129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11.935819222473135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11.935819222473135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65.512242020678599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324</v>
      </c>
      <c r="BW58" s="12">
        <f>VLOOKUP(A58,'Données projet'!$A$113:$I$133,9,0)</f>
        <v>8.4</v>
      </c>
      <c r="BX58" s="12">
        <f t="array" ref="BX58">INDEX(BW:BW,MIN(IF(ISNUMBER(BW58:BW254),ROW(BW58:BW254),"")))</f>
        <v>8.4</v>
      </c>
      <c r="BY58" s="12">
        <f>IF('Données projet'!$A$114&gt;35,BY57+BX58-CG57,IF(A58&lt;'Données projet'!$A$114,$BV$205^A58,IF(A58='Données projet'!$A$114,'Données projet'!$B$114,BY57+BX58-CG57)))</f>
        <v>323.99999999999983</v>
      </c>
      <c r="BZ58" s="13">
        <f>BY58*VLOOKUP('Données projet'!$B$12,Paramètres!$A$1:$I$89,3,0)*VLOOKUP('Données projet'!$B$12,Paramètres!$A$1:$I$89,5,0)</f>
        <v>217.33919999999992</v>
      </c>
      <c r="CA58" s="13">
        <f t="shared" si="39"/>
        <v>53.536165068020416</v>
      </c>
      <c r="CB58" s="20">
        <f t="shared" si="10"/>
        <v>471.77459416013545</v>
      </c>
      <c r="CC58" s="59">
        <f t="shared" si="11"/>
        <v>748.65281490262362</v>
      </c>
      <c r="CD58" s="59">
        <f ca="1">AVERAGE(OFFSET($CC$3,0,0,'Données projet'!$E$12+1,1))-AVERAGE(OFFSET($H$3,0,0,'Données projet'!$E$12+1,1))</f>
        <v>358.95222991910504</v>
      </c>
      <c r="CE58" s="59">
        <f t="shared" si="40"/>
        <v>347.37506646970905</v>
      </c>
      <c r="CF58" s="15">
        <f>IF(ISNA(VLOOKUP(A58,'Données projet'!$A$113:$I$133,3,0)),0,VLOOKUP(A58,'Données projet'!$A$113:$I$133,3,0))</f>
        <v>10</v>
      </c>
      <c r="CG58" s="15">
        <f>IF(ISNA(VLOOKUP(A58,'Données projet'!$A$113:$I$133,4,0)),0,VLOOKUP(A58,'Données projet'!$A$113:$I$133,4,0))</f>
        <v>18</v>
      </c>
      <c r="CH58" s="16">
        <f>IF(ISNA(VLOOKUP(A58,'Données projet'!$A$113:$I$133,5,0)),0%,VLOOKUP(A58,'Données projet'!$A$113:$I$133,5,0)*VLOOKUP('Données projet'!$B$12,Paramètres!$A$1:$I$89,7,0))</f>
        <v>0.21200000000000002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16.072721364848601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16.072721364848601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65.512242020678599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324</v>
      </c>
      <c r="CR58" s="12">
        <f>VLOOKUP(A58,'Données projet'!$A$139:$I$159,9,0)</f>
        <v>8.4</v>
      </c>
      <c r="CS58" s="12">
        <f t="array" ref="CS58">INDEX(CR:CR,MIN(IF(ISNUMBER(CR58:CR254),ROW(CR58:CR254),"")))</f>
        <v>8.4</v>
      </c>
      <c r="CT58" s="12">
        <f>IF('Données projet'!$A$140&gt;35,CT57+CS58-DB57,IF(A58&lt;'Données projet'!$A$140,$CQ$205^A58,IF(A58='Données projet'!$A$140,'Données projet'!$B$140,CT57+CS58-DB57)))</f>
        <v>323.99999999999983</v>
      </c>
      <c r="CU58" s="17">
        <f>CT58*VLOOKUP('Données projet'!$B$13,Paramètres!$A$1:$I$89,3,0)*VLOOKUP('Données projet'!$B$13,Paramètres!$A$1:$I$89,5,0)</f>
        <v>212.2847999999999</v>
      </c>
      <c r="CV58" s="13">
        <f t="shared" si="41"/>
        <v>52.434557099704143</v>
      </c>
      <c r="CW58" s="20">
        <f t="shared" si="13"/>
        <v>461.05288028198453</v>
      </c>
      <c r="CX58" s="59">
        <f t="shared" si="14"/>
        <v>737.9311010244727</v>
      </c>
      <c r="CY58" s="59">
        <f ca="1">AVERAGE(OFFSET($CX$3,0,0,'Données projet'!$E$13+1,1))-AVERAGE(OFFSET($H$3,0,0,'Données projet'!$E$13+1,1))</f>
        <v>351.7266381615546</v>
      </c>
      <c r="CZ58" s="59">
        <f t="shared" si="42"/>
        <v>340.52483243761799</v>
      </c>
      <c r="DA58" s="15">
        <f>IF(ISNA(VLOOKUP(A58,'Données projet'!$A$139:$I$159,3,0)),0,VLOOKUP(A58,'Données projet'!$A$139:$I$159,3,0))</f>
        <v>10</v>
      </c>
      <c r="DB58" s="15">
        <f>IF(ISNA(VLOOKUP(A58,'Données projet'!$A$139:$I$159,4,0)),0,VLOOKUP(A58,'Données projet'!$A$139:$I$159,4,0))</f>
        <v>18</v>
      </c>
      <c r="DC58" s="16">
        <f>IF(ISNA(VLOOKUP(A58,'Données projet'!$A$139:$I$159,5,0)),0%,VLOOKUP(A58,'Données projet'!$A$139:$I$159,5,0)*VLOOKUP('Données projet'!$B$13,Paramètres!$A$1:$I$89,7,0))</f>
        <v>0.25800000000000001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23.921777280011284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23.921777280011284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65.512242020678599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306</v>
      </c>
      <c r="DM58" s="12">
        <f>VLOOKUP(A58,'Données projet'!$A$165:$I$185,9,0)</f>
        <v>13.4</v>
      </c>
      <c r="DN58" s="12">
        <f t="array" ref="DN58">INDEX(DM:DM,MIN(IF(ISNUMBER(DM58:DM254),ROW(DM58:DM254),"")))</f>
        <v>13.4</v>
      </c>
      <c r="DO58" s="12">
        <f>IF('Données projet'!$A$166&gt;35,DO57+DN58-DW57,IF(A58&lt;'Données projet'!$A$166,$DL$205^A58,IF(A58='Données projet'!$A$166,'Données projet'!$B$166,DO57+DN58-DW57)))</f>
        <v>306.00000000000006</v>
      </c>
      <c r="DP58" s="17">
        <f>DO58*VLOOKUP('Données projet'!$B$14,Paramètres!$A$1:$I$89,3,0)*VLOOKUP('Données projet'!$B$14,Paramètres!$A$1:$I$89,5,0)</f>
        <v>262.54800000000006</v>
      </c>
      <c r="DQ58" s="13">
        <f t="shared" si="43"/>
        <v>63.265199933079444</v>
      </c>
      <c r="DR58" s="20">
        <f t="shared" si="16"/>
        <v>567.45798988344677</v>
      </c>
      <c r="DS58" s="59">
        <f t="shared" si="17"/>
        <v>844.33621062593488</v>
      </c>
      <c r="DT58" s="59">
        <f ca="1">AVERAGE(OFFSET($DS$3,0,0,'Données projet'!$E$14+1,1))-AVERAGE(OFFSET($H$3,0,0,'Données projet'!$E$14+1,1))</f>
        <v>569.21675741362196</v>
      </c>
      <c r="DU58" s="59">
        <f t="shared" si="44"/>
        <v>321.12410801891679</v>
      </c>
      <c r="DV58" s="15">
        <f>IF(ISNA(VLOOKUP(A58,'Données projet'!$A$165:$I$185,3,0)),0,VLOOKUP(A58,'Données projet'!$A$165:$I$185,3,0))</f>
        <v>8</v>
      </c>
      <c r="DW58" s="15">
        <f>IF(ISNA(VLOOKUP(A58,'Données projet'!$A$165:$I$185,4,0)),0,VLOOKUP(A58,'Données projet'!$A$165:$I$185,4,0))</f>
        <v>35</v>
      </c>
      <c r="DX58" s="16">
        <f>IF(ISNA(VLOOKUP(A58,'Données projet'!$A$165:$I$185,5,0)),0%,VLOOKUP(A58,'Données projet'!$A$165:$I$185,5,0)*VLOOKUP('Données projet'!$B$14,Paramètres!$A$1:$I$89,7,0))</f>
        <v>0.159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15.560336777061355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15.560336777061355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65.512242020678599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324</v>
      </c>
      <c r="EH58" s="12">
        <f>VLOOKUP(A58,'Données projet'!$A$191:$I$211,9,0)</f>
        <v>8.4</v>
      </c>
      <c r="EI58" s="12">
        <f t="array" ref="EI58">INDEX(EH:EH,MIN(IF(ISNUMBER(EH58:EH254),ROW(EH58:EH254),"")))</f>
        <v>8.4</v>
      </c>
      <c r="EJ58" s="12">
        <f>IF('Données projet'!$A$192&gt;35,EJ57+EI58-ER57,IF(A58&lt;'Données projet'!$A$192,$EG$205^A58,IF(A58='Données projet'!$A$192,'Données projet'!$B$192,EJ57+EI58-ER57)))</f>
        <v>323.99999999999983</v>
      </c>
      <c r="EK58" s="17">
        <f>EJ58*VLOOKUP('Données projet'!$B$15,Paramètres!$A$1:$I$89,3,0)*VLOOKUP('Données projet'!$B$15,Paramètres!$A$1:$I$89,5,0)</f>
        <v>257.7743999999999</v>
      </c>
      <c r="EL58" s="13">
        <f t="shared" si="45"/>
        <v>62.247732872134243</v>
      </c>
      <c r="EM58" s="20">
        <f t="shared" si="19"/>
        <v>557.37188141896695</v>
      </c>
      <c r="EN58" s="59">
        <f t="shared" si="20"/>
        <v>834.25010216145506</v>
      </c>
      <c r="EO58" s="59">
        <f ca="1">AVERAGE(OFFSET($EN$3,0,0,'Données projet'!$E$15+1,1))-AVERAGE(OFFSET($H$3,0,0,'Données projet'!$E$15+1,1))</f>
        <v>416.63597645452791</v>
      </c>
      <c r="EP58" s="59">
        <f t="shared" si="46"/>
        <v>402.05920382353497</v>
      </c>
      <c r="EQ58" s="15">
        <f>IF(ISNA(VLOOKUP(A58,'Données projet'!$A$191:$I$211,3,0)),0,VLOOKUP(A58,'Données projet'!$A$191:$I$211,3,0))</f>
        <v>10</v>
      </c>
      <c r="ER58" s="15">
        <f>IF(ISNA(VLOOKUP(A58,'Données projet'!$A$191:$I$211,4,0)),0,VLOOKUP(A58,'Données projet'!$A$191:$I$211,4,0))</f>
        <v>18</v>
      </c>
      <c r="ES58" s="16">
        <f>IF(ISNA(VLOOKUP(A58,'Données projet'!$A$191:$I$211,5,0)),0%,VLOOKUP(A58,'Données projet'!$A$191:$I$211,5,0)*VLOOKUP('Données projet'!$B$15,Paramètres!$A$1:$I$89,7,0))</f>
        <v>0.318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35.803191576893965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35.803191576893965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65.512242020678599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279</v>
      </c>
      <c r="FC58" s="12">
        <f>VLOOKUP(A58,'Données projet'!$A$217:$I$237,9,0)</f>
        <v>7.4</v>
      </c>
      <c r="FD58" s="12">
        <f t="array" ref="FD58">INDEX(FC:FC,MIN(IF(ISNUMBER(FC58:FC254),ROW(FC58:FC254),"")))</f>
        <v>7.4</v>
      </c>
      <c r="FE58" s="12">
        <f>IF('Données projet'!$A$218&gt;35,FE57+FD58-FM57,IF(A58&lt;'Données projet'!$A$218,$FB$205^A58,IF(A58='Données projet'!$A$218,'Données projet'!$B$218,FE57+FD58-FM57)))</f>
        <v>278.99999999999994</v>
      </c>
      <c r="FF58" s="17">
        <f>FE58*VLOOKUP('Données projet'!$B$16,Paramètres!$A$1:$I$89,3,0)*VLOOKUP('Données projet'!$B$16,Paramètres!$A$1:$I$89,5,0)</f>
        <v>243.73439999999997</v>
      </c>
      <c r="FG58" s="13">
        <f t="shared" si="47"/>
        <v>59.242281392848817</v>
      </c>
      <c r="FH58" s="20">
        <f t="shared" si="22"/>
        <v>527.68438675921152</v>
      </c>
      <c r="FI58" s="59">
        <f t="shared" si="23"/>
        <v>804.56260750169963</v>
      </c>
      <c r="FJ58" s="59">
        <f ca="1">AVERAGE(OFFSET($FI$3,0,0,'Données projet'!$E$16+1,1))-AVERAGE(OFFSET($H$3,0,0,'Données projet'!$E$16+1,1))</f>
        <v>395.57130469647603</v>
      </c>
      <c r="FK58" s="59">
        <f t="shared" si="48"/>
        <v>383.97542781562674</v>
      </c>
      <c r="FL58" s="15">
        <f>IF(ISNA(VLOOKUP(A58,'Données projet'!$A$217:$I$237,3,0)),0,VLOOKUP(A58,'Données projet'!$A$217:$I$237,3,0))</f>
        <v>10</v>
      </c>
      <c r="FM58" s="15">
        <f>IF(ISNA(VLOOKUP(A58,'Données projet'!$A$217:$I$237,4,0)),0,VLOOKUP(A58,'Données projet'!$A$217:$I$237,4,0))</f>
        <v>16</v>
      </c>
      <c r="FN58" s="16">
        <f>IF(ISNA(VLOOKUP(A58,'Données projet'!$A$217:$I$237,5,0)),0%,VLOOKUP(A58,'Données projet'!$A$217:$I$237,5,0)*VLOOKUP('Données projet'!$B$16,Paramètres!$A$1:$I$89,7,0))</f>
        <v>0.318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34.020202822794175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34.020202822794175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65.512242020678599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9.375</v>
      </c>
      <c r="FZ58" s="12">
        <f>IF('Données projet'!$A$244&gt;35,FZ57+FY58-GH57,IF(A58&lt;'Données projet'!$A$244,$FW$205^A58,IF(A58='Données projet'!$A$244,'Données projet'!$B$244,FZ57+FY58-GH57)))</f>
        <v>250.12499999999989</v>
      </c>
      <c r="GA58" s="17">
        <f>FZ58*VLOOKUP('Données projet'!$B$17,Paramètres!$A$1:$I$89,3,0)*VLOOKUP('Données projet'!$B$17,Paramètres!$A$1:$I$89,5,0)</f>
        <v>195.09749999999991</v>
      </c>
      <c r="GB58" s="13">
        <f t="shared" si="49"/>
        <v>48.66519532492579</v>
      </c>
      <c r="GC58" s="20">
        <f t="shared" si="25"/>
        <v>424.55336102424553</v>
      </c>
      <c r="GD58" s="59">
        <f t="shared" si="26"/>
        <v>701.43158176673364</v>
      </c>
      <c r="GE58" s="59">
        <f ca="1">AVERAGE(OFFSET($GD$3,0,0,'Données projet'!$E$17+1,1))-AVERAGE(OFFSET($H$3,0,0,'Données projet'!$E$17+1,1))</f>
        <v>301.74744407733351</v>
      </c>
      <c r="GF58" s="59">
        <f t="shared" si="50"/>
        <v>292.46787700966991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19.162556920296133</v>
      </c>
      <c r="GM58" s="21">
        <f>EXP(-LN(2)/25)*GM57+(1-EXP(-LN(2)/25))/(LN(2)/25)*Calculateur!GH58*Calculateur!GJ58*VLOOKUP('Données projet'!$B$17,Paramètres!$A$1:$I$89,3,0)*0.475*44/12</f>
        <v>0</v>
      </c>
      <c r="GN58" s="21">
        <f>EXP(-LN(2)/2)*GN57+(1-EXP(-LN(2)/2))/(LN(2)/2)*GH58*GK58*VLOOKUP('Données projet'!$B$17,Paramètres!$A$1:$I$89,3,0)*0.475*44/12</f>
        <v>0</v>
      </c>
      <c r="GO58" s="21">
        <f t="shared" si="27"/>
        <v>19.162556920296133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65.512242020678599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>
        <f>VLOOKUP(A58,'Données projet'!$A$269:$I$289,2,0)</f>
        <v>324</v>
      </c>
      <c r="GS58" s="12">
        <f>VLOOKUP(A58,'Données projet'!$A$269:$I$289,9,0)</f>
        <v>8.4</v>
      </c>
      <c r="GT58" s="12">
        <f t="array" ref="GT58">INDEX(GS:GS,MIN(IF(ISNUMBER(GS58:GS254),ROW(GS58:GS254),"")))</f>
        <v>8.4</v>
      </c>
      <c r="GU58" s="12">
        <f>IF('Données projet'!$A$270&gt;35,GU57+GT58-HC57,IF(A58&lt;'Données projet'!$A$270,$GR$205^A58,IF(A58='Données projet'!$A$270,'Données projet'!$B$270,GU57+GT58-HC57)))</f>
        <v>323.99999999999983</v>
      </c>
      <c r="GV58" s="17">
        <f>GU58*VLOOKUP('Données projet'!$B$18,Paramètres!$A$1:$I$89,3,0)*VLOOKUP('Données projet'!$B$18,Paramètres!$A$1:$I$89,5,0)</f>
        <v>192.0671999999999</v>
      </c>
      <c r="GW58" s="13">
        <f t="shared" si="51"/>
        <v>47.996693187894678</v>
      </c>
      <c r="GX58" s="20">
        <f t="shared" si="28"/>
        <v>418.111280635583</v>
      </c>
      <c r="GY58" s="59">
        <f t="shared" si="29"/>
        <v>694.98950137807117</v>
      </c>
      <c r="GZ58" s="59">
        <f ca="1">AVERAGE(OFFSET($GY$3,0,0,'Données projet'!$E$18+1,1))-AVERAGE(OFFSET($H$3,0,0,'Données projet'!$E$18+1,1))</f>
        <v>322.78672881269978</v>
      </c>
      <c r="HA58" s="59">
        <f t="shared" si="52"/>
        <v>313.08736327626434</v>
      </c>
      <c r="HB58" s="15">
        <f>IF(ISNA(VLOOKUP(A58,'Données projet'!$A$269:$I$289,3,0)),0,VLOOKUP(A58,'Données projet'!$A$269:$I$289,3,0))</f>
        <v>10</v>
      </c>
      <c r="HC58" s="15">
        <f>IF(ISNA(VLOOKUP(A58,'Données projet'!$A$269:$I$289,4,0)),0,VLOOKUP(A58,'Données projet'!$A$269:$I$289,4,0))</f>
        <v>18</v>
      </c>
      <c r="HD58" s="16">
        <f>IF(ISNA(VLOOKUP(A58,'Données projet'!$A$269:$I$289,5,0)),0%,VLOOKUP(A58,'Données projet'!$A$269:$I$289,5,0)*VLOOKUP('Données projet'!$B$18,Paramètres!$A$1:$I$89,7,0))</f>
        <v>0.24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>
        <f>EXP(-LN(2)/35)*HG57+(1-EXP(-LN(2)/35))/(LN(2)/35)*HC58*HD58*VLOOKUP('Données projet'!$B$18,Paramètres!$A$1:$I$89,3,0)*0.475*44/12</f>
        <v>16.079773897259681</v>
      </c>
      <c r="HH58" s="21">
        <f>EXP(-LN(2)/25)*HH57+(1-EXP(-LN(2)/25))/(LN(2)/25)*Calculateur!HC58*Calculateur!HE58*VLOOKUP('Données projet'!$B$18,Paramètres!$A$1:$I$89,3,0)*0.475*44/12</f>
        <v>0</v>
      </c>
      <c r="HI58" s="21">
        <f>EXP(-LN(2)/2)*HI57+(1-EXP(-LN(2)/2))/(LN(2)/2)*HC58*HF58*VLOOKUP('Données projet'!$B$18,Paramètres!$A$1:$I$89,3,0)*0.475*44/12</f>
        <v>0</v>
      </c>
      <c r="HJ58" s="22">
        <f t="shared" si="30"/>
        <v>16.079773897259681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2.3499999999999996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8.6166666666666654</v>
      </c>
      <c r="H59" s="67">
        <f t="shared" si="1"/>
        <v>222.20000000000002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65.590094588496058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9.4</v>
      </c>
      <c r="N59" s="13">
        <f>IF('Données projet'!$A$36&gt;35,N58+M59-V58,IF(A59&lt;'Données projet'!$A$36,$K$205^A59,IF(A59='Données projet'!$A$36,'Données projet'!$B$36,N58+M59-V58)))</f>
        <v>235.39999999999992</v>
      </c>
      <c r="O59" s="13">
        <f>N59*VLOOKUP('Données projet'!$B$9,Paramètres!$A$1:$I$89,3,0)*VLOOKUP('Données projet'!$B$9,Paramètres!$A$1:$I$89,5,0)</f>
        <v>212.98991999999993</v>
      </c>
      <c r="P59" s="13">
        <f t="shared" si="33"/>
        <v>52.588419883221121</v>
      </c>
      <c r="Q59" s="20">
        <f t="shared" si="53"/>
        <v>462.5489419632766</v>
      </c>
      <c r="R59" s="59">
        <f t="shared" si="0"/>
        <v>739.71262212109548</v>
      </c>
      <c r="S59" s="59">
        <f ca="1">AVERAGE(OFFSET($R$3,0,0,'Données projet'!$E$9+1,1))-AVERAGE(OFFSET($H$3,0,0,'Données projet'!$E$9+1,1))</f>
        <v>473.88815717313474</v>
      </c>
      <c r="T59" s="59">
        <f t="shared" si="34"/>
        <v>287.19790203552895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10.441575001288859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10.441575001288859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65.590094588496058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9.4</v>
      </c>
      <c r="AI59" s="13">
        <f>IF('Données projet'!$A$62&gt;35,AI58+AH59-AQ58,IF(A59&lt;'Données projet'!$A$62,$AF$205^A59,IF(A59='Données projet'!$A$62,'Données projet'!$B$62,AI58+AH59-AQ58)))</f>
        <v>235.39999999999992</v>
      </c>
      <c r="AJ59" s="13">
        <f>AI59*VLOOKUP('Données projet'!$B$10,Paramètres!$A$1:$I$89,3,0)*VLOOKUP('Données projet'!$B$10,Paramètres!$A$1:$I$89,5,0)</f>
        <v>198.30095999999998</v>
      </c>
      <c r="AK59" s="13">
        <f t="shared" si="35"/>
        <v>49.3705849564736</v>
      </c>
      <c r="AL59" s="20">
        <f t="shared" si="4"/>
        <v>431.36127413252478</v>
      </c>
      <c r="AM59" s="59">
        <f t="shared" si="5"/>
        <v>708.52495429034366</v>
      </c>
      <c r="AN59" s="59">
        <f ca="1">AVERAGE(OFFSET($AM$3,0,0,'Données projet'!$E$10+1,1))-AVERAGE(OFFSET($H$3,0,0,'Données projet'!$E$10+1,1))</f>
        <v>445.19118535527258</v>
      </c>
      <c r="AO59" s="59">
        <f t="shared" si="36"/>
        <v>270.93483242839363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9.7214663805103214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9.7214663805103214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65.590094588496058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9.4</v>
      </c>
      <c r="BD59" s="12">
        <f>IF('Données projet'!$A$88&gt;35,BD58+BC59-BL58,IF(A59&lt;'Données projet'!$A$88,$BA$205^A59,IF(A59='Données projet'!$A$88,'Données projet'!$B$88,BD58+BC59-BL58)))</f>
        <v>235.39999999999992</v>
      </c>
      <c r="BE59" s="13">
        <f>BD59*VLOOKUP('Données projet'!$B$11,Paramètres!$A$1:$I$89,3,0)*VLOOKUP('Données projet'!$B$11,Paramètres!$A$1:$I$89,5,0)</f>
        <v>238.69559999999996</v>
      </c>
      <c r="BF59" s="13">
        <f t="shared" si="37"/>
        <v>58.158793514165929</v>
      </c>
      <c r="BG59" s="20">
        <f t="shared" si="7"/>
        <v>517.02140203717238</v>
      </c>
      <c r="BH59" s="59">
        <f t="shared" si="8"/>
        <v>794.18508219499131</v>
      </c>
      <c r="BI59" s="59">
        <f ca="1">AVERAGE(OFFSET($BH$3,0,0,'Données projet'!$E$11+1,1))-AVERAGE(OFFSET($H$3,0,0,'Données projet'!$E$11+1,1))</f>
        <v>524.01140973345832</v>
      </c>
      <c r="BJ59" s="59">
        <f t="shared" si="38"/>
        <v>315.59942237999621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11.70176508765131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11.70176508765131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65.590094588496058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7.4</v>
      </c>
      <c r="BY59" s="12">
        <f>IF('Données projet'!$A$114&gt;35,BY58+BX59-CG58,IF(A59&lt;'Données projet'!$A$114,$BV$205^A59,IF(A59='Données projet'!$A$114,'Données projet'!$B$114,BY58+BX59-CG58)))</f>
        <v>313.39999999999981</v>
      </c>
      <c r="BZ59" s="13">
        <f>BY59*VLOOKUP('Données projet'!$B$12,Paramètres!$A$1:$I$89,3,0)*VLOOKUP('Données projet'!$B$12,Paramètres!$A$1:$I$89,5,0)</f>
        <v>210.22871999999987</v>
      </c>
      <c r="CA59" s="13">
        <f t="shared" si="39"/>
        <v>51.985563605889581</v>
      </c>
      <c r="CB59" s="20">
        <f t="shared" si="10"/>
        <v>456.68987728025746</v>
      </c>
      <c r="CC59" s="59">
        <f t="shared" si="11"/>
        <v>733.85355743807634</v>
      </c>
      <c r="CD59" s="59">
        <f ca="1">AVERAGE(OFFSET($CC$3,0,0,'Données projet'!$E$12+1,1))-AVERAGE(OFFSET($H$3,0,0,'Données projet'!$E$12+1,1))</f>
        <v>358.95222991910504</v>
      </c>
      <c r="CE59" s="59">
        <f t="shared" si="40"/>
        <v>347.37506646970905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15.757545102275948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15.757545102275948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65.590094588496058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7.4</v>
      </c>
      <c r="CT59" s="12">
        <f>IF('Données projet'!$A$140&gt;35,CT58+CS59-DB58,IF(A59&lt;'Données projet'!$A$140,$CQ$205^A59,IF(A59='Données projet'!$A$140,'Données projet'!$B$140,CT58+CS59-DB58)))</f>
        <v>313.39999999999981</v>
      </c>
      <c r="CU59" s="17">
        <f>CT59*VLOOKUP('Données projet'!$B$13,Paramètres!$A$1:$I$89,3,0)*VLOOKUP('Données projet'!$B$13,Paramètres!$A$1:$I$89,5,0)</f>
        <v>205.33967999999984</v>
      </c>
      <c r="CV59" s="13">
        <f t="shared" si="41"/>
        <v>50.91586219875856</v>
      </c>
      <c r="CW59" s="20">
        <f t="shared" si="13"/>
        <v>446.31173599617085</v>
      </c>
      <c r="CX59" s="59">
        <f t="shared" si="14"/>
        <v>723.47541615398973</v>
      </c>
      <c r="CY59" s="59">
        <f ca="1">AVERAGE(OFFSET($CX$3,0,0,'Données projet'!$E$13+1,1))-AVERAGE(OFFSET($H$3,0,0,'Données projet'!$E$13+1,1))</f>
        <v>351.7266381615546</v>
      </c>
      <c r="CZ59" s="59">
        <f t="shared" si="42"/>
        <v>340.52483243761799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23.452685818393679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23.452685818393679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65.590094588496058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13</v>
      </c>
      <c r="DO59" s="12">
        <f>IF('Données projet'!$A$166&gt;35,DO58+DN59-DW58,IF(A59&lt;'Données projet'!$A$166,$DL$205^A59,IF(A59='Données projet'!$A$166,'Données projet'!$B$166,DO58+DN59-DW58)))</f>
        <v>284.00000000000006</v>
      </c>
      <c r="DP59" s="17">
        <f>DO59*VLOOKUP('Données projet'!$B$14,Paramètres!$A$1:$I$89,3,0)*VLOOKUP('Données projet'!$B$14,Paramètres!$A$1:$I$89,5,0)</f>
        <v>243.67200000000008</v>
      </c>
      <c r="DQ59" s="13">
        <f t="shared" si="43"/>
        <v>59.228879636606202</v>
      </c>
      <c r="DR59" s="20">
        <f t="shared" si="16"/>
        <v>527.55236536708924</v>
      </c>
      <c r="DS59" s="59">
        <f t="shared" si="17"/>
        <v>804.71604552490817</v>
      </c>
      <c r="DT59" s="59">
        <f ca="1">AVERAGE(OFFSET($DS$3,0,0,'Données projet'!$E$14+1,1))-AVERAGE(OFFSET($H$3,0,0,'Données projet'!$E$14+1,1))</f>
        <v>569.21675741362196</v>
      </c>
      <c r="DU59" s="59">
        <f t="shared" si="44"/>
        <v>321.12410801891679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15.255208063731471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15.255208063731471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65.590094588496058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7.4</v>
      </c>
      <c r="EJ59" s="12">
        <f>IF('Données projet'!$A$192&gt;35,EJ58+EI59-ER58,IF(A59&lt;'Données projet'!$A$192,$EG$205^A59,IF(A59='Données projet'!$A$192,'Données projet'!$B$192,EJ58+EI59-ER58)))</f>
        <v>313.39999999999981</v>
      </c>
      <c r="EK59" s="17">
        <f>EJ59*VLOOKUP('Données projet'!$B$15,Paramètres!$A$1:$I$89,3,0)*VLOOKUP('Données projet'!$B$15,Paramètres!$A$1:$I$89,5,0)</f>
        <v>249.34103999999988</v>
      </c>
      <c r="EL59" s="13">
        <f t="shared" si="45"/>
        <v>60.444812818312201</v>
      </c>
      <c r="EM59" s="20">
        <f t="shared" si="19"/>
        <v>539.54369365856019</v>
      </c>
      <c r="EN59" s="59">
        <f t="shared" si="20"/>
        <v>816.707373816379</v>
      </c>
      <c r="EO59" s="59">
        <f ca="1">AVERAGE(OFFSET($EN$3,0,0,'Données projet'!$E$15+1,1))-AVERAGE(OFFSET($H$3,0,0,'Données projet'!$E$15+1,1))</f>
        <v>416.63597645452791</v>
      </c>
      <c r="EP59" s="59">
        <f t="shared" si="46"/>
        <v>402.05920382353497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35.101112827861634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35.101112827861634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65.590094588496058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6.2</v>
      </c>
      <c r="FE59" s="12">
        <f>IF('Données projet'!$A$218&gt;35,FE58+FD59-FM58,IF(A59&lt;'Données projet'!$A$218,$FB$205^A59,IF(A59='Données projet'!$A$218,'Données projet'!$B$218,FE58+FD59-FM58)))</f>
        <v>269.19999999999993</v>
      </c>
      <c r="FF59" s="17">
        <f>FE59*VLOOKUP('Données projet'!$B$16,Paramètres!$A$1:$I$89,3,0)*VLOOKUP('Données projet'!$B$16,Paramètres!$A$1:$I$89,5,0)</f>
        <v>235.17311999999998</v>
      </c>
      <c r="FG59" s="13">
        <f t="shared" si="47"/>
        <v>57.399778925799218</v>
      </c>
      <c r="FH59" s="20">
        <f t="shared" si="22"/>
        <v>509.56446562910031</v>
      </c>
      <c r="FI59" s="59">
        <f t="shared" si="23"/>
        <v>786.72814578691919</v>
      </c>
      <c r="FJ59" s="59">
        <f ca="1">AVERAGE(OFFSET($FI$3,0,0,'Données projet'!$E$16+1,1))-AVERAGE(OFFSET($H$3,0,0,'Données projet'!$E$16+1,1))</f>
        <v>395.57130469647603</v>
      </c>
      <c r="FK59" s="59">
        <f t="shared" si="48"/>
        <v>383.97542781562674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33.353087395713985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33.353087395713985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65.590094588496058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9.375</v>
      </c>
      <c r="FZ59" s="12">
        <f>IF('Données projet'!$A$244&gt;35,FZ58+FY59-GH58,IF(A59&lt;'Données projet'!$A$244,$FW$205^A59,IF(A59='Données projet'!$A$244,'Données projet'!$B$244,FZ58+FY59-GH58)))</f>
        <v>259.49999999999989</v>
      </c>
      <c r="GA59" s="17">
        <f>FZ59*VLOOKUP('Données projet'!$B$17,Paramètres!$A$1:$I$89,3,0)*VLOOKUP('Données projet'!$B$17,Paramètres!$A$1:$I$89,5,0)</f>
        <v>202.40999999999991</v>
      </c>
      <c r="GB59" s="13">
        <f t="shared" si="49"/>
        <v>50.273442991661817</v>
      </c>
      <c r="GC59" s="20">
        <f t="shared" si="25"/>
        <v>440.09032987714414</v>
      </c>
      <c r="GD59" s="59">
        <f t="shared" si="26"/>
        <v>717.25401003496302</v>
      </c>
      <c r="GE59" s="59">
        <f ca="1">AVERAGE(OFFSET($GD$3,0,0,'Données projet'!$E$17+1,1))-AVERAGE(OFFSET($H$3,0,0,'Données projet'!$E$17+1,1))</f>
        <v>301.74744407733351</v>
      </c>
      <c r="GF59" s="59">
        <f t="shared" si="50"/>
        <v>292.46787700966991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18.786790867094751</v>
      </c>
      <c r="GM59" s="21">
        <f>EXP(-LN(2)/25)*GM58+(1-EXP(-LN(2)/25))/(LN(2)/25)*Calculateur!GH59*Calculateur!GJ59*VLOOKUP('Données projet'!$B$17,Paramètres!$A$1:$I$89,3,0)*0.475*44/12</f>
        <v>0</v>
      </c>
      <c r="GN59" s="21">
        <f>EXP(-LN(2)/2)*GN58+(1-EXP(-LN(2)/2))/(LN(2)/2)*GH59*GK59*VLOOKUP('Données projet'!$B$17,Paramètres!$A$1:$I$89,3,0)*0.475*44/12</f>
        <v>0</v>
      </c>
      <c r="GO59" s="21">
        <f t="shared" si="27"/>
        <v>18.786790867094751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65.590094588496058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7.4</v>
      </c>
      <c r="GU59" s="12">
        <f>IF('Données projet'!$A$270&gt;35,GU58+GT59-HC58,IF(A59&lt;'Données projet'!$A$270,$GR$205^A59,IF(A59='Données projet'!$A$270,'Données projet'!$B$270,GU58+GT59-HC58)))</f>
        <v>313.39999999999981</v>
      </c>
      <c r="GV59" s="17">
        <f>GU59*VLOOKUP('Données projet'!$B$18,Paramètres!$A$1:$I$89,3,0)*VLOOKUP('Données projet'!$B$18,Paramètres!$A$1:$I$89,5,0)</f>
        <v>185.7835199999999</v>
      </c>
      <c r="GW59" s="13">
        <f t="shared" si="51"/>
        <v>46.606534917498621</v>
      </c>
      <c r="GX59" s="20">
        <f t="shared" si="28"/>
        <v>404.74601231464317</v>
      </c>
      <c r="GY59" s="59">
        <f t="shared" si="29"/>
        <v>681.90969247246198</v>
      </c>
      <c r="GZ59" s="59">
        <f ca="1">AVERAGE(OFFSET($GY$3,0,0,'Données projet'!$E$18+1,1))-AVERAGE(OFFSET($H$3,0,0,'Données projet'!$E$18+1,1))</f>
        <v>322.78672881269978</v>
      </c>
      <c r="HA59" s="59">
        <f t="shared" si="52"/>
        <v>313.08736327626434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projet'!$B$18,Paramètres!$A$1:$I$89,3,0)*0.475*44/12</f>
        <v>15.764459338828066</v>
      </c>
      <c r="HH59" s="21">
        <f>EXP(-LN(2)/25)*HH58+(1-EXP(-LN(2)/25))/(LN(2)/25)*Calculateur!HC59*Calculateur!HE59*VLOOKUP('Données projet'!$B$18,Paramètres!$A$1:$I$89,3,0)*0.475*44/12</f>
        <v>0</v>
      </c>
      <c r="HI59" s="21">
        <f>EXP(-LN(2)/2)*HI58+(1-EXP(-LN(2)/2))/(LN(2)/2)*HC59*HF59*VLOOKUP('Données projet'!$B$18,Paramètres!$A$1:$I$89,3,0)*0.475*44/12</f>
        <v>0</v>
      </c>
      <c r="HJ59" s="22">
        <f t="shared" si="30"/>
        <v>15.764459338828066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2.3499999999999996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8.6166666666666654</v>
      </c>
      <c r="H60" s="67">
        <f t="shared" si="1"/>
        <v>222.20000000000002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65.66659658831415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9.4</v>
      </c>
      <c r="N60" s="13">
        <f>IF('Données projet'!$A$36&gt;35,N59+M60-V59,IF(A60&lt;'Données projet'!$A$36,$K$205^A60,IF(A60='Données projet'!$A$36,'Données projet'!$B$36,N59+M60-V59)))</f>
        <v>244.79999999999993</v>
      </c>
      <c r="O60" s="13">
        <f>N60*VLOOKUP('Données projet'!$B$9,Paramètres!$A$1:$I$89,3,0)*VLOOKUP('Données projet'!$B$9,Paramètres!$A$1:$I$89,5,0)</f>
        <v>221.49503999999993</v>
      </c>
      <c r="P60" s="13">
        <f t="shared" si="33"/>
        <v>54.439697086174412</v>
      </c>
      <c r="Q60" s="20">
        <f t="shared" si="53"/>
        <v>480.58633375842027</v>
      </c>
      <c r="R60" s="59">
        <f t="shared" si="0"/>
        <v>758.03052124890542</v>
      </c>
      <c r="S60" s="59">
        <f ca="1">AVERAGE(OFFSET($R$3,0,0,'Données projet'!$E$9+1,1))-AVERAGE(OFFSET($H$3,0,0,'Données projet'!$E$9+1,1))</f>
        <v>473.88815717313474</v>
      </c>
      <c r="T60" s="59">
        <f t="shared" si="34"/>
        <v>287.19790203552895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10.236822084245475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10.236822084245475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65.66659658831415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9.4</v>
      </c>
      <c r="AI60" s="13">
        <f>IF('Données projet'!$A$62&gt;35,AI59+AH60-AQ59,IF(A60&lt;'Données projet'!$A$62,$AF$205^A60,IF(A60='Données projet'!$A$62,'Données projet'!$B$62,AI59+AH60-AQ59)))</f>
        <v>244.79999999999993</v>
      </c>
      <c r="AJ60" s="13">
        <f>AI60*VLOOKUP('Données projet'!$B$10,Paramètres!$A$1:$I$89,3,0)*VLOOKUP('Données projet'!$B$10,Paramètres!$A$1:$I$89,5,0)</f>
        <v>206.21951999999996</v>
      </c>
      <c r="AK60" s="13">
        <f t="shared" si="35"/>
        <v>51.108584284640322</v>
      </c>
      <c r="AL60" s="20">
        <f t="shared" si="4"/>
        <v>448.17978162908184</v>
      </c>
      <c r="AM60" s="59">
        <f t="shared" si="5"/>
        <v>725.62396911956705</v>
      </c>
      <c r="AN60" s="59">
        <f ca="1">AVERAGE(OFFSET($AM$3,0,0,'Données projet'!$E$10+1,1))-AVERAGE(OFFSET($H$3,0,0,'Données projet'!$E$10+1,1))</f>
        <v>445.19118535527258</v>
      </c>
      <c r="AO60" s="59">
        <f t="shared" si="36"/>
        <v>270.93483242839363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9.5308343542975162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9.5308343542975162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65.66659658831415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9.4</v>
      </c>
      <c r="BD60" s="12">
        <f>IF('Données projet'!$A$88&gt;35,BD59+BC60-BL59,IF(A60&lt;'Données projet'!$A$88,$BA$205^A60,IF(A60='Données projet'!$A$88,'Données projet'!$B$88,BD59+BC60-BL59)))</f>
        <v>244.79999999999993</v>
      </c>
      <c r="BE60" s="13">
        <f>BD60*VLOOKUP('Données projet'!$B$11,Paramètres!$A$1:$I$89,3,0)*VLOOKUP('Données projet'!$B$11,Paramètres!$A$1:$I$89,5,0)</f>
        <v>248.22719999999993</v>
      </c>
      <c r="BF60" s="13">
        <f t="shared" si="37"/>
        <v>60.20616532763993</v>
      </c>
      <c r="BG60" s="20">
        <f t="shared" si="7"/>
        <v>537.18811127897277</v>
      </c>
      <c r="BH60" s="59">
        <f t="shared" si="8"/>
        <v>814.63229876945798</v>
      </c>
      <c r="BI60" s="59">
        <f ca="1">AVERAGE(OFFSET($BH$3,0,0,'Données projet'!$E$11+1,1))-AVERAGE(OFFSET($H$3,0,0,'Données projet'!$E$11+1,1))</f>
        <v>524.01140973345832</v>
      </c>
      <c r="BJ60" s="59">
        <f t="shared" si="38"/>
        <v>315.59942237999621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11.472300611654415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11.472300611654415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65.66659658831415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7.4</v>
      </c>
      <c r="BY60" s="12">
        <f>IF('Données projet'!$A$114&gt;35,BY59+BX60-CG59,IF(A60&lt;'Données projet'!$A$114,$BV$205^A60,IF(A60='Données projet'!$A$114,'Données projet'!$B$114,BY59+BX60-CG59)))</f>
        <v>320.79999999999978</v>
      </c>
      <c r="BZ60" s="13">
        <f>BY60*VLOOKUP('Données projet'!$B$12,Paramètres!$A$1:$I$89,3,0)*VLOOKUP('Données projet'!$B$12,Paramètres!$A$1:$I$89,5,0)</f>
        <v>215.19263999999987</v>
      </c>
      <c r="CA60" s="13">
        <f t="shared" si="39"/>
        <v>53.068690033178463</v>
      </c>
      <c r="CB60" s="20">
        <f t="shared" si="10"/>
        <v>467.22181647445228</v>
      </c>
      <c r="CC60" s="59">
        <f t="shared" si="11"/>
        <v>744.66600396493754</v>
      </c>
      <c r="CD60" s="59">
        <f ca="1">AVERAGE(OFFSET($CC$3,0,0,'Données projet'!$E$12+1,1))-AVERAGE(OFFSET($H$3,0,0,'Données projet'!$E$12+1,1))</f>
        <v>358.95222991910504</v>
      </c>
      <c r="CE60" s="59">
        <f t="shared" si="40"/>
        <v>347.37506646970905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15.448549253973807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15.448549253973807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65.66659658831415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7.4</v>
      </c>
      <c r="CT60" s="12">
        <f>IF('Données projet'!$A$140&gt;35,CT59+CS60-DB59,IF(A60&lt;'Données projet'!$A$140,$CQ$205^A60,IF(A60='Données projet'!$A$140,'Données projet'!$B$140,CT59+CS60-DB59)))</f>
        <v>320.79999999999978</v>
      </c>
      <c r="CU60" s="17">
        <f>CT60*VLOOKUP('Données projet'!$B$13,Paramètres!$A$1:$I$89,3,0)*VLOOKUP('Données projet'!$B$13,Paramètres!$A$1:$I$89,5,0)</f>
        <v>210.18815999999987</v>
      </c>
      <c r="CV60" s="13">
        <f t="shared" si="41"/>
        <v>51.976701248879515</v>
      </c>
      <c r="CW60" s="20">
        <f t="shared" si="13"/>
        <v>456.60380000846493</v>
      </c>
      <c r="CX60" s="59">
        <f t="shared" si="14"/>
        <v>734.04798749895008</v>
      </c>
      <c r="CY60" s="59">
        <f ca="1">AVERAGE(OFFSET($CX$3,0,0,'Données projet'!$E$13+1,1))-AVERAGE(OFFSET($H$3,0,0,'Données projet'!$E$13+1,1))</f>
        <v>351.7266381615546</v>
      </c>
      <c r="CZ60" s="59">
        <f t="shared" si="42"/>
        <v>340.52483243761799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22.992792954220853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22.992792954220853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65.66659658831415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13</v>
      </c>
      <c r="DO60" s="12">
        <f>IF('Données projet'!$A$166&gt;35,DO59+DN60-DW59,IF(A60&lt;'Données projet'!$A$166,$DL$205^A60,IF(A60='Données projet'!$A$166,'Données projet'!$B$166,DO59+DN60-DW59)))</f>
        <v>297.00000000000006</v>
      </c>
      <c r="DP60" s="17">
        <f>DO60*VLOOKUP('Données projet'!$B$14,Paramètres!$A$1:$I$89,3,0)*VLOOKUP('Données projet'!$B$14,Paramètres!$A$1:$I$89,5,0)</f>
        <v>254.82600000000008</v>
      </c>
      <c r="DQ60" s="13">
        <f t="shared" si="43"/>
        <v>61.618203339594587</v>
      </c>
      <c r="DR60" s="20">
        <f t="shared" si="16"/>
        <v>551.14032081646064</v>
      </c>
      <c r="DS60" s="59">
        <f t="shared" si="17"/>
        <v>828.58450830694585</v>
      </c>
      <c r="DT60" s="59">
        <f ca="1">AVERAGE(OFFSET($DS$3,0,0,'Données projet'!$E$14+1,1))-AVERAGE(OFFSET($H$3,0,0,'Données projet'!$E$14+1,1))</f>
        <v>569.21675741362196</v>
      </c>
      <c r="DU60" s="59">
        <f t="shared" si="44"/>
        <v>321.12410801891679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14.956062738359847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14.956062738359847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65.66659658831415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7.4</v>
      </c>
      <c r="EJ60" s="12">
        <f>IF('Données projet'!$A$192&gt;35,EJ59+EI60-ER59,IF(A60&lt;'Données projet'!$A$192,$EG$205^A60,IF(A60='Données projet'!$A$192,'Données projet'!$B$192,EJ59+EI60-ER59)))</f>
        <v>320.79999999999978</v>
      </c>
      <c r="EK60" s="17">
        <f>EJ60*VLOOKUP('Données projet'!$B$15,Paramètres!$A$1:$I$89,3,0)*VLOOKUP('Données projet'!$B$15,Paramètres!$A$1:$I$89,5,0)</f>
        <v>255.22847999999985</v>
      </c>
      <c r="EL60" s="13">
        <f t="shared" si="45"/>
        <v>61.704188876103551</v>
      </c>
      <c r="EM60" s="20">
        <f t="shared" si="19"/>
        <v>551.99106495921342</v>
      </c>
      <c r="EN60" s="59">
        <f t="shared" si="20"/>
        <v>829.43525244969862</v>
      </c>
      <c r="EO60" s="59">
        <f ca="1">AVERAGE(OFFSET($EN$3,0,0,'Données projet'!$E$15+1,1))-AVERAGE(OFFSET($H$3,0,0,'Données projet'!$E$15+1,1))</f>
        <v>416.63597645452791</v>
      </c>
      <c r="EP60" s="59">
        <f t="shared" si="46"/>
        <v>402.05920382353497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34.412801414872071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34.412801414872071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65.66659658831415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6.2</v>
      </c>
      <c r="FE60" s="12">
        <f>IF('Données projet'!$A$218&gt;35,FE59+FD60-FM59,IF(A60&lt;'Données projet'!$A$218,$FB$205^A60,IF(A60='Données projet'!$A$218,'Données projet'!$B$218,FE59+FD60-FM59)))</f>
        <v>275.39999999999992</v>
      </c>
      <c r="FF60" s="17">
        <f>FE60*VLOOKUP('Données projet'!$B$16,Paramètres!$A$1:$I$89,3,0)*VLOOKUP('Données projet'!$B$16,Paramètres!$A$1:$I$89,5,0)</f>
        <v>240.58943999999994</v>
      </c>
      <c r="FG60" s="13">
        <f t="shared" si="47"/>
        <v>58.56633325847811</v>
      </c>
      <c r="FH60" s="20">
        <f t="shared" si="22"/>
        <v>521.02963842518261</v>
      </c>
      <c r="FI60" s="59">
        <f t="shared" si="23"/>
        <v>798.47382591566782</v>
      </c>
      <c r="FJ60" s="59">
        <f ca="1">AVERAGE(OFFSET($FI$3,0,0,'Données projet'!$E$16+1,1))-AVERAGE(OFFSET($H$3,0,0,'Données projet'!$E$16+1,1))</f>
        <v>395.57130469647603</v>
      </c>
      <c r="FK60" s="59">
        <f t="shared" si="48"/>
        <v>383.97542781562674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32.699053695258606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32.699053695258606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65.66659658831415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9.375</v>
      </c>
      <c r="FZ60" s="12">
        <f>IF('Données projet'!$A$244&gt;35,FZ59+FY60-GH59,IF(A60&lt;'Données projet'!$A$244,$FW$205^A60,IF(A60='Données projet'!$A$244,'Données projet'!$B$244,FZ59+FY60-GH59)))</f>
        <v>268.87499999999989</v>
      </c>
      <c r="GA60" s="17">
        <f>FZ60*VLOOKUP('Données projet'!$B$17,Paramètres!$A$1:$I$89,3,0)*VLOOKUP('Données projet'!$B$17,Paramètres!$A$1:$I$89,5,0)</f>
        <v>209.72249999999991</v>
      </c>
      <c r="GB60" s="13">
        <f t="shared" si="49"/>
        <v>51.874940300502246</v>
      </c>
      <c r="GC60" s="20">
        <f t="shared" si="25"/>
        <v>455.61554185670792</v>
      </c>
      <c r="GD60" s="59">
        <f t="shared" si="26"/>
        <v>733.05972934719307</v>
      </c>
      <c r="GE60" s="59">
        <f ca="1">AVERAGE(OFFSET($GD$3,0,0,'Données projet'!$E$17+1,1))-AVERAGE(OFFSET($H$3,0,0,'Données projet'!$E$17+1,1))</f>
        <v>301.74744407733351</v>
      </c>
      <c r="GF60" s="59">
        <f t="shared" si="50"/>
        <v>292.46787700966991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18.418393357001989</v>
      </c>
      <c r="GM60" s="21">
        <f>EXP(-LN(2)/25)*GM59+(1-EXP(-LN(2)/25))/(LN(2)/25)*Calculateur!GH60*Calculateur!GJ60*VLOOKUP('Données projet'!$B$17,Paramètres!$A$1:$I$89,3,0)*0.475*44/12</f>
        <v>0</v>
      </c>
      <c r="GN60" s="21">
        <f>EXP(-LN(2)/2)*GN59+(1-EXP(-LN(2)/2))/(LN(2)/2)*GH60*GK60*VLOOKUP('Données projet'!$B$17,Paramètres!$A$1:$I$89,3,0)*0.475*44/12</f>
        <v>0</v>
      </c>
      <c r="GO60" s="21">
        <f t="shared" si="27"/>
        <v>18.418393357001989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65.66659658831415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7.4</v>
      </c>
      <c r="GU60" s="12">
        <f>IF('Données projet'!$A$270&gt;35,GU59+GT60-HC59,IF(A60&lt;'Données projet'!$A$270,$GR$205^A60,IF(A60='Données projet'!$A$270,'Données projet'!$B$270,GU59+GT60-HC59)))</f>
        <v>320.79999999999978</v>
      </c>
      <c r="GV60" s="17">
        <f>GU60*VLOOKUP('Données projet'!$B$18,Paramètres!$A$1:$I$89,3,0)*VLOOKUP('Données projet'!$B$18,Paramètres!$A$1:$I$89,5,0)</f>
        <v>190.17023999999989</v>
      </c>
      <c r="GW60" s="13">
        <f t="shared" si="51"/>
        <v>47.577588536080263</v>
      </c>
      <c r="GX60" s="20">
        <f t="shared" si="28"/>
        <v>414.07746803367291</v>
      </c>
      <c r="GY60" s="59">
        <f t="shared" si="29"/>
        <v>691.52165552415818</v>
      </c>
      <c r="GZ60" s="59">
        <f ca="1">AVERAGE(OFFSET($GY$3,0,0,'Données projet'!$E$18+1,1))-AVERAGE(OFFSET($H$3,0,0,'Données projet'!$E$18+1,1))</f>
        <v>322.78672881269978</v>
      </c>
      <c r="HA60" s="59">
        <f t="shared" si="52"/>
        <v>313.08736327626434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15.455327906564406</v>
      </c>
      <c r="HH60" s="21">
        <f>EXP(-LN(2)/25)*HH59+(1-EXP(-LN(2)/25))/(LN(2)/25)*Calculateur!HC60*Calculateur!HE60*VLOOKUP('Données projet'!$B$18,Paramètres!$A$1:$I$89,3,0)*0.475*44/12</f>
        <v>0</v>
      </c>
      <c r="HI60" s="21">
        <f>EXP(-LN(2)/2)*HI59+(1-EXP(-LN(2)/2))/(LN(2)/2)*HC60*HF60*VLOOKUP('Données projet'!$B$18,Paramètres!$A$1:$I$89,3,0)*0.475*44/12</f>
        <v>0</v>
      </c>
      <c r="HJ60" s="22">
        <f t="shared" si="30"/>
        <v>15.455327906564406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2.3499999999999996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8.6166666666666654</v>
      </c>
      <c r="H61" s="67">
        <f t="shared" si="1"/>
        <v>222.20000000000002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65.741771449468246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9.4</v>
      </c>
      <c r="N61" s="13">
        <f>IF('Données projet'!$A$36&gt;35,N60+M61-V60,IF(A61&lt;'Données projet'!$A$36,$K$205^A61,IF(A61='Données projet'!$A$36,'Données projet'!$B$36,N60+M61-V60)))</f>
        <v>254.19999999999993</v>
      </c>
      <c r="O61" s="13">
        <f>N61*VLOOKUP('Données projet'!$B$9,Paramètres!$A$1:$I$89,3,0)*VLOOKUP('Données projet'!$B$9,Paramètres!$A$1:$I$89,5,0)</f>
        <v>230.00015999999994</v>
      </c>
      <c r="P61" s="13">
        <f t="shared" si="33"/>
        <v>56.282716126880423</v>
      </c>
      <c r="Q61" s="20">
        <f t="shared" si="53"/>
        <v>498.60934258764996</v>
      </c>
      <c r="R61" s="59">
        <f t="shared" si="0"/>
        <v>776.32917123570019</v>
      </c>
      <c r="S61" s="59">
        <f ca="1">AVERAGE(OFFSET($R$3,0,0,'Données projet'!$E$9+1,1))-AVERAGE(OFFSET($H$3,0,0,'Données projet'!$E$9+1,1))</f>
        <v>473.88815717313474</v>
      </c>
      <c r="T61" s="59">
        <f t="shared" si="34"/>
        <v>287.19790203552895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10.036084247018364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10.036084247018364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65.741771449468246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9.4</v>
      </c>
      <c r="AI61" s="13">
        <f>IF('Données projet'!$A$62&gt;35,AI60+AH61-AQ60,IF(A61&lt;'Données projet'!$A$62,$AF$205^A61,IF(A61='Données projet'!$A$62,'Données projet'!$B$62,AI60+AH61-AQ60)))</f>
        <v>254.19999999999993</v>
      </c>
      <c r="AJ61" s="13">
        <f>AI61*VLOOKUP('Données projet'!$B$10,Paramètres!$A$1:$I$89,3,0)*VLOOKUP('Données projet'!$B$10,Paramètres!$A$1:$I$89,5,0)</f>
        <v>214.13807999999997</v>
      </c>
      <c r="AK61" s="13">
        <f t="shared" si="35"/>
        <v>52.838830759579693</v>
      </c>
      <c r="AL61" s="20">
        <f t="shared" si="4"/>
        <v>464.98478623960119</v>
      </c>
      <c r="AM61" s="59">
        <f t="shared" si="5"/>
        <v>742.70461488765136</v>
      </c>
      <c r="AN61" s="59">
        <f ca="1">AVERAGE(OFFSET($AM$3,0,0,'Données projet'!$E$10+1,1))-AVERAGE(OFFSET($H$3,0,0,'Données projet'!$E$10+1,1))</f>
        <v>445.19118535527258</v>
      </c>
      <c r="AO61" s="59">
        <f t="shared" si="36"/>
        <v>270.93483242839363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9.3439405058446887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9.3439405058446887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65.741771449468246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9.4</v>
      </c>
      <c r="BD61" s="12">
        <f>IF('Données projet'!$A$88&gt;35,BD60+BC61-BL60,IF(A61&lt;'Données projet'!$A$88,$BA$205^A61,IF(A61='Données projet'!$A$88,'Données projet'!$B$88,BD60+BC61-BL60)))</f>
        <v>254.19999999999993</v>
      </c>
      <c r="BE61" s="13">
        <f>BD61*VLOOKUP('Données projet'!$B$11,Paramètres!$A$1:$I$89,3,0)*VLOOKUP('Données projet'!$B$11,Paramètres!$A$1:$I$89,5,0)</f>
        <v>257.75879999999995</v>
      </c>
      <c r="BF61" s="13">
        <f t="shared" si="37"/>
        <v>62.244404241627407</v>
      </c>
      <c r="BG61" s="20">
        <f t="shared" si="7"/>
        <v>557.33891405416773</v>
      </c>
      <c r="BH61" s="59">
        <f t="shared" si="8"/>
        <v>835.05874270221796</v>
      </c>
      <c r="BI61" s="59">
        <f ca="1">AVERAGE(OFFSET($BH$3,0,0,'Données projet'!$E$11+1,1))-AVERAGE(OFFSET($H$3,0,0,'Données projet'!$E$11+1,1))</f>
        <v>524.01140973345832</v>
      </c>
      <c r="BJ61" s="59">
        <f t="shared" si="38"/>
        <v>315.59942237999621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11.247335794072308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11.247335794072308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65.741771449468246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7.4</v>
      </c>
      <c r="BY61" s="12">
        <f>IF('Données projet'!$A$114&gt;35,BY60+BX61-CG60,IF(A61&lt;'Données projet'!$A$114,$BV$205^A61,IF(A61='Données projet'!$A$114,'Données projet'!$B$114,BY60+BX61-CG60)))</f>
        <v>328.19999999999976</v>
      </c>
      <c r="BZ61" s="13">
        <f>BY61*VLOOKUP('Données projet'!$B$12,Paramètres!$A$1:$I$89,3,0)*VLOOKUP('Données projet'!$B$12,Paramètres!$A$1:$I$89,5,0)</f>
        <v>220.15655999999984</v>
      </c>
      <c r="CA61" s="13">
        <f t="shared" si="39"/>
        <v>54.148911854109755</v>
      </c>
      <c r="CB61" s="20">
        <f t="shared" si="10"/>
        <v>477.74869681257422</v>
      </c>
      <c r="CC61" s="59">
        <f t="shared" si="11"/>
        <v>755.46852546062451</v>
      </c>
      <c r="CD61" s="59">
        <f ca="1">AVERAGE(OFFSET($CC$3,0,0,'Données projet'!$E$12+1,1))-AVERAGE(OFFSET($H$3,0,0,'Données projet'!$E$12+1,1))</f>
        <v>358.95222991910504</v>
      </c>
      <c r="CE61" s="59">
        <f t="shared" si="40"/>
        <v>347.37506646970905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15.145612625788013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15.145612625788013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65.741771449468246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7.4</v>
      </c>
      <c r="CT61" s="12">
        <f>IF('Données projet'!$A$140&gt;35,CT60+CS61-DB60,IF(A61&lt;'Données projet'!$A$140,$CQ$205^A61,IF(A61='Données projet'!$A$140,'Données projet'!$B$140,CT60+CS61-DB60)))</f>
        <v>328.19999999999976</v>
      </c>
      <c r="CU61" s="17">
        <f>CT61*VLOOKUP('Données projet'!$B$13,Paramètres!$A$1:$I$89,3,0)*VLOOKUP('Données projet'!$B$13,Paramètres!$A$1:$I$89,5,0)</f>
        <v>215.03663999999986</v>
      </c>
      <c r="CV61" s="13">
        <f t="shared" si="41"/>
        <v>53.034695460418575</v>
      </c>
      <c r="CW61" s="20">
        <f t="shared" si="13"/>
        <v>466.89090926022874</v>
      </c>
      <c r="CX61" s="59">
        <f t="shared" si="14"/>
        <v>744.61073790827891</v>
      </c>
      <c r="CY61" s="59">
        <f ca="1">AVERAGE(OFFSET($CX$3,0,0,'Données projet'!$E$13+1,1))-AVERAGE(OFFSET($H$3,0,0,'Données projet'!$E$13+1,1))</f>
        <v>351.7266381615546</v>
      </c>
      <c r="CZ61" s="59">
        <f t="shared" si="42"/>
        <v>340.52483243761799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22.541918308607507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22.541918308607507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65.741771449468246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13</v>
      </c>
      <c r="DO61" s="12">
        <f>IF('Données projet'!$A$166&gt;35,DO60+DN61-DW60,IF(A61&lt;'Données projet'!$A$166,$DL$205^A61,IF(A61='Données projet'!$A$166,'Données projet'!$B$166,DO60+DN61-DW60)))</f>
        <v>310.00000000000006</v>
      </c>
      <c r="DP61" s="17">
        <f>DO61*VLOOKUP('Données projet'!$B$14,Paramètres!$A$1:$I$89,3,0)*VLOOKUP('Données projet'!$B$14,Paramètres!$A$1:$I$89,5,0)</f>
        <v>265.98000000000008</v>
      </c>
      <c r="DQ61" s="13">
        <f t="shared" si="43"/>
        <v>63.995380422211646</v>
      </c>
      <c r="DR61" s="20">
        <f t="shared" si="16"/>
        <v>574.7071209020188</v>
      </c>
      <c r="DS61" s="59">
        <f t="shared" si="17"/>
        <v>852.42694955006903</v>
      </c>
      <c r="DT61" s="59">
        <f ca="1">AVERAGE(OFFSET($DS$3,0,0,'Données projet'!$E$14+1,1))-AVERAGE(OFFSET($H$3,0,0,'Données projet'!$E$14+1,1))</f>
        <v>569.21675741362196</v>
      </c>
      <c r="DU61" s="59">
        <f t="shared" si="44"/>
        <v>321.12410801891679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14.662783470358129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14.662783470358129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65.741771449468246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7.4</v>
      </c>
      <c r="EJ61" s="12">
        <f>IF('Données projet'!$A$192&gt;35,EJ60+EI61-ER60,IF(A61&lt;'Données projet'!$A$192,$EG$205^A61,IF(A61='Données projet'!$A$192,'Données projet'!$B$192,EJ60+EI61-ER60)))</f>
        <v>328.19999999999976</v>
      </c>
      <c r="EK61" s="17">
        <f>EJ61*VLOOKUP('Données projet'!$B$15,Paramètres!$A$1:$I$89,3,0)*VLOOKUP('Données projet'!$B$15,Paramètres!$A$1:$I$89,5,0)</f>
        <v>261.11591999999985</v>
      </c>
      <c r="EL61" s="13">
        <f t="shared" si="45"/>
        <v>62.960187681145797</v>
      </c>
      <c r="EM61" s="20">
        <f t="shared" si="19"/>
        <v>564.43255421132858</v>
      </c>
      <c r="EN61" s="59">
        <f t="shared" si="20"/>
        <v>842.1523828593788</v>
      </c>
      <c r="EO61" s="59">
        <f ca="1">AVERAGE(OFFSET($EN$3,0,0,'Données projet'!$E$15+1,1))-AVERAGE(OFFSET($H$3,0,0,'Données projet'!$E$15+1,1))</f>
        <v>416.63597645452791</v>
      </c>
      <c r="EP61" s="59">
        <f t="shared" si="46"/>
        <v>402.05920382353497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33.737987368862726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33.737987368862726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65.741771449468246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6.2</v>
      </c>
      <c r="FE61" s="12">
        <f>IF('Données projet'!$A$218&gt;35,FE60+FD61-FM60,IF(A61&lt;'Données projet'!$A$218,$FB$205^A61,IF(A61='Données projet'!$A$218,'Données projet'!$B$218,FE60+FD61-FM60)))</f>
        <v>281.59999999999991</v>
      </c>
      <c r="FF61" s="17">
        <f>FE61*VLOOKUP('Données projet'!$B$16,Paramètres!$A$1:$I$89,3,0)*VLOOKUP('Données projet'!$B$16,Paramètres!$A$1:$I$89,5,0)</f>
        <v>246.00575999999995</v>
      </c>
      <c r="FG61" s="13">
        <f t="shared" si="47"/>
        <v>59.729834388897928</v>
      </c>
      <c r="FH61" s="20">
        <f t="shared" si="22"/>
        <v>532.48949356066385</v>
      </c>
      <c r="FI61" s="59">
        <f t="shared" si="23"/>
        <v>810.20932220871407</v>
      </c>
      <c r="FJ61" s="59">
        <f ca="1">AVERAGE(OFFSET($FI$3,0,0,'Données projet'!$E$16+1,1))-AVERAGE(OFFSET($H$3,0,0,'Données projet'!$E$16+1,1))</f>
        <v>395.57130469647603</v>
      </c>
      <c r="FK61" s="59">
        <f t="shared" si="48"/>
        <v>383.97542781562674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32.057845196747984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32.057845196747984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65.741771449468246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9.375</v>
      </c>
      <c r="FZ61" s="12">
        <f>IF('Données projet'!$A$244&gt;35,FZ60+FY61-GH60,IF(A61&lt;'Données projet'!$A$244,$FW$205^A61,IF(A61='Données projet'!$A$244,'Données projet'!$B$244,FZ60+FY61-GH60)))</f>
        <v>278.24999999999989</v>
      </c>
      <c r="GA61" s="17">
        <f>FZ61*VLOOKUP('Données projet'!$B$17,Paramètres!$A$1:$I$89,3,0)*VLOOKUP('Données projet'!$B$17,Paramètres!$A$1:$I$89,5,0)</f>
        <v>217.03499999999991</v>
      </c>
      <c r="GB61" s="13">
        <f t="shared" si="49"/>
        <v>53.469949591969474</v>
      </c>
      <c r="GC61" s="20">
        <f t="shared" si="25"/>
        <v>471.12945387267996</v>
      </c>
      <c r="GD61" s="59">
        <f t="shared" si="26"/>
        <v>748.84928252073018</v>
      </c>
      <c r="GE61" s="59">
        <f ca="1">AVERAGE(OFFSET($GD$3,0,0,'Données projet'!$E$17+1,1))-AVERAGE(OFFSET($H$3,0,0,'Données projet'!$E$17+1,1))</f>
        <v>301.74744407733351</v>
      </c>
      <c r="GF61" s="59">
        <f t="shared" si="50"/>
        <v>292.46787700966991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18.057219897381852</v>
      </c>
      <c r="GM61" s="21">
        <f>EXP(-LN(2)/25)*GM60+(1-EXP(-LN(2)/25))/(LN(2)/25)*Calculateur!GH61*Calculateur!GJ61*VLOOKUP('Données projet'!$B$17,Paramètres!$A$1:$I$89,3,0)*0.475*44/12</f>
        <v>0</v>
      </c>
      <c r="GN61" s="21">
        <f>EXP(-LN(2)/2)*GN60+(1-EXP(-LN(2)/2))/(LN(2)/2)*GH61*GK61*VLOOKUP('Données projet'!$B$17,Paramètres!$A$1:$I$89,3,0)*0.475*44/12</f>
        <v>0</v>
      </c>
      <c r="GO61" s="21">
        <f t="shared" si="27"/>
        <v>18.057219897381852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65.741771449468246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7.4</v>
      </c>
      <c r="GU61" s="12">
        <f>IF('Données projet'!$A$270&gt;35,GU60+GT61-HC60,IF(A61&lt;'Données projet'!$A$270,$GR$205^A61,IF(A61='Données projet'!$A$270,'Données projet'!$B$270,GU60+GT61-HC60)))</f>
        <v>328.19999999999976</v>
      </c>
      <c r="GV61" s="17">
        <f>GU61*VLOOKUP('Données projet'!$B$18,Paramètres!$A$1:$I$89,3,0)*VLOOKUP('Données projet'!$B$18,Paramètres!$A$1:$I$89,5,0)</f>
        <v>194.55695999999986</v>
      </c>
      <c r="GW61" s="13">
        <f t="shared" si="51"/>
        <v>48.546038092529272</v>
      </c>
      <c r="GX61" s="20">
        <f t="shared" si="28"/>
        <v>423.40438834448827</v>
      </c>
      <c r="GY61" s="59">
        <f t="shared" si="29"/>
        <v>701.12421699253855</v>
      </c>
      <c r="GZ61" s="59">
        <f ca="1">AVERAGE(OFFSET($GY$3,0,0,'Données projet'!$E$18+1,1))-AVERAGE(OFFSET($H$3,0,0,'Données projet'!$E$18+1,1))</f>
        <v>322.78672881269978</v>
      </c>
      <c r="HA61" s="59">
        <f t="shared" si="52"/>
        <v>313.08736327626434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projet'!$B$18,Paramètres!$A$1:$I$89,3,0)*0.475*44/12</f>
        <v>15.152258353135879</v>
      </c>
      <c r="HH61" s="21">
        <f>EXP(-LN(2)/25)*HH60+(1-EXP(-LN(2)/25))/(LN(2)/25)*Calculateur!HC61*Calculateur!HE61*VLOOKUP('Données projet'!$B$18,Paramètres!$A$1:$I$89,3,0)*0.475*44/12</f>
        <v>0</v>
      </c>
      <c r="HI61" s="21">
        <f>EXP(-LN(2)/2)*HI60+(1-EXP(-LN(2)/2))/(LN(2)/2)*HC61*HF61*VLOOKUP('Données projet'!$B$18,Paramètres!$A$1:$I$89,3,0)*0.475*44/12</f>
        <v>0</v>
      </c>
      <c r="HJ61" s="22">
        <f t="shared" si="30"/>
        <v>15.152258353135879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2.3499999999999996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8.6166666666666654</v>
      </c>
      <c r="H62" s="67">
        <f t="shared" si="1"/>
        <v>222.20000000000002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65.815642194847115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9.4</v>
      </c>
      <c r="N62" s="13">
        <f>IF('Données projet'!$A$36&gt;35,N61+M62-V61,IF(A62&lt;'Données projet'!$A$36,$K$205^A62,IF(A62='Données projet'!$A$36,'Données projet'!$B$36,N61+M62-V61)))</f>
        <v>263.59999999999991</v>
      </c>
      <c r="O62" s="13">
        <f>N62*VLOOKUP('Données projet'!$B$9,Paramètres!$A$1:$I$89,3,0)*VLOOKUP('Données projet'!$B$9,Paramètres!$A$1:$I$89,5,0)</f>
        <v>238.50527999999991</v>
      </c>
      <c r="P62" s="13">
        <f t="shared" si="33"/>
        <v>58.117817352909881</v>
      </c>
      <c r="Q62" s="20">
        <f t="shared" si="53"/>
        <v>516.61856122298445</v>
      </c>
      <c r="R62" s="59">
        <f t="shared" si="0"/>
        <v>794.60924927075712</v>
      </c>
      <c r="S62" s="59">
        <f ca="1">AVERAGE(OFFSET($R$3,0,0,'Données projet'!$E$9+1,1))-AVERAGE(OFFSET($H$3,0,0,'Données projet'!$E$9+1,1))</f>
        <v>473.88815717313474</v>
      </c>
      <c r="T62" s="59">
        <f t="shared" si="34"/>
        <v>287.19790203552895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9.8392827563412855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9.8392827563412855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65.815642194847115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9.4</v>
      </c>
      <c r="AI62" s="13">
        <f>IF('Données projet'!$A$62&gt;35,AI61+AH62-AQ61,IF(A62&lt;'Données projet'!$A$62,$AF$205^A62,IF(A62='Données projet'!$A$62,'Données projet'!$B$62,AI61+AH62-AQ61)))</f>
        <v>263.59999999999991</v>
      </c>
      <c r="AJ62" s="13">
        <f>AI62*VLOOKUP('Données projet'!$B$10,Paramètres!$A$1:$I$89,3,0)*VLOOKUP('Données projet'!$B$10,Paramètres!$A$1:$I$89,5,0)</f>
        <v>222.05663999999996</v>
      </c>
      <c r="AK62" s="13">
        <f t="shared" si="35"/>
        <v>54.561643903321311</v>
      </c>
      <c r="AL62" s="20">
        <f t="shared" si="4"/>
        <v>481.77684446495124</v>
      </c>
      <c r="AM62" s="59">
        <f t="shared" si="5"/>
        <v>759.76753251272396</v>
      </c>
      <c r="AN62" s="59">
        <f ca="1">AVERAGE(OFFSET($AM$3,0,0,'Données projet'!$E$10+1,1))-AVERAGE(OFFSET($H$3,0,0,'Données projet'!$E$10+1,1))</f>
        <v>445.19118535527258</v>
      </c>
      <c r="AO62" s="59">
        <f t="shared" si="36"/>
        <v>270.93483242839363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9.1607115317660295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9.1607115317660295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65.815642194847115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9.4</v>
      </c>
      <c r="BD62" s="12">
        <f>IF('Données projet'!$A$88&gt;35,BD61+BC62-BL61,IF(A62&lt;'Données projet'!$A$88,$BA$205^A62,IF(A62='Données projet'!$A$88,'Données projet'!$B$88,BD61+BC62-BL61)))</f>
        <v>263.59999999999991</v>
      </c>
      <c r="BE62" s="13">
        <f>BD62*VLOOKUP('Données projet'!$B$11,Paramètres!$A$1:$I$89,3,0)*VLOOKUP('Données projet'!$B$11,Paramètres!$A$1:$I$89,5,0)</f>
        <v>267.29039999999992</v>
      </c>
      <c r="BF62" s="13">
        <f t="shared" si="37"/>
        <v>64.273886654661325</v>
      </c>
      <c r="BG62" s="20">
        <f t="shared" si="7"/>
        <v>577.47446592353504</v>
      </c>
      <c r="BH62" s="59">
        <f t="shared" si="8"/>
        <v>855.4651539713077</v>
      </c>
      <c r="BI62" s="59">
        <f ca="1">AVERAGE(OFFSET($BH$3,0,0,'Données projet'!$E$11+1,1))-AVERAGE(OFFSET($H$3,0,0,'Données projet'!$E$11+1,1))</f>
        <v>524.01140973345832</v>
      </c>
      <c r="BJ62" s="59">
        <f t="shared" si="38"/>
        <v>315.59942237999621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11.026782399347995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11.026782399347995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65.815642194847115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7.4</v>
      </c>
      <c r="BY62" s="12">
        <f>IF('Données projet'!$A$114&gt;35,BY61+BX62-CG61,IF(A62&lt;'Données projet'!$A$114,$BV$205^A62,IF(A62='Données projet'!$A$114,'Données projet'!$B$114,BY61+BX62-CG61)))</f>
        <v>335.59999999999974</v>
      </c>
      <c r="BZ62" s="13">
        <f>BY62*VLOOKUP('Données projet'!$B$12,Paramètres!$A$1:$I$89,3,0)*VLOOKUP('Données projet'!$B$12,Paramètres!$A$1:$I$89,5,0)</f>
        <v>225.12047999999982</v>
      </c>
      <c r="CA62" s="13">
        <f t="shared" si="39"/>
        <v>55.226302099278278</v>
      </c>
      <c r="CB62" s="20">
        <f t="shared" si="10"/>
        <v>488.27064548957588</v>
      </c>
      <c r="CC62" s="59">
        <f t="shared" si="11"/>
        <v>766.26133353734861</v>
      </c>
      <c r="CD62" s="59">
        <f ca="1">AVERAGE(OFFSET($CC$3,0,0,'Données projet'!$E$12+1,1))-AVERAGE(OFFSET($H$3,0,0,'Données projet'!$E$12+1,1))</f>
        <v>358.95222991910504</v>
      </c>
      <c r="CE62" s="59">
        <f t="shared" si="40"/>
        <v>347.37506646970905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14.848616400107844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14.848616400107844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65.815642194847115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7.4</v>
      </c>
      <c r="CT62" s="12">
        <f>IF('Données projet'!$A$140&gt;35,CT61+CS62-DB61,IF(A62&lt;'Données projet'!$A$140,$CQ$205^A62,IF(A62='Données projet'!$A$140,'Données projet'!$B$140,CT61+CS62-DB61)))</f>
        <v>335.59999999999974</v>
      </c>
      <c r="CU62" s="17">
        <f>CT62*VLOOKUP('Données projet'!$B$13,Paramètres!$A$1:$I$89,3,0)*VLOOKUP('Données projet'!$B$13,Paramètres!$A$1:$I$89,5,0)</f>
        <v>219.88511999999983</v>
      </c>
      <c r="CV62" s="13">
        <f t="shared" si="41"/>
        <v>54.089916361227957</v>
      </c>
      <c r="CW62" s="20">
        <f t="shared" si="13"/>
        <v>477.17318832913844</v>
      </c>
      <c r="CX62" s="59">
        <f t="shared" si="14"/>
        <v>755.16387637691116</v>
      </c>
      <c r="CY62" s="59">
        <f ca="1">AVERAGE(OFFSET($CX$3,0,0,'Données projet'!$E$13+1,1))-AVERAGE(OFFSET($H$3,0,0,'Données projet'!$E$13+1,1))</f>
        <v>351.7266381615546</v>
      </c>
      <c r="CZ62" s="59">
        <f t="shared" si="42"/>
        <v>340.52483243761799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22.099885039788258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22.099885039788258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65.815642194847115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13</v>
      </c>
      <c r="DO62" s="12">
        <f>IF('Données projet'!$A$166&gt;35,DO61+DN62-DW61,IF(A62&lt;'Données projet'!$A$166,$DL$205^A62,IF(A62='Données projet'!$A$166,'Données projet'!$B$166,DO61+DN62-DW61)))</f>
        <v>323.00000000000006</v>
      </c>
      <c r="DP62" s="17">
        <f>DO62*VLOOKUP('Données projet'!$B$14,Paramètres!$A$1:$I$89,3,0)*VLOOKUP('Données projet'!$B$14,Paramètres!$A$1:$I$89,5,0)</f>
        <v>277.13400000000007</v>
      </c>
      <c r="DQ62" s="13">
        <f t="shared" si="43"/>
        <v>66.360978503745613</v>
      </c>
      <c r="DR62" s="20">
        <f t="shared" si="16"/>
        <v>598.25375422735704</v>
      </c>
      <c r="DS62" s="59">
        <f t="shared" si="17"/>
        <v>876.24444227512981</v>
      </c>
      <c r="DT62" s="59">
        <f ca="1">AVERAGE(OFFSET($DS$3,0,0,'Données projet'!$E$14+1,1))-AVERAGE(OFFSET($H$3,0,0,'Données projet'!$E$14+1,1))</f>
        <v>569.21675741362196</v>
      </c>
      <c r="DU62" s="59">
        <f t="shared" si="44"/>
        <v>321.12410801891679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14.375255229919233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14.375255229919233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65.815642194847115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7.4</v>
      </c>
      <c r="EJ62" s="12">
        <f>IF('Données projet'!$A$192&gt;35,EJ61+EI62-ER61,IF(A62&lt;'Données projet'!$A$192,$EG$205^A62,IF(A62='Données projet'!$A$192,'Données projet'!$B$192,EJ61+EI62-ER61)))</f>
        <v>335.59999999999974</v>
      </c>
      <c r="EK62" s="17">
        <f>EJ62*VLOOKUP('Données projet'!$B$15,Paramètres!$A$1:$I$89,3,0)*VLOOKUP('Données projet'!$B$15,Paramètres!$A$1:$I$89,5,0)</f>
        <v>267.00335999999982</v>
      </c>
      <c r="EL62" s="13">
        <f t="shared" si="45"/>
        <v>64.212894147794728</v>
      </c>
      <c r="EM62" s="20">
        <f t="shared" si="19"/>
        <v>576.86830930740882</v>
      </c>
      <c r="EN62" s="59">
        <f t="shared" si="20"/>
        <v>854.8589973551816</v>
      </c>
      <c r="EO62" s="59">
        <f ca="1">AVERAGE(OFFSET($EN$3,0,0,'Données projet'!$E$15+1,1))-AVERAGE(OFFSET($H$3,0,0,'Données projet'!$E$15+1,1))</f>
        <v>416.63597645452791</v>
      </c>
      <c r="EP62" s="59">
        <f t="shared" si="46"/>
        <v>402.05920382353497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33.0764060146997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33.0764060146997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65.815642194847115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6.2</v>
      </c>
      <c r="FE62" s="12">
        <f>IF('Données projet'!$A$218&gt;35,FE61+FD62-FM61,IF(A62&lt;'Données projet'!$A$218,$FB$205^A62,IF(A62='Données projet'!$A$218,'Données projet'!$B$218,FE61+FD62-FM61)))</f>
        <v>287.7999999999999</v>
      </c>
      <c r="FF62" s="17">
        <f>FE62*VLOOKUP('Données projet'!$B$16,Paramètres!$A$1:$I$89,3,0)*VLOOKUP('Données projet'!$B$16,Paramètres!$A$1:$I$89,5,0)</f>
        <v>251.42207999999994</v>
      </c>
      <c r="FG62" s="13">
        <f t="shared" si="47"/>
        <v>60.890357280401872</v>
      </c>
      <c r="FH62" s="20">
        <f t="shared" si="22"/>
        <v>543.94416159669981</v>
      </c>
      <c r="FI62" s="59">
        <f t="shared" si="23"/>
        <v>821.93484964447248</v>
      </c>
      <c r="FJ62" s="59">
        <f ca="1">AVERAGE(OFFSET($FI$3,0,0,'Données projet'!$E$16+1,1))-AVERAGE(OFFSET($H$3,0,0,'Données projet'!$E$16+1,1))</f>
        <v>395.57130469647603</v>
      </c>
      <c r="FK62" s="59">
        <f t="shared" si="48"/>
        <v>383.97542781562674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31.429210405794592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31.429210405794592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65.815642194847115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9.375</v>
      </c>
      <c r="FZ62" s="12">
        <f>IF('Données projet'!$A$244&gt;35,FZ61+FY62-GH61,IF(A62&lt;'Données projet'!$A$244,$FW$205^A62,IF(A62='Données projet'!$A$244,'Données projet'!$B$244,FZ61+FY62-GH61)))</f>
        <v>287.62499999999989</v>
      </c>
      <c r="GA62" s="17">
        <f>FZ62*VLOOKUP('Données projet'!$B$17,Paramètres!$A$1:$I$89,3,0)*VLOOKUP('Données projet'!$B$17,Paramètres!$A$1:$I$89,5,0)</f>
        <v>224.34749999999991</v>
      </c>
      <c r="GB62" s="13">
        <f t="shared" si="49"/>
        <v>55.058714525680429</v>
      </c>
      <c r="GC62" s="20">
        <f t="shared" si="25"/>
        <v>486.63249029889329</v>
      </c>
      <c r="GD62" s="59">
        <f t="shared" si="26"/>
        <v>764.62317834666601</v>
      </c>
      <c r="GE62" s="59">
        <f ca="1">AVERAGE(OFFSET($GD$3,0,0,'Données projet'!$E$17+1,1))-AVERAGE(OFFSET($H$3,0,0,'Données projet'!$E$17+1,1))</f>
        <v>301.74744407733351</v>
      </c>
      <c r="GF62" s="59">
        <f t="shared" si="50"/>
        <v>292.46787700966991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17.703128829010808</v>
      </c>
      <c r="GM62" s="21">
        <f>EXP(-LN(2)/25)*GM61+(1-EXP(-LN(2)/25))/(LN(2)/25)*Calculateur!GH62*Calculateur!GJ62*VLOOKUP('Données projet'!$B$17,Paramètres!$A$1:$I$89,3,0)*0.475*44/12</f>
        <v>0</v>
      </c>
      <c r="GN62" s="21">
        <f>EXP(-LN(2)/2)*GN61+(1-EXP(-LN(2)/2))/(LN(2)/2)*GH62*GK62*VLOOKUP('Données projet'!$B$17,Paramètres!$A$1:$I$89,3,0)*0.475*44/12</f>
        <v>0</v>
      </c>
      <c r="GO62" s="21">
        <f t="shared" si="27"/>
        <v>17.703128829010808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65.815642194847115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7.4</v>
      </c>
      <c r="GU62" s="12">
        <f>IF('Données projet'!$A$270&gt;35,GU61+GT62-HC61,IF(A62&lt;'Données projet'!$A$270,$GR$205^A62,IF(A62='Données projet'!$A$270,'Données projet'!$B$270,GU61+GT62-HC61)))</f>
        <v>335.59999999999974</v>
      </c>
      <c r="GV62" s="17">
        <f>GU62*VLOOKUP('Données projet'!$B$18,Paramètres!$A$1:$I$89,3,0)*VLOOKUP('Données projet'!$B$18,Paramètres!$A$1:$I$89,5,0)</f>
        <v>198.94367999999986</v>
      </c>
      <c r="GW62" s="13">
        <f t="shared" si="51"/>
        <v>49.51194906084924</v>
      </c>
      <c r="GX62" s="20">
        <f t="shared" si="28"/>
        <v>432.72688728097887</v>
      </c>
      <c r="GY62" s="59">
        <f t="shared" si="29"/>
        <v>710.71757532875154</v>
      </c>
      <c r="GZ62" s="59">
        <f ca="1">AVERAGE(OFFSET($GY$3,0,0,'Données projet'!$E$18+1,1))-AVERAGE(OFFSET($H$3,0,0,'Données projet'!$E$18+1,1))</f>
        <v>322.78672881269978</v>
      </c>
      <c r="HA62" s="59">
        <f t="shared" si="52"/>
        <v>313.08736327626434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14.855131808795912</v>
      </c>
      <c r="HH62" s="21">
        <f>EXP(-LN(2)/25)*HH61+(1-EXP(-LN(2)/25))/(LN(2)/25)*Calculateur!HC62*Calculateur!HE62*VLOOKUP('Données projet'!$B$18,Paramètres!$A$1:$I$89,3,0)*0.475*44/12</f>
        <v>0</v>
      </c>
      <c r="HI62" s="21">
        <f>EXP(-LN(2)/2)*HI61+(1-EXP(-LN(2)/2))/(LN(2)/2)*HC62*HF62*VLOOKUP('Données projet'!$B$18,Paramètres!$A$1:$I$89,3,0)*0.475*44/12</f>
        <v>0</v>
      </c>
      <c r="HJ62" s="22">
        <f t="shared" si="30"/>
        <v>14.855131808795912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2.3499999999999996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8.6166666666666654</v>
      </c>
      <c r="H63" s="67">
        <f t="shared" si="1"/>
        <v>222.20000000000002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65.888231447943923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273</v>
      </c>
      <c r="L63" s="12">
        <f>VLOOKUP(A63,'Données projet'!$A$35:$I$55,9,0)</f>
        <v>9.4</v>
      </c>
      <c r="M63" s="12">
        <f t="array" ref="M63">INDEX(L:L,MIN(IF(ISNUMBER(L63:L259),ROW(L63:L259),"")))</f>
        <v>9.4</v>
      </c>
      <c r="N63" s="13">
        <f>IF('Données projet'!$A$36&gt;35,N62+M63-V62,IF(A63&lt;'Données projet'!$A$36,$K$205^A63,IF(A63='Données projet'!$A$36,'Données projet'!$B$36,N62+M63-V62)))</f>
        <v>272.99999999999989</v>
      </c>
      <c r="O63" s="13">
        <f>N63*VLOOKUP('Données projet'!$B$9,Paramètres!$A$1:$I$89,3,0)*VLOOKUP('Données projet'!$B$9,Paramètres!$A$1:$I$89,5,0)</f>
        <v>247.01039999999989</v>
      </c>
      <c r="P63" s="13">
        <f t="shared" si="33"/>
        <v>59.945315462121812</v>
      </c>
      <c r="Q63" s="20">
        <f t="shared" si="53"/>
        <v>534.61453776319524</v>
      </c>
      <c r="R63" s="59">
        <f t="shared" si="0"/>
        <v>812.87138640565627</v>
      </c>
      <c r="S63" s="59">
        <f ca="1">AVERAGE(OFFSET($R$3,0,0,'Données projet'!$E$9+1,1))-AVERAGE(OFFSET($H$3,0,0,'Données projet'!$E$9+1,1))</f>
        <v>473.88815717313474</v>
      </c>
      <c r="T63" s="59">
        <f t="shared" si="34"/>
        <v>287.19790203552895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28</v>
      </c>
      <c r="W63" s="16">
        <f>IF(ISNA(VLOOKUP(A63,'Données projet'!$A$35:$I$55,5,0)),0%,VLOOKUP(A63,'Données projet'!$A$35:$I$55,5,0)*VLOOKUP('Données projet'!$B$9,Paramètres!$A$1:$I$89,7,0))</f>
        <v>0.17200000000000001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14.463446173576536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14.463446173576536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65.888231447943923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273</v>
      </c>
      <c r="AG63" s="12">
        <f>VLOOKUP(A63,'Données projet'!$A$61:$I$81,9,0)</f>
        <v>9.4</v>
      </c>
      <c r="AH63" s="12">
        <f t="array" ref="AH63">INDEX(AG:AG,MIN(IF(ISNUMBER(AG63:AG259),ROW(AG63:AG259),"")))</f>
        <v>9.4</v>
      </c>
      <c r="AI63" s="13">
        <f>IF('Données projet'!$A$62&gt;35,AI62+AH63-AQ62,IF(A63&lt;'Données projet'!$A$62,$AF$205^A63,IF(A63='Données projet'!$A$62,'Données projet'!$B$62,AI62+AH63-AQ62)))</f>
        <v>272.99999999999989</v>
      </c>
      <c r="AJ63" s="13">
        <f>AI63*VLOOKUP('Données projet'!$B$10,Paramètres!$A$1:$I$89,3,0)*VLOOKUP('Données projet'!$B$10,Paramètres!$A$1:$I$89,5,0)</f>
        <v>229.97519999999994</v>
      </c>
      <c r="AK63" s="13">
        <f t="shared" si="35"/>
        <v>56.277319157664266</v>
      </c>
      <c r="AL63" s="20">
        <f t="shared" si="4"/>
        <v>498.55647086626522</v>
      </c>
      <c r="AM63" s="59">
        <f t="shared" si="5"/>
        <v>776.81331950872629</v>
      </c>
      <c r="AN63" s="59">
        <f ca="1">AVERAGE(OFFSET($AM$3,0,0,'Données projet'!$E$10+1,1))-AVERAGE(OFFSET($H$3,0,0,'Données projet'!$E$10+1,1))</f>
        <v>445.19118535527258</v>
      </c>
      <c r="AO63" s="59">
        <f t="shared" si="36"/>
        <v>270.93483242839363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28</v>
      </c>
      <c r="AR63" s="16">
        <f>IF(ISNA(VLOOKUP(A63,'Données projet'!$A$61:$I$81,5,0)),0%,VLOOKUP(A63,'Données projet'!$A$61:$I$81,5,0)*VLOOKUP('Données projet'!$B$10,Paramètres!$A$1:$I$89,7,0))</f>
        <v>0.17200000000000001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13.465967127122987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13.465967127122987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65.888231447943923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273</v>
      </c>
      <c r="BB63" s="12">
        <f>VLOOKUP(A63,'Données projet'!$A$87:$I$107,9,0)</f>
        <v>9.4</v>
      </c>
      <c r="BC63" s="12">
        <f t="array" ref="BC63">INDEX(BB:BB,MIN(IF(ISNUMBER(BB63:BB259),ROW(BB63:BB259),"")))</f>
        <v>9.4</v>
      </c>
      <c r="BD63" s="12">
        <f>IF('Données projet'!$A$88&gt;35,BD62+BC63-BL62,IF(A63&lt;'Données projet'!$A$88,$BA$205^A63,IF(A63='Données projet'!$A$88,'Données projet'!$B$88,BD62+BC63-BL62)))</f>
        <v>272.99999999999989</v>
      </c>
      <c r="BE63" s="13">
        <f>BD63*VLOOKUP('Données projet'!$B$11,Paramètres!$A$1:$I$89,3,0)*VLOOKUP('Données projet'!$B$11,Paramètres!$A$1:$I$89,5,0)</f>
        <v>276.82199999999989</v>
      </c>
      <c r="BF63" s="13">
        <f t="shared" si="37"/>
        <v>66.29496059864374</v>
      </c>
      <c r="BG63" s="20">
        <f t="shared" si="7"/>
        <v>597.59537304263756</v>
      </c>
      <c r="BH63" s="59">
        <f t="shared" si="8"/>
        <v>875.85222168509858</v>
      </c>
      <c r="BI63" s="59">
        <f ca="1">AVERAGE(OFFSET($BH$3,0,0,'Données projet'!$E$11+1,1))-AVERAGE(OFFSET($H$3,0,0,'Données projet'!$E$11+1,1))</f>
        <v>524.01140973345832</v>
      </c>
      <c r="BJ63" s="59">
        <f t="shared" si="38"/>
        <v>315.59942237999621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28</v>
      </c>
      <c r="BM63" s="16">
        <f>IF(ISNA(VLOOKUP(A63,'Données projet'!$A$87:$I$107,5,0)),0%,VLOOKUP(A63,'Données projet'!$A$87:$I$107,5,0)*VLOOKUP('Données projet'!$B$11,Paramètres!$A$1:$I$89,7,0))</f>
        <v>0.17200000000000001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16.209034504870257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16.209034504870257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65.888231447943923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343</v>
      </c>
      <c r="BW63" s="12">
        <f>VLOOKUP(A63,'Données projet'!$A$113:$I$133,9,0)</f>
        <v>7.4</v>
      </c>
      <c r="BX63" s="12">
        <f t="array" ref="BX63">INDEX(BW:BW,MIN(IF(ISNUMBER(BW63:BW259),ROW(BW63:BW259),"")))</f>
        <v>7.4</v>
      </c>
      <c r="BY63" s="12">
        <f>IF('Données projet'!$A$114&gt;35,BY62+BX63-CG62,IF(A63&lt;'Données projet'!$A$114,$BV$205^A63,IF(A63='Données projet'!$A$114,'Données projet'!$B$114,BY62+BX63-CG62)))</f>
        <v>342.99999999999972</v>
      </c>
      <c r="BZ63" s="13">
        <f>BY63*VLOOKUP('Données projet'!$B$12,Paramètres!$A$1:$I$89,3,0)*VLOOKUP('Données projet'!$B$12,Paramètres!$A$1:$I$89,5,0)</f>
        <v>230.08439999999979</v>
      </c>
      <c r="CA63" s="13">
        <f t="shared" si="39"/>
        <v>56.300930394719607</v>
      </c>
      <c r="CB63" s="20">
        <f t="shared" si="10"/>
        <v>498.78778377080289</v>
      </c>
      <c r="CC63" s="59">
        <f t="shared" si="11"/>
        <v>777.04463241326403</v>
      </c>
      <c r="CD63" s="59">
        <f ca="1">AVERAGE(OFFSET($CC$3,0,0,'Données projet'!$E$12+1,1))-AVERAGE(OFFSET($H$3,0,0,'Données projet'!$E$12+1,1))</f>
        <v>358.95222991910504</v>
      </c>
      <c r="CE63" s="59">
        <f t="shared" si="40"/>
        <v>347.37506646970905</v>
      </c>
      <c r="CF63" s="15">
        <f>IF(ISNA(VLOOKUP(A63,'Données projet'!$A$113:$I$133,3,0)),0,VLOOKUP(A63,'Données projet'!$A$113:$I$133,3,0))</f>
        <v>11</v>
      </c>
      <c r="CG63" s="15">
        <f>IF(ISNA(VLOOKUP(A63,'Données projet'!$A$113:$I$133,4,0)),0,VLOOKUP(A63,'Données projet'!$A$113:$I$133,4,0))</f>
        <v>17</v>
      </c>
      <c r="CH63" s="16">
        <f>IF(ISNA(VLOOKUP(A63,'Données projet'!$A$113:$I$133,5,0)),0%,VLOOKUP(A63,'Données projet'!$A$113:$I$133,5,0)*VLOOKUP('Données projet'!$B$12,Paramètres!$A$1:$I$89,7,0))</f>
        <v>0.26500000000000001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17.898124724574568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17.898124724574568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65.888231447943923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343</v>
      </c>
      <c r="CR63" s="12">
        <f>VLOOKUP(A63,'Données projet'!$A$139:$I$159,9,0)</f>
        <v>7.4</v>
      </c>
      <c r="CS63" s="12">
        <f t="array" ref="CS63">INDEX(CR:CR,MIN(IF(ISNUMBER(CR63:CR259),ROW(CR63:CR259),"")))</f>
        <v>7.4</v>
      </c>
      <c r="CT63" s="12">
        <f>IF('Données projet'!$A$140&gt;35,CT62+CS63-DB62,IF(A63&lt;'Données projet'!$A$140,$CQ$205^A63,IF(A63='Données projet'!$A$140,'Données projet'!$B$140,CT62+CS63-DB62)))</f>
        <v>342.99999999999972</v>
      </c>
      <c r="CU63" s="17">
        <f>CT63*VLOOKUP('Données projet'!$B$13,Paramètres!$A$1:$I$89,3,0)*VLOOKUP('Données projet'!$B$13,Paramètres!$A$1:$I$89,5,0)</f>
        <v>224.73359999999983</v>
      </c>
      <c r="CV63" s="13">
        <f t="shared" si="41"/>
        <v>55.142432144655537</v>
      </c>
      <c r="CW63" s="20">
        <f t="shared" si="13"/>
        <v>487.45075598527472</v>
      </c>
      <c r="CX63" s="59">
        <f t="shared" si="14"/>
        <v>765.7076046277358</v>
      </c>
      <c r="CY63" s="59">
        <f ca="1">AVERAGE(OFFSET($CX$3,0,0,'Données projet'!$E$13+1,1))-AVERAGE(OFFSET($H$3,0,0,'Données projet'!$E$13+1,1))</f>
        <v>351.7266381615546</v>
      </c>
      <c r="CZ63" s="59">
        <f t="shared" si="42"/>
        <v>340.52483243761799</v>
      </c>
      <c r="DA63" s="15">
        <f>IF(ISNA(VLOOKUP(A63,'Données projet'!$A$139:$I$159,3,0)),0,VLOOKUP(A63,'Données projet'!$A$139:$I$159,3,0))</f>
        <v>11</v>
      </c>
      <c r="DB63" s="15">
        <f>IF(ISNA(VLOOKUP(A63,'Données projet'!$A$139:$I$159,4,0)),0,VLOOKUP(A63,'Données projet'!$A$139:$I$159,4,0))</f>
        <v>17</v>
      </c>
      <c r="DC63" s="16">
        <f>IF(ISNA(VLOOKUP(A63,'Données projet'!$A$139:$I$159,5,0)),0%,VLOOKUP(A63,'Données projet'!$A$139:$I$159,5,0)*VLOOKUP('Données projet'!$B$13,Paramètres!$A$1:$I$89,7,0))</f>
        <v>0.25800000000000001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24.843317962807458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24.843317962807458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65.888231447943923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336</v>
      </c>
      <c r="DM63" s="12">
        <f>VLOOKUP(A63,'Données projet'!$A$165:$I$185,9,0)</f>
        <v>13</v>
      </c>
      <c r="DN63" s="12">
        <f t="array" ref="DN63">INDEX(DM:DM,MIN(IF(ISNUMBER(DM63:DM259),ROW(DM63:DM259),"")))</f>
        <v>13</v>
      </c>
      <c r="DO63" s="12">
        <f>IF('Données projet'!$A$166&gt;35,DO62+DN63-DW62,IF(A63&lt;'Données projet'!$A$166,$DL$205^A63,IF(A63='Données projet'!$A$166,'Données projet'!$B$166,DO62+DN63-DW62)))</f>
        <v>336.00000000000006</v>
      </c>
      <c r="DP63" s="17">
        <f>DO63*VLOOKUP('Données projet'!$B$14,Paramètres!$A$1:$I$89,3,0)*VLOOKUP('Données projet'!$B$14,Paramètres!$A$1:$I$89,5,0)</f>
        <v>288.28800000000007</v>
      </c>
      <c r="DQ63" s="13">
        <f t="shared" si="43"/>
        <v>68.715516926722444</v>
      </c>
      <c r="DR63" s="20">
        <f t="shared" si="16"/>
        <v>621.78112531404167</v>
      </c>
      <c r="DS63" s="59">
        <f t="shared" si="17"/>
        <v>900.03797395650281</v>
      </c>
      <c r="DT63" s="59">
        <f ca="1">AVERAGE(OFFSET($DS$3,0,0,'Données projet'!$E$14+1,1))-AVERAGE(OFFSET($H$3,0,0,'Données projet'!$E$14+1,1))</f>
        <v>569.21675741362196</v>
      </c>
      <c r="DU63" s="59">
        <f t="shared" si="44"/>
        <v>321.12410801891679</v>
      </c>
      <c r="DV63" s="15">
        <f>IF(ISNA(VLOOKUP(A63,'Données projet'!$A$165:$I$185,3,0)),0,VLOOKUP(A63,'Données projet'!$A$165:$I$185,3,0))</f>
        <v>9</v>
      </c>
      <c r="DW63" s="15">
        <f>IF(ISNA(VLOOKUP(A63,'Données projet'!$A$165:$I$185,4,0)),0,VLOOKUP(A63,'Données projet'!$A$165:$I$185,4,0))</f>
        <v>35</v>
      </c>
      <c r="DX63" s="16">
        <f>IF(ISNA(VLOOKUP(A63,'Données projet'!$A$165:$I$185,5,0)),0%,VLOOKUP(A63,'Données projet'!$A$165:$I$185,5,0)*VLOOKUP('Données projet'!$B$14,Paramètres!$A$1:$I$89,7,0))</f>
        <v>0.21200000000000002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21.131187648343829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21.131187648343829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65.888231447943923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343</v>
      </c>
      <c r="EH63" s="12">
        <f>VLOOKUP(A63,'Données projet'!$A$191:$I$211,9,0)</f>
        <v>7.4</v>
      </c>
      <c r="EI63" s="12">
        <f t="array" ref="EI63">INDEX(EH:EH,MIN(IF(ISNUMBER(EH63:EH259),ROW(EH63:EH259),"")))</f>
        <v>7.4</v>
      </c>
      <c r="EJ63" s="12">
        <f>IF('Données projet'!$A$192&gt;35,EJ62+EI63-ER62,IF(A63&lt;'Données projet'!$A$192,$EG$205^A63,IF(A63='Données projet'!$A$192,'Données projet'!$B$192,EJ62+EI63-ER62)))</f>
        <v>342.99999999999972</v>
      </c>
      <c r="EK63" s="17">
        <f>EJ63*VLOOKUP('Données projet'!$B$15,Paramètres!$A$1:$I$89,3,0)*VLOOKUP('Données projet'!$B$15,Paramètres!$A$1:$I$89,5,0)</f>
        <v>272.89079999999979</v>
      </c>
      <c r="EL63" s="13">
        <f t="shared" si="45"/>
        <v>65.462389231846373</v>
      </c>
      <c r="EM63" s="20">
        <f t="shared" si="19"/>
        <v>589.29847124546529</v>
      </c>
      <c r="EN63" s="59">
        <f t="shared" si="20"/>
        <v>867.55531988792632</v>
      </c>
      <c r="EO63" s="59">
        <f ca="1">AVERAGE(OFFSET($EN$3,0,0,'Données projet'!$E$15+1,1))-AVERAGE(OFFSET($H$3,0,0,'Données projet'!$E$15+1,1))</f>
        <v>416.63597645452791</v>
      </c>
      <c r="EP63" s="59">
        <f t="shared" si="46"/>
        <v>402.05920382353497</v>
      </c>
      <c r="EQ63" s="15">
        <f>IF(ISNA(VLOOKUP(A63,'Données projet'!$A$191:$I$211,3,0)),0,VLOOKUP(A63,'Données projet'!$A$191:$I$211,3,0))</f>
        <v>11</v>
      </c>
      <c r="ER63" s="15">
        <f>IF(ISNA(VLOOKUP(A63,'Données projet'!$A$191:$I$211,4,0)),0,VLOOKUP(A63,'Données projet'!$A$191:$I$211,4,0))</f>
        <v>17</v>
      </c>
      <c r="ES63" s="16">
        <f>IF(ISNA(VLOOKUP(A63,'Données projet'!$A$191:$I$211,5,0)),0%,VLOOKUP(A63,'Données projet'!$A$191:$I$211,5,0)*VLOOKUP('Données projet'!$B$15,Paramètres!$A$1:$I$89,7,0))</f>
        <v>0.318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37.182441004135406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37.182441004135406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65.888231447943923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294</v>
      </c>
      <c r="FC63" s="12">
        <f>VLOOKUP(A63,'Données projet'!$A$217:$I$237,9,0)</f>
        <v>6.2</v>
      </c>
      <c r="FD63" s="12">
        <f t="array" ref="FD63">INDEX(FC:FC,MIN(IF(ISNUMBER(FC63:FC259),ROW(FC63:FC259),"")))</f>
        <v>6.2</v>
      </c>
      <c r="FE63" s="12">
        <f>IF('Données projet'!$A$218&gt;35,FE62+FD63-FM62,IF(A63&lt;'Données projet'!$A$218,$FB$205^A63,IF(A63='Données projet'!$A$218,'Données projet'!$B$218,FE62+FD63-FM62)))</f>
        <v>293.99999999999989</v>
      </c>
      <c r="FF63" s="17">
        <f>FE63*VLOOKUP('Données projet'!$B$16,Paramètres!$A$1:$I$89,3,0)*VLOOKUP('Données projet'!$B$16,Paramètres!$A$1:$I$89,5,0)</f>
        <v>256.83839999999992</v>
      </c>
      <c r="FG63" s="13">
        <f t="shared" si="47"/>
        <v>62.047973482014044</v>
      </c>
      <c r="FH63" s="20">
        <f t="shared" si="22"/>
        <v>555.39376714784089</v>
      </c>
      <c r="FI63" s="59">
        <f t="shared" si="23"/>
        <v>833.65061579030203</v>
      </c>
      <c r="FJ63" s="59">
        <f ca="1">AVERAGE(OFFSET($FI$3,0,0,'Données projet'!$E$16+1,1))-AVERAGE(OFFSET($H$3,0,0,'Données projet'!$E$16+1,1))</f>
        <v>395.57130469647603</v>
      </c>
      <c r="FK63" s="59">
        <f t="shared" si="48"/>
        <v>383.97542781562674</v>
      </c>
      <c r="FL63" s="15">
        <f>IF(ISNA(VLOOKUP(A63,'Données projet'!$A$217:$I$237,3,0)),0,VLOOKUP(A63,'Données projet'!$A$217:$I$237,3,0))</f>
        <v>11</v>
      </c>
      <c r="FM63" s="15">
        <f>IF(ISNA(VLOOKUP(A63,'Données projet'!$A$217:$I$237,4,0)),0,VLOOKUP(A63,'Données projet'!$A$217:$I$237,4,0))</f>
        <v>14</v>
      </c>
      <c r="FN63" s="16">
        <f>IF(ISNA(VLOOKUP(A63,'Données projet'!$A$217:$I$237,5,0)),0%,VLOOKUP(A63,'Données projet'!$A$217:$I$237,5,0)*VLOOKUP('Données projet'!$B$16,Paramètres!$A$1:$I$89,7,0))</f>
        <v>0.318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35.11237244735149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35.11237244735149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65.888231447943923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297</v>
      </c>
      <c r="FX63" s="12">
        <f>VLOOKUP(A63,'Données projet'!$A$243:$I$263,9,0)</f>
        <v>9.375</v>
      </c>
      <c r="FY63" s="12">
        <f t="array" ref="FY63">INDEX(FX:FX,MIN(IF(ISNUMBER(FX63:FX259),ROW(FX63:FX259),"")))</f>
        <v>9.375</v>
      </c>
      <c r="FZ63" s="12">
        <f>IF('Données projet'!$A$244&gt;35,FZ62+FY63-GH62,IF(A63&lt;'Données projet'!$A$244,$FW$205^A63,IF(A63='Données projet'!$A$244,'Données projet'!$B$244,FZ62+FY63-GH62)))</f>
        <v>296.99999999999989</v>
      </c>
      <c r="GA63" s="17">
        <f>FZ63*VLOOKUP('Données projet'!$B$17,Paramètres!$A$1:$I$89,3,0)*VLOOKUP('Données projet'!$B$17,Paramètres!$A$1:$I$89,5,0)</f>
        <v>231.65999999999991</v>
      </c>
      <c r="GB63" s="13">
        <f t="shared" si="49"/>
        <v>56.641461975682766</v>
      </c>
      <c r="GC63" s="20">
        <f t="shared" si="25"/>
        <v>502.125046274314</v>
      </c>
      <c r="GD63" s="59">
        <f t="shared" si="26"/>
        <v>780.38189491677508</v>
      </c>
      <c r="GE63" s="59">
        <f ca="1">AVERAGE(OFFSET($GD$3,0,0,'Données projet'!$E$17+1,1))-AVERAGE(OFFSET($H$3,0,0,'Données projet'!$E$17+1,1))</f>
        <v>301.74744407733351</v>
      </c>
      <c r="GF63" s="59">
        <f t="shared" si="50"/>
        <v>292.46787700966991</v>
      </c>
      <c r="GG63" s="15">
        <f>IF(ISNA(VLOOKUP(A63,'Données projet'!$A$243:$I$263,3,0)),0,VLOOKUP(A63,'Données projet'!$A$243:$I$263,3,0))</f>
        <v>8</v>
      </c>
      <c r="GH63" s="15">
        <f>IF(ISNA(VLOOKUP(A63,'Données projet'!$A$243:$I$263,4,0)),0,VLOOKUP(A63,'Données projet'!$A$243:$I$263,4,0))</f>
        <v>47</v>
      </c>
      <c r="GI63" s="16">
        <f>IF(ISNA(VLOOKUP(A63,'Données projet'!$A$243:$I$263,5,0)),0%,VLOOKUP(A63,'Données projet'!$A$243:$I$263,5,0)*VLOOKUP('Données projet'!$B$17,Paramètres!$A$1:$I$89,7,0))</f>
        <v>0.25800000000000001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27.811829651845201</v>
      </c>
      <c r="GM63" s="21">
        <f>EXP(-LN(2)/25)*GM62+(1-EXP(-LN(2)/25))/(LN(2)/25)*Calculateur!GH63*Calculateur!GJ63*VLOOKUP('Données projet'!$B$17,Paramètres!$A$1:$I$89,3,0)*0.475*44/12</f>
        <v>0</v>
      </c>
      <c r="GN63" s="21">
        <f>EXP(-LN(2)/2)*GN62+(1-EXP(-LN(2)/2))/(LN(2)/2)*GH63*GK63*VLOOKUP('Données projet'!$B$17,Paramètres!$A$1:$I$89,3,0)*0.475*44/12</f>
        <v>0</v>
      </c>
      <c r="GO63" s="21">
        <f t="shared" si="27"/>
        <v>27.811829651845201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65.888231447943923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>
        <f>VLOOKUP(A63,'Données projet'!$A$269:$I$289,2,0)</f>
        <v>343</v>
      </c>
      <c r="GS63" s="12">
        <f>VLOOKUP(A63,'Données projet'!$A$269:$I$289,9,0)</f>
        <v>7.4</v>
      </c>
      <c r="GT63" s="12">
        <f t="array" ref="GT63">INDEX(GS:GS,MIN(IF(ISNUMBER(GS63:GS259),ROW(GS63:GS259),"")))</f>
        <v>7.4</v>
      </c>
      <c r="GU63" s="12">
        <f>IF('Données projet'!$A$270&gt;35,GU62+GT63-HC62,IF(A63&lt;'Données projet'!$A$270,$GR$205^A63,IF(A63='Données projet'!$A$270,'Données projet'!$B$270,GU62+GT63-HC62)))</f>
        <v>342.99999999999972</v>
      </c>
      <c r="GV63" s="17">
        <f>GU63*VLOOKUP('Données projet'!$B$18,Paramètres!$A$1:$I$89,3,0)*VLOOKUP('Données projet'!$B$18,Paramètres!$A$1:$I$89,5,0)</f>
        <v>203.33039999999983</v>
      </c>
      <c r="GW63" s="13">
        <f t="shared" si="51"/>
        <v>50.475383862759159</v>
      </c>
      <c r="GX63" s="20">
        <f t="shared" si="28"/>
        <v>442.04507356097184</v>
      </c>
      <c r="GY63" s="59">
        <f t="shared" si="29"/>
        <v>720.30192220343292</v>
      </c>
      <c r="GZ63" s="59">
        <f ca="1">AVERAGE(OFFSET($GY$3,0,0,'Données projet'!$E$18+1,1))-AVERAGE(OFFSET($H$3,0,0,'Données projet'!$E$18+1,1))</f>
        <v>322.78672881269978</v>
      </c>
      <c r="HA63" s="59">
        <f t="shared" si="52"/>
        <v>313.08736327626434</v>
      </c>
      <c r="HB63" s="15">
        <f>IF(ISNA(VLOOKUP(A63,'Données projet'!$A$269:$I$289,3,0)),0,VLOOKUP(A63,'Données projet'!$A$269:$I$289,3,0))</f>
        <v>11</v>
      </c>
      <c r="HC63" s="15">
        <f>IF(ISNA(VLOOKUP(A63,'Données projet'!$A$269:$I$289,4,0)),0,VLOOKUP(A63,'Données projet'!$A$269:$I$289,4,0))</f>
        <v>17</v>
      </c>
      <c r="HD63" s="16">
        <f>IF(ISNA(VLOOKUP(A63,'Données projet'!$A$269:$I$289,5,0)),0%,VLOOKUP(A63,'Données projet'!$A$269:$I$289,5,0)*VLOOKUP('Données projet'!$B$18,Paramètres!$A$1:$I$89,7,0))</f>
        <v>0.3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>
        <f>EXP(-LN(2)/35)*HG62+(1-EXP(-LN(2)/35))/(LN(2)/35)*HC63*HD63*VLOOKUP('Données projet'!$B$18,Paramètres!$A$1:$I$89,3,0)*0.475*44/12</f>
        <v>17.905978223795533</v>
      </c>
      <c r="HH63" s="21">
        <f>EXP(-LN(2)/25)*HH62+(1-EXP(-LN(2)/25))/(LN(2)/25)*Calculateur!HC63*Calculateur!HE63*VLOOKUP('Données projet'!$B$18,Paramètres!$A$1:$I$89,3,0)*0.475*44/12</f>
        <v>0</v>
      </c>
      <c r="HI63" s="21">
        <f>EXP(-LN(2)/2)*HI62+(1-EXP(-LN(2)/2))/(LN(2)/2)*HC63*HF63*VLOOKUP('Données projet'!$B$18,Paramètres!$A$1:$I$89,3,0)*0.475*44/12</f>
        <v>0</v>
      </c>
      <c r="HJ63" s="22">
        <f t="shared" si="30"/>
        <v>17.905978223795533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2.3499999999999996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8.6166666666666654</v>
      </c>
      <c r="H64" s="67">
        <f t="shared" si="1"/>
        <v>222.20000000000002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65.959561439784764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8.8000000000000007</v>
      </c>
      <c r="N64" s="13">
        <f>IF('Données projet'!$A$36&gt;35,N63+M64-V63,IF(A64&lt;'Données projet'!$A$36,$K$205^A64,IF(A64='Données projet'!$A$36,'Données projet'!$B$36,N63+M64-V63)))</f>
        <v>253.7999999999999</v>
      </c>
      <c r="O64" s="13">
        <f>N64*VLOOKUP('Données projet'!$B$9,Paramètres!$A$1:$I$89,3,0)*VLOOKUP('Données projet'!$B$9,Paramètres!$A$1:$I$89,5,0)</f>
        <v>229.63823999999988</v>
      </c>
      <c r="P64" s="13">
        <f t="shared" si="33"/>
        <v>56.204453396569633</v>
      </c>
      <c r="Q64" s="20">
        <f t="shared" si="53"/>
        <v>497.84269099902525</v>
      </c>
      <c r="R64" s="59">
        <f t="shared" si="0"/>
        <v>776.36108294490271</v>
      </c>
      <c r="S64" s="59">
        <f ca="1">AVERAGE(OFFSET($R$3,0,0,'Données projet'!$E$9+1,1))-AVERAGE(OFFSET($H$3,0,0,'Données projet'!$E$9+1,1))</f>
        <v>473.88815717313474</v>
      </c>
      <c r="T64" s="59">
        <f t="shared" si="34"/>
        <v>287.19790203552895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14.179826815943782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14.179826815943782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65.959561439784764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8.8000000000000007</v>
      </c>
      <c r="AI64" s="13">
        <f>IF('Données projet'!$A$62&gt;35,AI63+AH64-AQ63,IF(A64&lt;'Données projet'!$A$62,$AF$205^A64,IF(A64='Données projet'!$A$62,'Données projet'!$B$62,AI63+AH64-AQ63)))</f>
        <v>253.7999999999999</v>
      </c>
      <c r="AJ64" s="13">
        <f>AI64*VLOOKUP('Données projet'!$B$10,Paramètres!$A$1:$I$89,3,0)*VLOOKUP('Données projet'!$B$10,Paramètres!$A$1:$I$89,5,0)</f>
        <v>213.80111999999994</v>
      </c>
      <c r="AK64" s="13">
        <f t="shared" si="35"/>
        <v>52.765356850602878</v>
      </c>
      <c r="AL64" s="20">
        <f t="shared" si="4"/>
        <v>464.26994718146653</v>
      </c>
      <c r="AM64" s="59">
        <f t="shared" si="5"/>
        <v>742.78833912734399</v>
      </c>
      <c r="AN64" s="59">
        <f ca="1">AVERAGE(OFFSET($AM$3,0,0,'Données projet'!$E$10+1,1))-AVERAGE(OFFSET($H$3,0,0,'Données projet'!$E$10+1,1))</f>
        <v>445.19118535527258</v>
      </c>
      <c r="AO64" s="59">
        <f t="shared" si="36"/>
        <v>270.93483242839363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13.201907725189043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13.201907725189043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65.959561439784764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8.8000000000000007</v>
      </c>
      <c r="BD64" s="12">
        <f>IF('Données projet'!$A$88&gt;35,BD63+BC64-BL63,IF(A64&lt;'Données projet'!$A$88,$BA$205^A64,IF(A64='Données projet'!$A$88,'Données projet'!$B$88,BD63+BC64-BL63)))</f>
        <v>253.7999999999999</v>
      </c>
      <c r="BE64" s="13">
        <f>BD64*VLOOKUP('Données projet'!$B$11,Paramètres!$A$1:$I$89,3,0)*VLOOKUP('Données projet'!$B$11,Paramètres!$A$1:$I$89,5,0)</f>
        <v>257.3531999999999</v>
      </c>
      <c r="BF64" s="13">
        <f t="shared" si="37"/>
        <v>62.157851613080908</v>
      </c>
      <c r="BG64" s="20">
        <f t="shared" si="7"/>
        <v>556.48174822611566</v>
      </c>
      <c r="BH64" s="59">
        <f t="shared" si="8"/>
        <v>835.00014017199305</v>
      </c>
      <c r="BI64" s="59">
        <f ca="1">AVERAGE(OFFSET($BH$3,0,0,'Données projet'!$E$11+1,1))-AVERAGE(OFFSET($H$3,0,0,'Données projet'!$E$11+1,1))</f>
        <v>524.01140973345832</v>
      </c>
      <c r="BJ64" s="59">
        <f t="shared" si="38"/>
        <v>315.59942237999621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15.891185224764584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15.891185224764584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65.959561439784764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6</v>
      </c>
      <c r="BY64" s="12">
        <f>IF('Données projet'!$A$114&gt;35,BY63+BX64-CG63,IF(A64&lt;'Données projet'!$A$114,$BV$205^A64,IF(A64='Données projet'!$A$114,'Données projet'!$B$114,BY63+BX64-CG63)))</f>
        <v>331.99999999999972</v>
      </c>
      <c r="BZ64" s="13">
        <f>BY64*VLOOKUP('Données projet'!$B$12,Paramètres!$A$1:$I$89,3,0)*VLOOKUP('Données projet'!$B$12,Paramètres!$A$1:$I$89,5,0)</f>
        <v>222.70559999999981</v>
      </c>
      <c r="CA64" s="13">
        <f t="shared" si="39"/>
        <v>54.702515528198852</v>
      </c>
      <c r="CB64" s="20">
        <f t="shared" si="10"/>
        <v>483.15246787827937</v>
      </c>
      <c r="CC64" s="59">
        <f t="shared" si="11"/>
        <v>761.67085982415688</v>
      </c>
      <c r="CD64" s="59">
        <f ca="1">AVERAGE(OFFSET($CC$3,0,0,'Données projet'!$E$12+1,1))-AVERAGE(OFFSET($H$3,0,0,'Données projet'!$E$12+1,1))</f>
        <v>358.95222991910504</v>
      </c>
      <c r="CE64" s="59">
        <f t="shared" si="40"/>
        <v>347.37506646970905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17.5471534155038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17.5471534155038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65.959561439784764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6</v>
      </c>
      <c r="CT64" s="12">
        <f>IF('Données projet'!$A$140&gt;35,CT63+CS64-DB63,IF(A64&lt;'Données projet'!$A$140,$CQ$205^A64,IF(A64='Données projet'!$A$140,'Données projet'!$B$140,CT63+CS64-DB63)))</f>
        <v>331.99999999999972</v>
      </c>
      <c r="CU64" s="17">
        <f>CT64*VLOOKUP('Données projet'!$B$13,Paramètres!$A$1:$I$89,3,0)*VLOOKUP('Données projet'!$B$13,Paramètres!$A$1:$I$89,5,0)</f>
        <v>217.52639999999982</v>
      </c>
      <c r="CV64" s="13">
        <f t="shared" si="41"/>
        <v>53.576907690651204</v>
      </c>
      <c r="CW64" s="20">
        <f t="shared" si="13"/>
        <v>472.17159422788382</v>
      </c>
      <c r="CX64" s="59">
        <f t="shared" si="14"/>
        <v>750.68998617376133</v>
      </c>
      <c r="CY64" s="59">
        <f ca="1">AVERAGE(OFFSET($CX$3,0,0,'Données projet'!$E$13+1,1))-AVERAGE(OFFSET($H$3,0,0,'Données projet'!$E$13+1,1))</f>
        <v>351.7266381615546</v>
      </c>
      <c r="CZ64" s="59">
        <f t="shared" si="42"/>
        <v>340.52483243761799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24.356155650484535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24.356155650484535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65.959561439784764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12.4</v>
      </c>
      <c r="DO64" s="12">
        <f>IF('Données projet'!$A$166&gt;35,DO63+DN64-DW63,IF(A64&lt;'Données projet'!$A$166,$DL$205^A64,IF(A64='Données projet'!$A$166,'Données projet'!$B$166,DO63+DN64-DW63)))</f>
        <v>313.40000000000003</v>
      </c>
      <c r="DP64" s="17">
        <f>DO64*VLOOKUP('Données projet'!$B$14,Paramètres!$A$1:$I$89,3,0)*VLOOKUP('Données projet'!$B$14,Paramètres!$A$1:$I$89,5,0)</f>
        <v>268.89720000000005</v>
      </c>
      <c r="DQ64" s="13">
        <f t="shared" si="43"/>
        <v>64.615171575073688</v>
      </c>
      <c r="DR64" s="20">
        <f t="shared" si="16"/>
        <v>580.86738049325345</v>
      </c>
      <c r="DS64" s="59">
        <f t="shared" si="17"/>
        <v>859.38577243913096</v>
      </c>
      <c r="DT64" s="59">
        <f ca="1">AVERAGE(OFFSET($DS$3,0,0,'Données projet'!$E$14+1,1))-AVERAGE(OFFSET($H$3,0,0,'Données projet'!$E$14+1,1))</f>
        <v>569.21675741362196</v>
      </c>
      <c r="DU64" s="59">
        <f t="shared" si="44"/>
        <v>321.12410801891679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20.716817947311615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20.716817947311615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65.959561439784764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6</v>
      </c>
      <c r="EJ64" s="12">
        <f>IF('Données projet'!$A$192&gt;35,EJ63+EI64-ER63,IF(A64&lt;'Données projet'!$A$192,$EG$205^A64,IF(A64='Données projet'!$A$192,'Données projet'!$B$192,EJ63+EI64-ER63)))</f>
        <v>331.99999999999972</v>
      </c>
      <c r="EK64" s="17">
        <f>EJ64*VLOOKUP('Données projet'!$B$15,Paramètres!$A$1:$I$89,3,0)*VLOOKUP('Données projet'!$B$15,Paramètres!$A$1:$I$89,5,0)</f>
        <v>264.13919999999979</v>
      </c>
      <c r="EL64" s="13">
        <f t="shared" si="45"/>
        <v>63.60387543087441</v>
      </c>
      <c r="EM64" s="20">
        <f t="shared" si="19"/>
        <v>570.81918970877257</v>
      </c>
      <c r="EN64" s="59">
        <f t="shared" si="20"/>
        <v>849.33758165464997</v>
      </c>
      <c r="EO64" s="59">
        <f ca="1">AVERAGE(OFFSET($EN$3,0,0,'Données projet'!$E$15+1,1))-AVERAGE(OFFSET($H$3,0,0,'Données projet'!$E$15+1,1))</f>
        <v>416.63597645452791</v>
      </c>
      <c r="EP64" s="59">
        <f t="shared" si="46"/>
        <v>402.05920382353497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36.453316015093954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36.453316015093954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65.959561439784764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5.2</v>
      </c>
      <c r="FE64" s="12">
        <f>IF('Données projet'!$A$218&gt;35,FE63+FD64-FM63,IF(A64&lt;'Données projet'!$A$218,$FB$205^A64,IF(A64='Données projet'!$A$218,'Données projet'!$B$218,FE63+FD64-FM63)))</f>
        <v>285.19999999999987</v>
      </c>
      <c r="FF64" s="17">
        <f>FE64*VLOOKUP('Données projet'!$B$16,Paramètres!$A$1:$I$89,3,0)*VLOOKUP('Données projet'!$B$16,Paramètres!$A$1:$I$89,5,0)</f>
        <v>249.15071999999989</v>
      </c>
      <c r="FG64" s="13">
        <f t="shared" si="47"/>
        <v>60.404044320946248</v>
      </c>
      <c r="FH64" s="20">
        <f t="shared" si="22"/>
        <v>539.1412145256478</v>
      </c>
      <c r="FI64" s="59">
        <f t="shared" si="23"/>
        <v>817.65960647152519</v>
      </c>
      <c r="FJ64" s="59">
        <f ca="1">AVERAGE(OFFSET($FI$3,0,0,'Données projet'!$E$16+1,1))-AVERAGE(OFFSET($H$3,0,0,'Données projet'!$E$16+1,1))</f>
        <v>395.57130469647603</v>
      </c>
      <c r="FK64" s="59">
        <f t="shared" si="48"/>
        <v>383.97542781562674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34.423840240091423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34.423840240091423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65.959561439784764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7.8</v>
      </c>
      <c r="FZ64" s="12">
        <f>IF('Données projet'!$A$244&gt;35,FZ63+FY64-GH63,IF(A64&lt;'Données projet'!$A$244,$FW$205^A64,IF(A64='Données projet'!$A$244,'Données projet'!$B$244,FZ63+FY64-GH63)))</f>
        <v>257.7999999999999</v>
      </c>
      <c r="GA64" s="17">
        <f>FZ64*VLOOKUP('Données projet'!$B$17,Paramètres!$A$1:$I$89,3,0)*VLOOKUP('Données projet'!$B$17,Paramètres!$A$1:$I$89,5,0)</f>
        <v>201.08399999999992</v>
      </c>
      <c r="GB64" s="13">
        <f t="shared" si="49"/>
        <v>49.982323118757684</v>
      </c>
      <c r="GC64" s="20">
        <f t="shared" si="25"/>
        <v>437.27384609850282</v>
      </c>
      <c r="GD64" s="59">
        <f t="shared" si="26"/>
        <v>715.79223804438027</v>
      </c>
      <c r="GE64" s="59">
        <f ca="1">AVERAGE(OFFSET($GD$3,0,0,'Données projet'!$E$17+1,1))-AVERAGE(OFFSET($H$3,0,0,'Données projet'!$E$17+1,1))</f>
        <v>301.74744407733351</v>
      </c>
      <c r="GF64" s="59">
        <f t="shared" si="50"/>
        <v>292.46787700966991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27.266456635913595</v>
      </c>
      <c r="GM64" s="21">
        <f>EXP(-LN(2)/25)*GM63+(1-EXP(-LN(2)/25))/(LN(2)/25)*Calculateur!GH64*Calculateur!GJ64*VLOOKUP('Données projet'!$B$17,Paramètres!$A$1:$I$89,3,0)*0.475*44/12</f>
        <v>0</v>
      </c>
      <c r="GN64" s="21">
        <f>EXP(-LN(2)/2)*GN63+(1-EXP(-LN(2)/2))/(LN(2)/2)*GH64*GK64*VLOOKUP('Données projet'!$B$17,Paramètres!$A$1:$I$89,3,0)*0.475*44/12</f>
        <v>0</v>
      </c>
      <c r="GO64" s="21">
        <f t="shared" si="27"/>
        <v>27.266456635913595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65.959561439784764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6</v>
      </c>
      <c r="GU64" s="12">
        <f>IF('Données projet'!$A$270&gt;35,GU63+GT64-HC63,IF(A64&lt;'Données projet'!$A$270,$GR$205^A64,IF(A64='Données projet'!$A$270,'Données projet'!$B$270,GU63+GT64-HC63)))</f>
        <v>331.99999999999972</v>
      </c>
      <c r="GV64" s="17">
        <f>GU64*VLOOKUP('Données projet'!$B$18,Paramètres!$A$1:$I$89,3,0)*VLOOKUP('Données projet'!$B$18,Paramètres!$A$1:$I$89,5,0)</f>
        <v>196.80959999999985</v>
      </c>
      <c r="GW64" s="13">
        <f t="shared" si="51"/>
        <v>49.042359516732716</v>
      </c>
      <c r="GX64" s="20">
        <f t="shared" si="28"/>
        <v>428.19216282497587</v>
      </c>
      <c r="GY64" s="59">
        <f t="shared" si="29"/>
        <v>706.71055477085338</v>
      </c>
      <c r="GZ64" s="59">
        <f ca="1">AVERAGE(OFFSET($GY$3,0,0,'Données projet'!$E$18+1,1))-AVERAGE(OFFSET($H$3,0,0,'Données projet'!$E$18+1,1))</f>
        <v>322.78672881269978</v>
      </c>
      <c r="HA64" s="59">
        <f t="shared" si="52"/>
        <v>313.08736327626434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17.554852912395205</v>
      </c>
      <c r="HH64" s="21">
        <f>EXP(-LN(2)/25)*HH63+(1-EXP(-LN(2)/25))/(LN(2)/25)*Calculateur!HC64*Calculateur!HE64*VLOOKUP('Données projet'!$B$18,Paramètres!$A$1:$I$89,3,0)*0.475*44/12</f>
        <v>0</v>
      </c>
      <c r="HI64" s="21">
        <f>EXP(-LN(2)/2)*HI63+(1-EXP(-LN(2)/2))/(LN(2)/2)*HC64*HF64*VLOOKUP('Données projet'!$B$18,Paramètres!$A$1:$I$89,3,0)*0.475*44/12</f>
        <v>0</v>
      </c>
      <c r="HJ64" s="22">
        <f t="shared" si="30"/>
        <v>17.554852912395205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2.3499999999999996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8.6166666666666654</v>
      </c>
      <c r="H65" s="67">
        <f t="shared" si="1"/>
        <v>222.20000000000002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66.029654015737123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8.8000000000000007</v>
      </c>
      <c r="N65" s="13">
        <f>IF('Données projet'!$A$36&gt;35,N64+M65-V64,IF(A65&lt;'Données projet'!$A$36,$K$205^A65,IF(A65='Données projet'!$A$36,'Données projet'!$B$36,N64+M65-V64)))</f>
        <v>262.59999999999991</v>
      </c>
      <c r="O65" s="13">
        <f>N65*VLOOKUP('Données projet'!$B$9,Paramètres!$A$1:$I$89,3,0)*VLOOKUP('Données projet'!$B$9,Paramètres!$A$1:$I$89,5,0)</f>
        <v>237.60047999999992</v>
      </c>
      <c r="P65" s="13">
        <f t="shared" si="33"/>
        <v>57.922960533442058</v>
      </c>
      <c r="Q65" s="20">
        <f t="shared" si="53"/>
        <v>514.70332559574479</v>
      </c>
      <c r="R65" s="59">
        <f t="shared" si="0"/>
        <v>793.47872365344756</v>
      </c>
      <c r="S65" s="59">
        <f ca="1">AVERAGE(OFFSET($R$3,0,0,'Données projet'!$E$9+1,1))-AVERAGE(OFFSET($H$3,0,0,'Données projet'!$E$9+1,1))</f>
        <v>473.88815717313474</v>
      </c>
      <c r="T65" s="59">
        <f t="shared" si="34"/>
        <v>287.19790203552895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13.901769060923479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13.901769060923479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66.029654015737123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8.8000000000000007</v>
      </c>
      <c r="AI65" s="13">
        <f>IF('Données projet'!$A$62&gt;35,AI64+AH65-AQ64,IF(A65&lt;'Données projet'!$A$62,$AF$205^A65,IF(A65='Données projet'!$A$62,'Données projet'!$B$62,AI64+AH65-AQ64)))</f>
        <v>262.59999999999991</v>
      </c>
      <c r="AJ65" s="13">
        <f>AI65*VLOOKUP('Données projet'!$B$10,Paramètres!$A$1:$I$89,3,0)*VLOOKUP('Données projet'!$B$10,Paramètres!$A$1:$I$89,5,0)</f>
        <v>221.21423999999996</v>
      </c>
      <c r="AK65" s="13">
        <f t="shared" si="35"/>
        <v>54.378710185570377</v>
      </c>
      <c r="AL65" s="20">
        <f t="shared" si="4"/>
        <v>479.991054906535</v>
      </c>
      <c r="AM65" s="59">
        <f t="shared" si="5"/>
        <v>758.76645296423771</v>
      </c>
      <c r="AN65" s="59">
        <f ca="1">AVERAGE(OFFSET($AM$3,0,0,'Données projet'!$E$10+1,1))-AVERAGE(OFFSET($H$3,0,0,'Données projet'!$E$10+1,1))</f>
        <v>445.19118535527258</v>
      </c>
      <c r="AO65" s="59">
        <f t="shared" si="36"/>
        <v>270.93483242839363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12.943026367066693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12.943026367066693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66.029654015737123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8.8000000000000007</v>
      </c>
      <c r="BD65" s="12">
        <f>IF('Données projet'!$A$88&gt;35,BD64+BC65-BL64,IF(A65&lt;'Données projet'!$A$88,$BA$205^A65,IF(A65='Données projet'!$A$88,'Données projet'!$B$88,BD64+BC65-BL64)))</f>
        <v>262.59999999999991</v>
      </c>
      <c r="BE65" s="13">
        <f>BD65*VLOOKUP('Données projet'!$B$11,Paramètres!$A$1:$I$89,3,0)*VLOOKUP('Données projet'!$B$11,Paramètres!$A$1:$I$89,5,0)</f>
        <v>266.27639999999991</v>
      </c>
      <c r="BF65" s="13">
        <f t="shared" si="37"/>
        <v>64.05838982943969</v>
      </c>
      <c r="BG65" s="20">
        <f t="shared" si="7"/>
        <v>575.333092286274</v>
      </c>
      <c r="BH65" s="59">
        <f t="shared" si="8"/>
        <v>854.10849034397677</v>
      </c>
      <c r="BI65" s="59">
        <f ca="1">AVERAGE(OFFSET($BH$3,0,0,'Données projet'!$E$11+1,1))-AVERAGE(OFFSET($H$3,0,0,'Données projet'!$E$11+1,1))</f>
        <v>524.01140973345832</v>
      </c>
      <c r="BJ65" s="59">
        <f t="shared" si="38"/>
        <v>315.59942237999621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15.579568775172866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15.579568775172866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66.029654015737123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6</v>
      </c>
      <c r="BY65" s="12">
        <f>IF('Données projet'!$A$114&gt;35,BY64+BX65-CG64,IF(A65&lt;'Données projet'!$A$114,$BV$205^A65,IF(A65='Données projet'!$A$114,'Données projet'!$B$114,BY64+BX65-CG64)))</f>
        <v>337.99999999999972</v>
      </c>
      <c r="BZ65" s="13">
        <f>BY65*VLOOKUP('Données projet'!$B$12,Paramètres!$A$1:$I$89,3,0)*VLOOKUP('Données projet'!$B$12,Paramètres!$A$1:$I$89,5,0)</f>
        <v>226.73039999999983</v>
      </c>
      <c r="CA65" s="13">
        <f t="shared" si="39"/>
        <v>55.575129542858527</v>
      </c>
      <c r="CB65" s="20">
        <f t="shared" si="10"/>
        <v>491.68213062047835</v>
      </c>
      <c r="CC65" s="59">
        <f t="shared" si="11"/>
        <v>770.45752867818112</v>
      </c>
      <c r="CD65" s="59">
        <f ca="1">AVERAGE(OFFSET($CC$3,0,0,'Données projet'!$E$12+1,1))-AVERAGE(OFFSET($H$3,0,0,'Données projet'!$E$12+1,1))</f>
        <v>358.95222991910504</v>
      </c>
      <c r="CE65" s="59">
        <f t="shared" si="40"/>
        <v>347.37506646970905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17.20306443973255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17.20306443973255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66.029654015737123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6</v>
      </c>
      <c r="CT65" s="12">
        <f>IF('Données projet'!$A$140&gt;35,CT64+CS65-DB64,IF(A65&lt;'Données projet'!$A$140,$CQ$205^A65,IF(A65='Données projet'!$A$140,'Données projet'!$B$140,CT64+CS65-DB64)))</f>
        <v>337.99999999999972</v>
      </c>
      <c r="CU65" s="17">
        <f>CT65*VLOOKUP('Données projet'!$B$13,Paramètres!$A$1:$I$89,3,0)*VLOOKUP('Données projet'!$B$13,Paramètres!$A$1:$I$89,5,0)</f>
        <v>221.45759999999979</v>
      </c>
      <c r="CV65" s="13">
        <f t="shared" si="41"/>
        <v>54.431566019643213</v>
      </c>
      <c r="CW65" s="20">
        <f t="shared" si="13"/>
        <v>480.5069641508781</v>
      </c>
      <c r="CX65" s="59">
        <f t="shared" si="14"/>
        <v>759.28236220858093</v>
      </c>
      <c r="CY65" s="59">
        <f ca="1">AVERAGE(OFFSET($CX$3,0,0,'Données projet'!$E$13+1,1))-AVERAGE(OFFSET($H$3,0,0,'Données projet'!$E$13+1,1))</f>
        <v>351.7266381615546</v>
      </c>
      <c r="CZ65" s="59">
        <f t="shared" si="42"/>
        <v>340.52483243761799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23.878546293966593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23.878546293966593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66.029654015737123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12.4</v>
      </c>
      <c r="DO65" s="12">
        <f>IF('Données projet'!$A$166&gt;35,DO64+DN65-DW64,IF(A65&lt;'Données projet'!$A$166,$DL$205^A65,IF(A65='Données projet'!$A$166,'Données projet'!$B$166,DO64+DN65-DW64)))</f>
        <v>325.8</v>
      </c>
      <c r="DP65" s="17">
        <f>DO65*VLOOKUP('Données projet'!$B$14,Paramètres!$A$1:$I$89,3,0)*VLOOKUP('Données projet'!$B$14,Paramètres!$A$1:$I$89,5,0)</f>
        <v>279.53640000000007</v>
      </c>
      <c r="DQ65" s="13">
        <f t="shared" si="43"/>
        <v>66.869027427528763</v>
      </c>
      <c r="DR65" s="20">
        <f t="shared" si="16"/>
        <v>603.322786102946</v>
      </c>
      <c r="DS65" s="59">
        <f t="shared" si="17"/>
        <v>882.09818416064877</v>
      </c>
      <c r="DT65" s="59">
        <f ca="1">AVERAGE(OFFSET($DS$3,0,0,'Données projet'!$E$14+1,1))-AVERAGE(OFFSET($H$3,0,0,'Données projet'!$E$14+1,1))</f>
        <v>569.21675741362196</v>
      </c>
      <c r="DU65" s="59">
        <f t="shared" si="44"/>
        <v>321.12410801891679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20.310573783376078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20.310573783376078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66.029654015737123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6</v>
      </c>
      <c r="EJ65" s="12">
        <f>IF('Données projet'!$A$192&gt;35,EJ64+EI65-ER64,IF(A65&lt;'Données projet'!$A$192,$EG$205^A65,IF(A65='Données projet'!$A$192,'Données projet'!$B$192,EJ64+EI65-ER64)))</f>
        <v>337.99999999999972</v>
      </c>
      <c r="EK65" s="17">
        <f>EJ65*VLOOKUP('Données projet'!$B$15,Paramètres!$A$1:$I$89,3,0)*VLOOKUP('Données projet'!$B$15,Paramètres!$A$1:$I$89,5,0)</f>
        <v>268.91279999999978</v>
      </c>
      <c r="EL65" s="13">
        <f t="shared" si="45"/>
        <v>64.618483855217065</v>
      </c>
      <c r="EM65" s="20">
        <f t="shared" si="19"/>
        <v>580.90031938116931</v>
      </c>
      <c r="EN65" s="59">
        <f t="shared" si="20"/>
        <v>859.67571743887208</v>
      </c>
      <c r="EO65" s="59">
        <f ca="1">AVERAGE(OFFSET($EN$3,0,0,'Données projet'!$E$15+1,1))-AVERAGE(OFFSET($H$3,0,0,'Données projet'!$E$15+1,1))</f>
        <v>416.63597645452791</v>
      </c>
      <c r="EP65" s="59">
        <f t="shared" si="46"/>
        <v>402.05920382353497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35.738488722365275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35.738488722365275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66.029654015737123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5.2</v>
      </c>
      <c r="FE65" s="12">
        <f>IF('Données projet'!$A$218&gt;35,FE64+FD65-FM64,IF(A65&lt;'Données projet'!$A$218,$FB$205^A65,IF(A65='Données projet'!$A$218,'Données projet'!$B$218,FE64+FD65-FM64)))</f>
        <v>290.39999999999986</v>
      </c>
      <c r="FF65" s="17">
        <f>FE65*VLOOKUP('Données projet'!$B$16,Paramètres!$A$1:$I$89,3,0)*VLOOKUP('Données projet'!$B$16,Paramètres!$A$1:$I$89,5,0)</f>
        <v>253.69343999999992</v>
      </c>
      <c r="FG65" s="13">
        <f t="shared" si="47"/>
        <v>61.376159112289358</v>
      </c>
      <c r="FH65" s="20">
        <f t="shared" si="22"/>
        <v>548.74621845390379</v>
      </c>
      <c r="FI65" s="59">
        <f t="shared" si="23"/>
        <v>827.52161651160657</v>
      </c>
      <c r="FJ65" s="59">
        <f ca="1">AVERAGE(OFFSET($FI$3,0,0,'Données projet'!$E$16+1,1))-AVERAGE(OFFSET($H$3,0,0,'Données projet'!$E$16+1,1))</f>
        <v>395.57130469647603</v>
      </c>
      <c r="FK65" s="59">
        <f t="shared" si="48"/>
        <v>383.97542781562674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33.748809729452546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33.748809729452546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66.029654015737123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7.8</v>
      </c>
      <c r="FZ65" s="12">
        <f>IF('Données projet'!$A$244&gt;35,FZ64+FY65-GH64,IF(A65&lt;'Données projet'!$A$244,$FW$205^A65,IF(A65='Données projet'!$A$244,'Données projet'!$B$244,FZ64+FY65-GH64)))</f>
        <v>265.59999999999991</v>
      </c>
      <c r="GA65" s="17">
        <f>FZ65*VLOOKUP('Données projet'!$B$17,Paramètres!$A$1:$I$89,3,0)*VLOOKUP('Données projet'!$B$17,Paramètres!$A$1:$I$89,5,0)</f>
        <v>207.16799999999995</v>
      </c>
      <c r="GB65" s="13">
        <f t="shared" si="49"/>
        <v>51.316234264752268</v>
      </c>
      <c r="GC65" s="20">
        <f t="shared" si="25"/>
        <v>450.19337467777677</v>
      </c>
      <c r="GD65" s="59">
        <f t="shared" si="26"/>
        <v>728.96877273547955</v>
      </c>
      <c r="GE65" s="59">
        <f ca="1">AVERAGE(OFFSET($GD$3,0,0,'Données projet'!$E$17+1,1))-AVERAGE(OFFSET($H$3,0,0,'Données projet'!$E$17+1,1))</f>
        <v>301.74744407733351</v>
      </c>
      <c r="GF65" s="59">
        <f t="shared" si="50"/>
        <v>292.46787700966991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26.731778052179713</v>
      </c>
      <c r="GM65" s="21">
        <f>EXP(-LN(2)/25)*GM64+(1-EXP(-LN(2)/25))/(LN(2)/25)*Calculateur!GH65*Calculateur!GJ65*VLOOKUP('Données projet'!$B$17,Paramètres!$A$1:$I$89,3,0)*0.475*44/12</f>
        <v>0</v>
      </c>
      <c r="GN65" s="21">
        <f>EXP(-LN(2)/2)*GN64+(1-EXP(-LN(2)/2))/(LN(2)/2)*GH65*GK65*VLOOKUP('Données projet'!$B$17,Paramètres!$A$1:$I$89,3,0)*0.475*44/12</f>
        <v>0</v>
      </c>
      <c r="GO65" s="21">
        <f t="shared" si="27"/>
        <v>26.731778052179713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66.029654015737123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6</v>
      </c>
      <c r="GU65" s="12">
        <f>IF('Données projet'!$A$270&gt;35,GU64+GT65-HC64,IF(A65&lt;'Données projet'!$A$270,$GR$205^A65,IF(A65='Données projet'!$A$270,'Données projet'!$B$270,GU64+GT65-HC64)))</f>
        <v>337.99999999999972</v>
      </c>
      <c r="GV65" s="17">
        <f>GU65*VLOOKUP('Données projet'!$B$18,Paramètres!$A$1:$I$89,3,0)*VLOOKUP('Données projet'!$B$18,Paramètres!$A$1:$I$89,5,0)</f>
        <v>200.36639999999983</v>
      </c>
      <c r="GW65" s="13">
        <f t="shared" si="51"/>
        <v>49.824682775783131</v>
      </c>
      <c r="GX65" s="20">
        <f t="shared" si="28"/>
        <v>435.74946916782193</v>
      </c>
      <c r="GY65" s="59">
        <f t="shared" si="29"/>
        <v>714.52486722552476</v>
      </c>
      <c r="GZ65" s="59">
        <f ca="1">AVERAGE(OFFSET($GY$3,0,0,'Données projet'!$E$18+1,1))-AVERAGE(OFFSET($H$3,0,0,'Données projet'!$E$18+1,1))</f>
        <v>322.78672881269978</v>
      </c>
      <c r="HA65" s="59">
        <f t="shared" si="52"/>
        <v>313.08736327626434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17.210612954186143</v>
      </c>
      <c r="HH65" s="21">
        <f>EXP(-LN(2)/25)*HH64+(1-EXP(-LN(2)/25))/(LN(2)/25)*Calculateur!HC65*Calculateur!HE65*VLOOKUP('Données projet'!$B$18,Paramètres!$A$1:$I$89,3,0)*0.475*44/12</f>
        <v>0</v>
      </c>
      <c r="HI65" s="21">
        <f>EXP(-LN(2)/2)*HI64+(1-EXP(-LN(2)/2))/(LN(2)/2)*HC65*HF65*VLOOKUP('Données projet'!$B$18,Paramètres!$A$1:$I$89,3,0)*0.475*44/12</f>
        <v>0</v>
      </c>
      <c r="HJ65" s="22">
        <f t="shared" si="30"/>
        <v>17.210612954186143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2.3499999999999996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8.6166666666666654</v>
      </c>
      <c r="H66" s="67">
        <f t="shared" si="1"/>
        <v>222.20000000000002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66.098530642200245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8.8000000000000007</v>
      </c>
      <c r="N66" s="13">
        <f>IF('Données projet'!$A$36&gt;35,N65+M66-V65,IF(A66&lt;'Données projet'!$A$36,$K$205^A66,IF(A66='Données projet'!$A$36,'Données projet'!$B$36,N65+M66-V65)))</f>
        <v>271.39999999999992</v>
      </c>
      <c r="O66" s="13">
        <f>N66*VLOOKUP('Données projet'!$B$9,Paramètres!$A$1:$I$89,3,0)*VLOOKUP('Données projet'!$B$9,Paramètres!$A$1:$I$89,5,0)</f>
        <v>245.56271999999993</v>
      </c>
      <c r="P66" s="13">
        <f t="shared" si="33"/>
        <v>59.634776048276898</v>
      </c>
      <c r="Q66" s="20">
        <f t="shared" si="53"/>
        <v>531.55230561741553</v>
      </c>
      <c r="R66" s="59">
        <f t="shared" si="0"/>
        <v>810.5802513054831</v>
      </c>
      <c r="S66" s="59">
        <f ca="1">AVERAGE(OFFSET($R$3,0,0,'Données projet'!$E$9+1,1))-AVERAGE(OFFSET($H$3,0,0,'Données projet'!$E$9+1,1))</f>
        <v>473.88815717313474</v>
      </c>
      <c r="T66" s="59">
        <f t="shared" si="34"/>
        <v>287.19790203552895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13.629163848880642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13.629163848880642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66.098530642200245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8.8000000000000007</v>
      </c>
      <c r="AI66" s="13">
        <f>IF('Données projet'!$A$62&gt;35,AI65+AH66-AQ65,IF(A66&lt;'Données projet'!$A$62,$AF$205^A66,IF(A66='Données projet'!$A$62,'Données projet'!$B$62,AI65+AH66-AQ65)))</f>
        <v>271.39999999999992</v>
      </c>
      <c r="AJ66" s="13">
        <f>AI66*VLOOKUP('Données projet'!$B$10,Paramètres!$A$1:$I$89,3,0)*VLOOKUP('Données projet'!$B$10,Paramètres!$A$1:$I$89,5,0)</f>
        <v>228.62735999999992</v>
      </c>
      <c r="AK66" s="13">
        <f t="shared" si="35"/>
        <v>55.985781352428646</v>
      </c>
      <c r="AL66" s="20">
        <f t="shared" si="4"/>
        <v>495.70122118881301</v>
      </c>
      <c r="AM66" s="59">
        <f t="shared" si="5"/>
        <v>774.72916687688053</v>
      </c>
      <c r="AN66" s="59">
        <f ca="1">AVERAGE(OFFSET($AM$3,0,0,'Données projet'!$E$10+1,1))-AVERAGE(OFFSET($H$3,0,0,'Données projet'!$E$10+1,1))</f>
        <v>445.19118535527258</v>
      </c>
      <c r="AO66" s="59">
        <f t="shared" si="36"/>
        <v>270.93483242839363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12.689221514475085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12.689221514475085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66.098530642200245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8.8000000000000007</v>
      </c>
      <c r="BD66" s="12">
        <f>IF('Données projet'!$A$88&gt;35,BD65+BC66-BL65,IF(A66&lt;'Données projet'!$A$88,$BA$205^A66,IF(A66='Données projet'!$A$88,'Données projet'!$B$88,BD65+BC66-BL65)))</f>
        <v>271.39999999999992</v>
      </c>
      <c r="BE66" s="13">
        <f>BD66*VLOOKUP('Données projet'!$B$11,Paramètres!$A$1:$I$89,3,0)*VLOOKUP('Données projet'!$B$11,Paramètres!$A$1:$I$89,5,0)</f>
        <v>275.19959999999998</v>
      </c>
      <c r="BF66" s="13">
        <f t="shared" si="37"/>
        <v>65.951527620662617</v>
      </c>
      <c r="BG66" s="20">
        <f t="shared" si="7"/>
        <v>594.17154727265404</v>
      </c>
      <c r="BH66" s="59">
        <f t="shared" si="8"/>
        <v>873.19949296072161</v>
      </c>
      <c r="BI66" s="59">
        <f ca="1">AVERAGE(OFFSET($BH$3,0,0,'Données projet'!$E$11+1,1))-AVERAGE(OFFSET($H$3,0,0,'Données projet'!$E$11+1,1))</f>
        <v>524.01140973345832</v>
      </c>
      <c r="BJ66" s="59">
        <f t="shared" si="38"/>
        <v>315.59942237999621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15.274062934090376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15.274062934090376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66.098530642200245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6</v>
      </c>
      <c r="BY66" s="12">
        <f>IF('Données projet'!$A$114&gt;35,BY65+BX66-CG65,IF(A66&lt;'Données projet'!$A$114,$BV$205^A66,IF(A66='Données projet'!$A$114,'Données projet'!$B$114,BY65+BX66-CG65)))</f>
        <v>343.99999999999972</v>
      </c>
      <c r="BZ66" s="13">
        <f>BY66*VLOOKUP('Données projet'!$B$12,Paramètres!$A$1:$I$89,3,0)*VLOOKUP('Données projet'!$B$12,Paramètres!$A$1:$I$89,5,0)</f>
        <v>230.7551999999998</v>
      </c>
      <c r="CA66" s="13">
        <f t="shared" si="39"/>
        <v>56.445942260956926</v>
      </c>
      <c r="CB66" s="20">
        <f t="shared" si="10"/>
        <v>500.2086561044996</v>
      </c>
      <c r="CC66" s="59">
        <f t="shared" si="11"/>
        <v>779.23660179256717</v>
      </c>
      <c r="CD66" s="59">
        <f ca="1">AVERAGE(OFFSET($CC$3,0,0,'Données projet'!$E$12+1,1))-AVERAGE(OFFSET($H$3,0,0,'Données projet'!$E$12+1,1))</f>
        <v>358.95222991910504</v>
      </c>
      <c r="CE66" s="59">
        <f t="shared" si="40"/>
        <v>347.37506646970905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16.865722838902624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16.865722838902624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66.098530642200245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6</v>
      </c>
      <c r="CT66" s="12">
        <f>IF('Données projet'!$A$140&gt;35,CT65+CS66-DB65,IF(A66&lt;'Données projet'!$A$140,$CQ$205^A66,IF(A66='Données projet'!$A$140,'Données projet'!$B$140,CT65+CS66-DB65)))</f>
        <v>343.99999999999972</v>
      </c>
      <c r="CU66" s="17">
        <f>CT66*VLOOKUP('Données projet'!$B$13,Paramètres!$A$1:$I$89,3,0)*VLOOKUP('Données projet'!$B$13,Paramètres!$A$1:$I$89,5,0)</f>
        <v>225.3887999999998</v>
      </c>
      <c r="CV66" s="13">
        <f t="shared" si="41"/>
        <v>55.284460117161544</v>
      </c>
      <c r="CW66" s="20">
        <f t="shared" si="13"/>
        <v>488.83926137072262</v>
      </c>
      <c r="CX66" s="59">
        <f t="shared" si="14"/>
        <v>767.8672070587902</v>
      </c>
      <c r="CY66" s="59">
        <f ca="1">AVERAGE(OFFSET($CX$3,0,0,'Données projet'!$E$13+1,1))-AVERAGE(OFFSET($H$3,0,0,'Données projet'!$E$13+1,1))</f>
        <v>351.7266381615546</v>
      </c>
      <c r="CZ66" s="59">
        <f t="shared" si="42"/>
        <v>340.52483243761799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23.410302565617027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23.410302565617027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66.098530642200245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12.4</v>
      </c>
      <c r="DO66" s="12">
        <f>IF('Données projet'!$A$166&gt;35,DO65+DN66-DW65,IF(A66&lt;'Données projet'!$A$166,$DL$205^A66,IF(A66='Données projet'!$A$166,'Données projet'!$B$166,DO65+DN66-DW65)))</f>
        <v>338.2</v>
      </c>
      <c r="DP66" s="17">
        <f>DO66*VLOOKUP('Données projet'!$B$14,Paramètres!$A$1:$I$89,3,0)*VLOOKUP('Données projet'!$B$14,Paramètres!$A$1:$I$89,5,0)</f>
        <v>290.17560000000003</v>
      </c>
      <c r="DQ66" s="13">
        <f t="shared" si="43"/>
        <v>69.112917785973508</v>
      </c>
      <c r="DR66" s="20">
        <f t="shared" si="16"/>
        <v>625.76083514390393</v>
      </c>
      <c r="DS66" s="59">
        <f t="shared" si="17"/>
        <v>904.78878083197151</v>
      </c>
      <c r="DT66" s="59">
        <f ca="1">AVERAGE(OFFSET($DS$3,0,0,'Données projet'!$E$14+1,1))-AVERAGE(OFFSET($H$3,0,0,'Données projet'!$E$14+1,1))</f>
        <v>569.21675741362196</v>
      </c>
      <c r="DU66" s="59">
        <f t="shared" si="44"/>
        <v>321.12410801891679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19.912295819710845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19.912295819710845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66.098530642200245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6</v>
      </c>
      <c r="EJ66" s="12">
        <f>IF('Données projet'!$A$192&gt;35,EJ65+EI66-ER65,IF(A66&lt;'Données projet'!$A$192,$EG$205^A66,IF(A66='Données projet'!$A$192,'Données projet'!$B$192,EJ65+EI66-ER65)))</f>
        <v>343.99999999999972</v>
      </c>
      <c r="EK66" s="17">
        <f>EJ66*VLOOKUP('Données projet'!$B$15,Paramètres!$A$1:$I$89,3,0)*VLOOKUP('Données projet'!$B$15,Paramètres!$A$1:$I$89,5,0)</f>
        <v>273.68639999999976</v>
      </c>
      <c r="EL66" s="13">
        <f t="shared" si="45"/>
        <v>65.630997870536959</v>
      </c>
      <c r="EM66" s="20">
        <f t="shared" si="19"/>
        <v>590.97780129118485</v>
      </c>
      <c r="EN66" s="59">
        <f t="shared" si="20"/>
        <v>870.00574697925242</v>
      </c>
      <c r="EO66" s="59">
        <f ca="1">AVERAGE(OFFSET($EN$3,0,0,'Données projet'!$E$15+1,1))-AVERAGE(OFFSET($H$3,0,0,'Données projet'!$E$15+1,1))</f>
        <v>416.63597645452791</v>
      </c>
      <c r="EP66" s="59">
        <f t="shared" si="46"/>
        <v>402.05920382353497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35.037678756845409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35.037678756845409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66.098530642200245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5.2</v>
      </c>
      <c r="FE66" s="12">
        <f>IF('Données projet'!$A$218&gt;35,FE65+FD66-FM65,IF(A66&lt;'Données projet'!$A$218,$FB$205^A66,IF(A66='Données projet'!$A$218,'Données projet'!$B$218,FE65+FD66-FM65)))</f>
        <v>295.59999999999985</v>
      </c>
      <c r="FF66" s="17">
        <f>FE66*VLOOKUP('Données projet'!$B$16,Paramètres!$A$1:$I$89,3,0)*VLOOKUP('Données projet'!$B$16,Paramètres!$A$1:$I$89,5,0)</f>
        <v>258.23615999999993</v>
      </c>
      <c r="FG66" s="13">
        <f t="shared" si="47"/>
        <v>62.346249722937728</v>
      </c>
      <c r="FH66" s="20">
        <f t="shared" si="22"/>
        <v>558.34769693411636</v>
      </c>
      <c r="FI66" s="59">
        <f t="shared" si="23"/>
        <v>837.37564262218393</v>
      </c>
      <c r="FJ66" s="59">
        <f ca="1">AVERAGE(OFFSET($FI$3,0,0,'Données projet'!$E$16+1,1))-AVERAGE(OFFSET($H$3,0,0,'Données projet'!$E$16+1,1))</f>
        <v>395.57130469647603</v>
      </c>
      <c r="FK66" s="59">
        <f t="shared" si="48"/>
        <v>383.97542781562674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33.08701615539934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33.08701615539934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66.098530642200245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7.8</v>
      </c>
      <c r="FZ66" s="12">
        <f>IF('Données projet'!$A$244&gt;35,FZ65+FY66-GH65,IF(A66&lt;'Données projet'!$A$244,$FW$205^A66,IF(A66='Données projet'!$A$244,'Données projet'!$B$244,FZ65+FY66-GH65)))</f>
        <v>273.39999999999992</v>
      </c>
      <c r="GA66" s="17">
        <f>FZ66*VLOOKUP('Données projet'!$B$17,Paramètres!$A$1:$I$89,3,0)*VLOOKUP('Données projet'!$B$17,Paramètres!$A$1:$I$89,5,0)</f>
        <v>213.25199999999995</v>
      </c>
      <c r="GB66" s="13">
        <f t="shared" si="49"/>
        <v>52.64559269746821</v>
      </c>
      <c r="GC66" s="20">
        <f t="shared" si="25"/>
        <v>463.10497394809039</v>
      </c>
      <c r="GD66" s="59">
        <f t="shared" si="26"/>
        <v>742.13291963615802</v>
      </c>
      <c r="GE66" s="59">
        <f ca="1">AVERAGE(OFFSET($GD$3,0,0,'Données projet'!$E$17+1,1))-AVERAGE(OFFSET($H$3,0,0,'Données projet'!$E$17+1,1))</f>
        <v>301.74744407733351</v>
      </c>
      <c r="GF66" s="59">
        <f t="shared" si="50"/>
        <v>292.46787700966991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26.207584189351117</v>
      </c>
      <c r="GM66" s="21">
        <f>EXP(-LN(2)/25)*GM65+(1-EXP(-LN(2)/25))/(LN(2)/25)*Calculateur!GH66*Calculateur!GJ66*VLOOKUP('Données projet'!$B$17,Paramètres!$A$1:$I$89,3,0)*0.475*44/12</f>
        <v>0</v>
      </c>
      <c r="GN66" s="21">
        <f>EXP(-LN(2)/2)*GN65+(1-EXP(-LN(2)/2))/(LN(2)/2)*GH66*GK66*VLOOKUP('Données projet'!$B$17,Paramètres!$A$1:$I$89,3,0)*0.475*44/12</f>
        <v>0</v>
      </c>
      <c r="GO66" s="21">
        <f t="shared" si="27"/>
        <v>26.207584189351117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66.098530642200245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6</v>
      </c>
      <c r="GU66" s="12">
        <f>IF('Données projet'!$A$270&gt;35,GU65+GT66-HC65,IF(A66&lt;'Données projet'!$A$270,$GR$205^A66,IF(A66='Données projet'!$A$270,'Données projet'!$B$270,GU65+GT66-HC65)))</f>
        <v>343.99999999999972</v>
      </c>
      <c r="GV66" s="17">
        <f>GU66*VLOOKUP('Données projet'!$B$18,Paramètres!$A$1:$I$89,3,0)*VLOOKUP('Données projet'!$B$18,Paramètres!$A$1:$I$89,5,0)</f>
        <v>203.92319999999984</v>
      </c>
      <c r="GW66" s="13">
        <f t="shared" si="51"/>
        <v>50.605391121283439</v>
      </c>
      <c r="GX66" s="20">
        <f t="shared" si="28"/>
        <v>443.30396286956835</v>
      </c>
      <c r="GY66" s="59">
        <f t="shared" si="29"/>
        <v>722.33190855763587</v>
      </c>
      <c r="GZ66" s="59">
        <f ca="1">AVERAGE(OFFSET($GY$3,0,0,'Données projet'!$E$18+1,1))-AVERAGE(OFFSET($H$3,0,0,'Données projet'!$E$18+1,1))</f>
        <v>322.78672881269978</v>
      </c>
      <c r="HA66" s="59">
        <f t="shared" si="52"/>
        <v>313.08736327626434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projet'!$B$18,Paramètres!$A$1:$I$89,3,0)*0.475*44/12</f>
        <v>16.87312333159192</v>
      </c>
      <c r="HH66" s="21">
        <f>EXP(-LN(2)/25)*HH65+(1-EXP(-LN(2)/25))/(LN(2)/25)*Calculateur!HC66*Calculateur!HE66*VLOOKUP('Données projet'!$B$18,Paramètres!$A$1:$I$89,3,0)*0.475*44/12</f>
        <v>0</v>
      </c>
      <c r="HI66" s="21">
        <f>EXP(-LN(2)/2)*HI65+(1-EXP(-LN(2)/2))/(LN(2)/2)*HC66*HF66*VLOOKUP('Données projet'!$B$18,Paramètres!$A$1:$I$89,3,0)*0.475*44/12</f>
        <v>0</v>
      </c>
      <c r="HJ66" s="22">
        <f t="shared" si="30"/>
        <v>16.87312333159192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2.3499999999999996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8.6166666666666654</v>
      </c>
      <c r="H67" s="67">
        <f t="shared" si="1"/>
        <v>222.20000000000002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66.166212413179295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8.8000000000000007</v>
      </c>
      <c r="N67" s="13">
        <f>IF('Données projet'!$A$36&gt;35,N66+M67-V66,IF(A67&lt;'Données projet'!$A$36,$K$205^A67,IF(A67='Données projet'!$A$36,'Données projet'!$B$36,N66+M67-V66)))</f>
        <v>280.19999999999993</v>
      </c>
      <c r="O67" s="13">
        <f>N67*VLOOKUP('Données projet'!$B$9,Paramètres!$A$1:$I$89,3,0)*VLOOKUP('Données projet'!$B$9,Paramètres!$A$1:$I$89,5,0)</f>
        <v>253.52495999999996</v>
      </c>
      <c r="P67" s="13">
        <f t="shared" si="33"/>
        <v>61.340141798422209</v>
      </c>
      <c r="Q67" s="20">
        <f t="shared" ref="Q67:Q98" si="54">(O67+P67)*0.475*44/12</f>
        <v>548.39005229891859</v>
      </c>
      <c r="R67" s="59">
        <f t="shared" ref="R67:R130" si="55">Q67+(I67+J67)*44/12</f>
        <v>827.66616448057607</v>
      </c>
      <c r="S67" s="59">
        <f ca="1">AVERAGE(OFFSET($R$3,0,0,'Données projet'!$E$9+1,1))-AVERAGE(OFFSET($H$3,0,0,'Données projet'!$E$9+1,1))</f>
        <v>473.88815717313474</v>
      </c>
      <c r="T67" s="59">
        <f t="shared" si="34"/>
        <v>287.19790203552895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13.361904258773203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13.361904258773203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66.166212413179295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8.8000000000000007</v>
      </c>
      <c r="AI67" s="13">
        <f>IF('Données projet'!$A$62&gt;35,AI66+AH67-AQ66,IF(A67&lt;'Données projet'!$A$62,$AF$205^A67,IF(A67='Données projet'!$A$62,'Données projet'!$B$62,AI66+AH67-AQ66)))</f>
        <v>280.19999999999993</v>
      </c>
      <c r="AJ67" s="13">
        <f>AI67*VLOOKUP('Données projet'!$B$10,Paramètres!$A$1:$I$89,3,0)*VLOOKUP('Données projet'!$B$10,Paramètres!$A$1:$I$89,5,0)</f>
        <v>236.04047999999995</v>
      </c>
      <c r="AK67" s="13">
        <f t="shared" si="35"/>
        <v>57.586797409506879</v>
      </c>
      <c r="AL67" s="20">
        <f t="shared" si="4"/>
        <v>511.40084148822433</v>
      </c>
      <c r="AM67" s="59">
        <f t="shared" si="5"/>
        <v>790.67695366988175</v>
      </c>
      <c r="AN67" s="59">
        <f ca="1">AVERAGE(OFFSET($AM$3,0,0,'Données projet'!$E$10+1,1))-AVERAGE(OFFSET($H$3,0,0,'Données projet'!$E$10+1,1))</f>
        <v>445.19118535527258</v>
      </c>
      <c r="AO67" s="59">
        <f t="shared" si="36"/>
        <v>270.93483242839363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12.440393620237124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12.440393620237124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66.166212413179295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8.8000000000000007</v>
      </c>
      <c r="BD67" s="12">
        <f>IF('Données projet'!$A$88&gt;35,BD66+BC67-BL66,IF(A67&lt;'Données projet'!$A$88,$BA$205^A67,IF(A67='Données projet'!$A$88,'Données projet'!$B$88,BD66+BC67-BL66)))</f>
        <v>280.19999999999993</v>
      </c>
      <c r="BE67" s="13">
        <f>BD67*VLOOKUP('Données projet'!$B$11,Paramètres!$A$1:$I$89,3,0)*VLOOKUP('Données projet'!$B$11,Paramètres!$A$1:$I$89,5,0)</f>
        <v>284.12279999999998</v>
      </c>
      <c r="BF67" s="13">
        <f t="shared" si="37"/>
        <v>67.837532462585557</v>
      </c>
      <c r="BG67" s="20">
        <f t="shared" si="7"/>
        <v>612.99757903900309</v>
      </c>
      <c r="BH67" s="59">
        <f t="shared" si="8"/>
        <v>892.27369122066057</v>
      </c>
      <c r="BI67" s="59">
        <f ca="1">AVERAGE(OFFSET($BH$3,0,0,'Données projet'!$E$11+1,1))-AVERAGE(OFFSET($H$3,0,0,'Données projet'!$E$11+1,1))</f>
        <v>524.01140973345832</v>
      </c>
      <c r="BJ67" s="59">
        <f t="shared" si="38"/>
        <v>315.59942237999621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14.974547876211348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14.974547876211348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66.166212413179295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6</v>
      </c>
      <c r="BY67" s="12">
        <f>IF('Données projet'!$A$114&gt;35,BY66+BX67-CG66,IF(A67&lt;'Données projet'!$A$114,$BV$205^A67,IF(A67='Données projet'!$A$114,'Données projet'!$B$114,BY66+BX67-CG66)))</f>
        <v>349.99999999999972</v>
      </c>
      <c r="BZ67" s="13">
        <f>BY67*VLOOKUP('Données projet'!$B$12,Paramètres!$A$1:$I$89,3,0)*VLOOKUP('Données projet'!$B$12,Paramètres!$A$1:$I$89,5,0)</f>
        <v>234.77999999999983</v>
      </c>
      <c r="CA67" s="13">
        <f t="shared" si="39"/>
        <v>57.314988725508904</v>
      </c>
      <c r="CB67" s="20">
        <f t="shared" si="10"/>
        <v>508.73210536359443</v>
      </c>
      <c r="CC67" s="59">
        <f t="shared" si="11"/>
        <v>788.00821754525191</v>
      </c>
      <c r="CD67" s="59">
        <f ca="1">AVERAGE(OFFSET($CC$3,0,0,'Données projet'!$E$12+1,1))-AVERAGE(OFFSET($H$3,0,0,'Données projet'!$E$12+1,1))</f>
        <v>358.95222991910504</v>
      </c>
      <c r="CE67" s="59">
        <f t="shared" si="40"/>
        <v>347.37506646970905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16.534996301106911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16.534996301106911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66.166212413179295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6</v>
      </c>
      <c r="CT67" s="12">
        <f>IF('Données projet'!$A$140&gt;35,CT66+CS67-DB66,IF(A67&lt;'Données projet'!$A$140,$CQ$205^A67,IF(A67='Données projet'!$A$140,'Données projet'!$B$140,CT66+CS67-DB66)))</f>
        <v>349.99999999999972</v>
      </c>
      <c r="CU67" s="17">
        <f>CT67*VLOOKUP('Données projet'!$B$13,Paramètres!$A$1:$I$89,3,0)*VLOOKUP('Données projet'!$B$13,Paramètres!$A$1:$I$89,5,0)</f>
        <v>229.31999999999982</v>
      </c>
      <c r="CV67" s="13">
        <f t="shared" si="41"/>
        <v>56.135624305144574</v>
      </c>
      <c r="CW67" s="20">
        <f t="shared" si="13"/>
        <v>497.16854566479316</v>
      </c>
      <c r="CX67" s="59">
        <f t="shared" si="14"/>
        <v>776.44465784645058</v>
      </c>
      <c r="CY67" s="59">
        <f ca="1">AVERAGE(OFFSET($CX$3,0,0,'Données projet'!$E$13+1,1))-AVERAGE(OFFSET($H$3,0,0,'Données projet'!$E$13+1,1))</f>
        <v>351.7266381615546</v>
      </c>
      <c r="CZ67" s="59">
        <f t="shared" si="42"/>
        <v>340.52483243761799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22.951240811179922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22.951240811179922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66.166212413179295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12.4</v>
      </c>
      <c r="DO67" s="12">
        <f>IF('Données projet'!$A$166&gt;35,DO66+DN67-DW66,IF(A67&lt;'Données projet'!$A$166,$DL$205^A67,IF(A67='Données projet'!$A$166,'Données projet'!$B$166,DO66+DN67-DW66)))</f>
        <v>350.59999999999997</v>
      </c>
      <c r="DP67" s="17">
        <f>DO67*VLOOKUP('Données projet'!$B$14,Paramètres!$A$1:$I$89,3,0)*VLOOKUP('Données projet'!$B$14,Paramètres!$A$1:$I$89,5,0)</f>
        <v>300.81479999999999</v>
      </c>
      <c r="DQ67" s="13">
        <f t="shared" si="43"/>
        <v>71.347249879076941</v>
      </c>
      <c r="DR67" s="20">
        <f t="shared" si="16"/>
        <v>648.18223687272553</v>
      </c>
      <c r="DS67" s="59">
        <f t="shared" si="17"/>
        <v>927.45834905438301</v>
      </c>
      <c r="DT67" s="59">
        <f ca="1">AVERAGE(OFFSET($DS$3,0,0,'Données projet'!$E$14+1,1))-AVERAGE(OFFSET($H$3,0,0,'Données projet'!$E$14+1,1))</f>
        <v>569.21675741362196</v>
      </c>
      <c r="DU67" s="59">
        <f t="shared" si="44"/>
        <v>321.12410801891679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19.521827843987516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19.521827843987516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66.166212413179295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6</v>
      </c>
      <c r="EJ67" s="12">
        <f>IF('Données projet'!$A$192&gt;35,EJ66+EI67-ER66,IF(A67&lt;'Données projet'!$A$192,$EG$205^A67,IF(A67='Données projet'!$A$192,'Données projet'!$B$192,EJ66+EI67-ER66)))</f>
        <v>349.99999999999972</v>
      </c>
      <c r="EK67" s="17">
        <f>EJ67*VLOOKUP('Données projet'!$B$15,Paramètres!$A$1:$I$89,3,0)*VLOOKUP('Données projet'!$B$15,Paramètres!$A$1:$I$89,5,0)</f>
        <v>278.45999999999981</v>
      </c>
      <c r="EL67" s="13">
        <f t="shared" si="45"/>
        <v>66.641458222154824</v>
      </c>
      <c r="EM67" s="20">
        <f t="shared" si="19"/>
        <v>601.05170640358597</v>
      </c>
      <c r="EN67" s="59">
        <f t="shared" si="20"/>
        <v>880.32781858524345</v>
      </c>
      <c r="EO67" s="59">
        <f ca="1">AVERAGE(OFFSET($EN$3,0,0,'Données projet'!$E$15+1,1))-AVERAGE(OFFSET($H$3,0,0,'Données projet'!$E$15+1,1))</f>
        <v>416.63597645452791</v>
      </c>
      <c r="EP67" s="59">
        <f t="shared" si="46"/>
        <v>402.05920382353497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34.350611247297515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34.350611247297515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66.166212413179295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5.2</v>
      </c>
      <c r="FE67" s="12">
        <f>IF('Données projet'!$A$218&gt;35,FE66+FD67-FM66,IF(A67&lt;'Données projet'!$A$218,$FB$205^A67,IF(A67='Données projet'!$A$218,'Données projet'!$B$218,FE66+FD67-FM66)))</f>
        <v>300.79999999999984</v>
      </c>
      <c r="FF67" s="17">
        <f>FE67*VLOOKUP('Données projet'!$B$16,Paramètres!$A$1:$I$89,3,0)*VLOOKUP('Données projet'!$B$16,Paramètres!$A$1:$I$89,5,0)</f>
        <v>262.7788799999999</v>
      </c>
      <c r="FG67" s="13">
        <f t="shared" si="47"/>
        <v>63.314355869176104</v>
      </c>
      <c r="FH67" s="20">
        <f t="shared" si="22"/>
        <v>567.94571913881475</v>
      </c>
      <c r="FI67" s="59">
        <f t="shared" si="23"/>
        <v>847.22183132047212</v>
      </c>
      <c r="FJ67" s="59">
        <f ca="1">AVERAGE(OFFSET($FI$3,0,0,'Données projet'!$E$16+1,1))-AVERAGE(OFFSET($H$3,0,0,'Données projet'!$E$16+1,1))</f>
        <v>395.57130469647603</v>
      </c>
      <c r="FK67" s="59">
        <f t="shared" si="48"/>
        <v>383.97542781562674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32.438199949679095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32.438199949679095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66.166212413179295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7.8</v>
      </c>
      <c r="FZ67" s="12">
        <f>IF('Données projet'!$A$244&gt;35,FZ66+FY67-GH66,IF(A67&lt;'Données projet'!$A$244,$FW$205^A67,IF(A67='Données projet'!$A$244,'Données projet'!$B$244,FZ66+FY67-GH66)))</f>
        <v>281.19999999999993</v>
      </c>
      <c r="GA67" s="17">
        <f>FZ67*VLOOKUP('Données projet'!$B$17,Paramètres!$A$1:$I$89,3,0)*VLOOKUP('Données projet'!$B$17,Paramètres!$A$1:$I$89,5,0)</f>
        <v>219.33599999999996</v>
      </c>
      <c r="GB67" s="13">
        <f t="shared" si="49"/>
        <v>53.970543222289891</v>
      </c>
      <c r="GC67" s="20">
        <f t="shared" si="25"/>
        <v>476.00889611215479</v>
      </c>
      <c r="GD67" s="59">
        <f t="shared" si="26"/>
        <v>755.28500829381221</v>
      </c>
      <c r="GE67" s="59">
        <f ca="1">AVERAGE(OFFSET($GD$3,0,0,'Données projet'!$E$17+1,1))-AVERAGE(OFFSET($H$3,0,0,'Données projet'!$E$17+1,1))</f>
        <v>301.74744407733351</v>
      </c>
      <c r="GF67" s="59">
        <f t="shared" si="50"/>
        <v>292.46787700966991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25.693669448445906</v>
      </c>
      <c r="GM67" s="21">
        <f>EXP(-LN(2)/25)*GM66+(1-EXP(-LN(2)/25))/(LN(2)/25)*Calculateur!GH67*Calculateur!GJ67*VLOOKUP('Données projet'!$B$17,Paramètres!$A$1:$I$89,3,0)*0.475*44/12</f>
        <v>0</v>
      </c>
      <c r="GN67" s="21">
        <f>EXP(-LN(2)/2)*GN66+(1-EXP(-LN(2)/2))/(LN(2)/2)*GH67*GK67*VLOOKUP('Données projet'!$B$17,Paramètres!$A$1:$I$89,3,0)*0.475*44/12</f>
        <v>0</v>
      </c>
      <c r="GO67" s="21">
        <f t="shared" si="27"/>
        <v>25.693669448445906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66.166212413179295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6</v>
      </c>
      <c r="GU67" s="12">
        <f>IF('Données projet'!$A$270&gt;35,GU66+GT67-HC66,IF(A67&lt;'Données projet'!$A$270,$GR$205^A67,IF(A67='Données projet'!$A$270,'Données projet'!$B$270,GU66+GT67-HC66)))</f>
        <v>349.99999999999972</v>
      </c>
      <c r="GV67" s="17">
        <f>GU67*VLOOKUP('Données projet'!$B$18,Paramètres!$A$1:$I$89,3,0)*VLOOKUP('Données projet'!$B$18,Paramètres!$A$1:$I$89,5,0)</f>
        <v>207.47999999999982</v>
      </c>
      <c r="GW67" s="13">
        <f t="shared" si="51"/>
        <v>51.384515970292178</v>
      </c>
      <c r="GX67" s="20">
        <f t="shared" si="28"/>
        <v>450.85569864825857</v>
      </c>
      <c r="GY67" s="59">
        <f t="shared" si="29"/>
        <v>730.13181082991605</v>
      </c>
      <c r="GZ67" s="59">
        <f ca="1">AVERAGE(OFFSET($GY$3,0,0,'Données projet'!$E$18+1,1))-AVERAGE(OFFSET($H$3,0,0,'Données projet'!$E$18+1,1))</f>
        <v>322.78672881269978</v>
      </c>
      <c r="HA67" s="59">
        <f t="shared" si="52"/>
        <v>313.08736327626434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16.542251674648426</v>
      </c>
      <c r="HH67" s="21">
        <f>EXP(-LN(2)/25)*HH66+(1-EXP(-LN(2)/25))/(LN(2)/25)*Calculateur!HC67*Calculateur!HE67*VLOOKUP('Données projet'!$B$18,Paramètres!$A$1:$I$89,3,0)*0.475*44/12</f>
        <v>0</v>
      </c>
      <c r="HI67" s="21">
        <f>EXP(-LN(2)/2)*HI66+(1-EXP(-LN(2)/2))/(LN(2)/2)*HC67*HF67*VLOOKUP('Données projet'!$B$18,Paramètres!$A$1:$I$89,3,0)*0.475*44/12</f>
        <v>0</v>
      </c>
      <c r="HJ67" s="22">
        <f t="shared" si="30"/>
        <v>16.542251674648426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2.3499999999999996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8.6166666666666654</v>
      </c>
      <c r="H68" s="67">
        <f t="shared" ref="H68:H131" si="56">(B68+E68+F68)*44/12+(C68+D68)*0.475*44/12</f>
        <v>222.20000000000002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66.23272005674562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289</v>
      </c>
      <c r="L68" s="12">
        <f>VLOOKUP(A68,'Données projet'!$A$35:$I$55,9,0)</f>
        <v>8.8000000000000007</v>
      </c>
      <c r="M68" s="12">
        <f t="array" ref="M68">INDEX(L:L,MIN(IF(ISNUMBER(L68:L264),ROW(L68:L264),"")))</f>
        <v>8.8000000000000007</v>
      </c>
      <c r="N68" s="13">
        <f>IF('Données projet'!$A$36&gt;35,N67+M68-V67,IF(A68&lt;'Données projet'!$A$36,$K$205^A68,IF(A68='Données projet'!$A$36,'Données projet'!$B$36,N67+M68-V67)))</f>
        <v>288.99999999999994</v>
      </c>
      <c r="O68" s="13">
        <f>N68*VLOOKUP('Données projet'!$B$9,Paramètres!$A$1:$I$89,3,0)*VLOOKUP('Données projet'!$B$9,Paramètres!$A$1:$I$89,5,0)</f>
        <v>261.48719999999992</v>
      </c>
      <c r="P68" s="13">
        <f t="shared" si="33"/>
        <v>63.039283586802391</v>
      </c>
      <c r="Q68" s="20">
        <f t="shared" si="54"/>
        <v>565.21695891368074</v>
      </c>
      <c r="R68" s="59">
        <f t="shared" si="55"/>
        <v>844.73693245508139</v>
      </c>
      <c r="S68" s="59">
        <f ca="1">AVERAGE(OFFSET($R$3,0,0,'Données projet'!$E$9+1,1))-AVERAGE(OFFSET($H$3,0,0,'Données projet'!$E$9+1,1))</f>
        <v>473.88815717313474</v>
      </c>
      <c r="T68" s="59">
        <f t="shared" si="34"/>
        <v>287.19790203552895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28</v>
      </c>
      <c r="W68" s="16">
        <f>IF(ISNA(VLOOKUP(A68,'Données projet'!$A$35:$I$55,5,0)),0%,VLOOKUP(A68,'Données projet'!$A$35:$I$55,5,0)*VLOOKUP('Données projet'!$B$9,Paramètres!$A$1:$I$89,7,0))</f>
        <v>0.17200000000000001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17.916991216932722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17.916991216932722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66.23272005674562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289</v>
      </c>
      <c r="AG68" s="12">
        <f>VLOOKUP(A68,'Données projet'!$A$61:$I$81,9,0)</f>
        <v>8.8000000000000007</v>
      </c>
      <c r="AH68" s="12">
        <f t="array" ref="AH68">INDEX(AG:AG,MIN(IF(ISNUMBER(AG68:AG264),ROW(AG68:AG264),"")))</f>
        <v>8.8000000000000007</v>
      </c>
      <c r="AI68" s="13">
        <f>IF('Données projet'!$A$62&gt;35,AI67+AH68-AQ67,IF(A68&lt;'Données projet'!$A$62,$AF$205^A68,IF(A68='Données projet'!$A$62,'Données projet'!$B$62,AI67+AH68-AQ67)))</f>
        <v>288.99999999999994</v>
      </c>
      <c r="AJ68" s="13">
        <f>AI68*VLOOKUP('Données projet'!$B$10,Paramètres!$A$1:$I$89,3,0)*VLOOKUP('Données projet'!$B$10,Paramètres!$A$1:$I$89,5,0)</f>
        <v>243.45359999999997</v>
      </c>
      <c r="AK68" s="13">
        <f t="shared" si="35"/>
        <v>59.181970343065267</v>
      </c>
      <c r="AL68" s="20">
        <f t="shared" ref="AL68:AL131" si="58">(AJ68+AK68)*0.475*44/12</f>
        <v>527.09028501417185</v>
      </c>
      <c r="AM68" s="59">
        <f t="shared" ref="AM68:AM131" si="59">AL68+(AD68+AE68)*44/12</f>
        <v>806.6102585555725</v>
      </c>
      <c r="AN68" s="59">
        <f ca="1">AVERAGE(OFFSET($AM$3,0,0,'Données projet'!$E$10+1,1))-AVERAGE(OFFSET($H$3,0,0,'Données projet'!$E$10+1,1))</f>
        <v>445.19118535527258</v>
      </c>
      <c r="AO68" s="59">
        <f t="shared" si="36"/>
        <v>270.93483242839363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28</v>
      </c>
      <c r="AR68" s="16">
        <f>IF(ISNA(VLOOKUP(A68,'Données projet'!$A$61:$I$81,5,0)),0%,VLOOKUP(A68,'Données projet'!$A$61:$I$81,5,0)*VLOOKUP('Données projet'!$B$10,Paramètres!$A$1:$I$89,7,0))</f>
        <v>0.17200000000000001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16.681336650247715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16.681336650247715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66.23272005674562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289</v>
      </c>
      <c r="BB68" s="12">
        <f>VLOOKUP(A68,'Données projet'!$A$87:$I$107,9,0)</f>
        <v>8.8000000000000007</v>
      </c>
      <c r="BC68" s="12">
        <f t="array" ref="BC68">INDEX(BB:BB,MIN(IF(ISNUMBER(BB68:BB264),ROW(BB68:BB264),"")))</f>
        <v>8.8000000000000007</v>
      </c>
      <c r="BD68" s="12">
        <f>IF('Données projet'!$A$88&gt;35,BD67+BC68-BL67,IF(A68&lt;'Données projet'!$A$88,$BA$205^A68,IF(A68='Données projet'!$A$88,'Données projet'!$B$88,BD67+BC68-BL67)))</f>
        <v>288.99999999999994</v>
      </c>
      <c r="BE68" s="13">
        <f>BD68*VLOOKUP('Données projet'!$B$11,Paramètres!$A$1:$I$89,3,0)*VLOOKUP('Données projet'!$B$11,Paramètres!$A$1:$I$89,5,0)</f>
        <v>293.04599999999994</v>
      </c>
      <c r="BF68" s="13">
        <f t="shared" si="37"/>
        <v>69.716654076072615</v>
      </c>
      <c r="BG68" s="20">
        <f t="shared" ref="BG68:BG131" si="61">(BE68+BF68)*0.475*44/12</f>
        <v>631.81162251582634</v>
      </c>
      <c r="BH68" s="59">
        <f t="shared" ref="BH68:BH131" si="62">BG68+(AY68+AZ68)*44/12</f>
        <v>911.33159605722699</v>
      </c>
      <c r="BI68" s="59">
        <f ca="1">AVERAGE(OFFSET($BH$3,0,0,'Données projet'!$E$11+1,1))-AVERAGE(OFFSET($H$3,0,0,'Données projet'!$E$11+1,1))</f>
        <v>524.01140973345832</v>
      </c>
      <c r="BJ68" s="59">
        <f t="shared" si="38"/>
        <v>315.59942237999621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28</v>
      </c>
      <c r="BM68" s="16">
        <f>IF(ISNA(VLOOKUP(A68,'Données projet'!$A$87:$I$107,5,0)),0%,VLOOKUP(A68,'Données projet'!$A$87:$I$107,5,0)*VLOOKUP('Données projet'!$B$11,Paramètres!$A$1:$I$89,7,0))</f>
        <v>0.17200000000000001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20.0793867086315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20.0793867086315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66.23272005674562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356</v>
      </c>
      <c r="BW68" s="12">
        <f>VLOOKUP(A68,'Données projet'!$A$113:$I$133,9,0)</f>
        <v>6</v>
      </c>
      <c r="BX68" s="12">
        <f t="array" ref="BX68">INDEX(BW:BW,MIN(IF(ISNUMBER(BW68:BW264),ROW(BW68:BW264),"")))</f>
        <v>6</v>
      </c>
      <c r="BY68" s="12">
        <f>IF('Données projet'!$A$114&gt;35,BY67+BX68-CG67,IF(A68&lt;'Données projet'!$A$114,$BV$205^A68,IF(A68='Données projet'!$A$114,'Données projet'!$B$114,BY67+BX68-CG67)))</f>
        <v>355.99999999999972</v>
      </c>
      <c r="BZ68" s="13">
        <f>BY68*VLOOKUP('Données projet'!$B$12,Paramètres!$A$1:$I$89,3,0)*VLOOKUP('Données projet'!$B$12,Paramètres!$A$1:$I$89,5,0)</f>
        <v>238.8047999999998</v>
      </c>
      <c r="CA68" s="13">
        <f t="shared" si="39"/>
        <v>58.182302709210205</v>
      </c>
      <c r="CB68" s="20">
        <f t="shared" ref="CB68:CB131" si="64">(BZ68+CA68)*0.475*44/12</f>
        <v>517.25253721854074</v>
      </c>
      <c r="CC68" s="59">
        <f t="shared" ref="CC68:CC131" si="65">CB68+(BT68+BU68)*44/12</f>
        <v>796.77251075994127</v>
      </c>
      <c r="CD68" s="59">
        <f ca="1">AVERAGE(OFFSET($CC$3,0,0,'Données projet'!$E$12+1,1))-AVERAGE(OFFSET($H$3,0,0,'Données projet'!$E$12+1,1))</f>
        <v>358.95222991910504</v>
      </c>
      <c r="CE68" s="59">
        <f t="shared" si="40"/>
        <v>347.37506646970905</v>
      </c>
      <c r="CF68" s="15">
        <f>IF(ISNA(VLOOKUP(A68,'Données projet'!$A$113:$I$133,3,0)),0,VLOOKUP(A68,'Données projet'!$A$113:$I$133,3,0))</f>
        <v>12</v>
      </c>
      <c r="CG68" s="15">
        <f>IF(ISNA(VLOOKUP(A68,'Données projet'!$A$113:$I$133,4,0)),0,VLOOKUP(A68,'Données projet'!$A$113:$I$133,4,0))</f>
        <v>16</v>
      </c>
      <c r="CH68" s="16">
        <f>IF(ISNA(VLOOKUP(A68,'Données projet'!$A$113:$I$133,5,0)),0%,VLOOKUP(A68,'Données projet'!$A$113:$I$133,5,0)*VLOOKUP('Données projet'!$B$12,Paramètres!$A$1:$I$89,7,0))</f>
        <v>0.318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19.983759120639601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19.983759120639601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66.23272005674562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356</v>
      </c>
      <c r="CR68" s="12">
        <f>VLOOKUP(A68,'Données projet'!$A$139:$I$159,9,0)</f>
        <v>6</v>
      </c>
      <c r="CS68" s="12">
        <f t="array" ref="CS68">INDEX(CR:CR,MIN(IF(ISNUMBER(CR68:CR264),ROW(CR68:CR264),"")))</f>
        <v>6</v>
      </c>
      <c r="CT68" s="12">
        <f>IF('Données projet'!$A$140&gt;35,CT67+CS68-DB67,IF(A68&lt;'Données projet'!$A$140,$CQ$205^A68,IF(A68='Données projet'!$A$140,'Données projet'!$B$140,CT67+CS68-DB67)))</f>
        <v>355.99999999999972</v>
      </c>
      <c r="CU68" s="17">
        <f>CT68*VLOOKUP('Données projet'!$B$13,Paramètres!$A$1:$I$89,3,0)*VLOOKUP('Données projet'!$B$13,Paramètres!$A$1:$I$89,5,0)</f>
        <v>233.25119999999981</v>
      </c>
      <c r="CV68" s="13">
        <f t="shared" si="41"/>
        <v>56.985091661350864</v>
      </c>
      <c r="CW68" s="20">
        <f t="shared" ref="CW68:CW131" si="67">(CU68+CV68)*0.475*44/12</f>
        <v>505.4948746435191</v>
      </c>
      <c r="CX68" s="59">
        <f t="shared" ref="CX68:CX131" si="68">CW68+(CO68+CP68)*44/12</f>
        <v>785.01484818491963</v>
      </c>
      <c r="CY68" s="59">
        <f ca="1">AVERAGE(OFFSET($CX$3,0,0,'Données projet'!$E$13+1,1))-AVERAGE(OFFSET($H$3,0,0,'Données projet'!$E$13+1,1))</f>
        <v>351.7266381615546</v>
      </c>
      <c r="CZ68" s="59">
        <f t="shared" si="42"/>
        <v>340.52483243761799</v>
      </c>
      <c r="DA68" s="15">
        <f>IF(ISNA(VLOOKUP(A68,'Données projet'!$A$139:$I$159,3,0)),0,VLOOKUP(A68,'Données projet'!$A$139:$I$159,3,0))</f>
        <v>12</v>
      </c>
      <c r="DB68" s="15">
        <f>IF(ISNA(VLOOKUP(A68,'Données projet'!$A$139:$I$159,4,0)),0,VLOOKUP(A68,'Données projet'!$A$139:$I$159,4,0))</f>
        <v>16</v>
      </c>
      <c r="DC68" s="16">
        <f>IF(ISNA(VLOOKUP(A68,'Données projet'!$A$139:$I$159,5,0)),0%,VLOOKUP(A68,'Données projet'!$A$139:$I$159,5,0)*VLOOKUP('Données projet'!$B$13,Paramètres!$A$1:$I$89,7,0))</f>
        <v>0.30099999999999999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25.989429969645968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25.989429969645968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66.23272005674562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363</v>
      </c>
      <c r="DM68" s="12">
        <f>VLOOKUP(A68,'Données projet'!$A$165:$I$185,9,0)</f>
        <v>12.4</v>
      </c>
      <c r="DN68" s="12">
        <f t="array" ref="DN68">INDEX(DM:DM,MIN(IF(ISNUMBER(DM68:DM264),ROW(DM68:DM264),"")))</f>
        <v>12.4</v>
      </c>
      <c r="DO68" s="12">
        <f>IF('Données projet'!$A$166&gt;35,DO67+DN68-DW67,IF(A68&lt;'Données projet'!$A$166,$DL$205^A68,IF(A68='Données projet'!$A$166,'Données projet'!$B$166,DO67+DN68-DW67)))</f>
        <v>362.99999999999994</v>
      </c>
      <c r="DP68" s="17">
        <f>DO68*VLOOKUP('Données projet'!$B$14,Paramètres!$A$1:$I$89,3,0)*VLOOKUP('Données projet'!$B$14,Paramètres!$A$1:$I$89,5,0)</f>
        <v>311.45399999999995</v>
      </c>
      <c r="DQ68" s="13">
        <f t="shared" si="43"/>
        <v>73.572400496659426</v>
      </c>
      <c r="DR68" s="20">
        <f t="shared" ref="DR68:DR131" si="70">(DP68+DQ68)*0.475*44/12</f>
        <v>670.5876475316818</v>
      </c>
      <c r="DS68" s="59">
        <f t="shared" ref="DS68:DS131" si="71">DR68+(DJ68+DK68)*44/12</f>
        <v>950.10762107308233</v>
      </c>
      <c r="DT68" s="59">
        <f ca="1">AVERAGE(OFFSET($DS$3,0,0,'Données projet'!$E$14+1,1))-AVERAGE(OFFSET($H$3,0,0,'Données projet'!$E$14+1,1))</f>
        <v>569.21675741362196</v>
      </c>
      <c r="DU68" s="59">
        <f t="shared" si="44"/>
        <v>321.12410801891679</v>
      </c>
      <c r="DV68" s="15">
        <f>IF(ISNA(VLOOKUP(A68,'Données projet'!$A$165:$I$185,3,0)),0,VLOOKUP(A68,'Données projet'!$A$165:$I$185,3,0))</f>
        <v>10</v>
      </c>
      <c r="DW68" s="15">
        <f>IF(ISNA(VLOOKUP(A68,'Données projet'!$A$165:$I$185,4,0)),0,VLOOKUP(A68,'Données projet'!$A$165:$I$185,4,0))</f>
        <v>35</v>
      </c>
      <c r="DX68" s="16">
        <f>IF(ISNA(VLOOKUP(A68,'Données projet'!$A$165:$I$185,5,0)),0%,VLOOKUP(A68,'Données projet'!$A$165:$I$185,5,0)*VLOOKUP('Données projet'!$B$14,Paramètres!$A$1:$I$89,7,0))</f>
        <v>0.21200000000000002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26.176839112549565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26.176839112549565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66.23272005674562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356</v>
      </c>
      <c r="EH68" s="12">
        <f>VLOOKUP(A68,'Données projet'!$A$191:$I$211,9,0)</f>
        <v>6</v>
      </c>
      <c r="EI68" s="12">
        <f t="array" ref="EI68">INDEX(EH:EH,MIN(IF(ISNUMBER(EH68:EH264),ROW(EH68:EH264),"")))</f>
        <v>6</v>
      </c>
      <c r="EJ68" s="12">
        <f>IF('Données projet'!$A$192&gt;35,EJ67+EI68-ER67,IF(A68&lt;'Données projet'!$A$192,$EG$205^A68,IF(A68='Données projet'!$A$192,'Données projet'!$B$192,EJ67+EI68-ER67)))</f>
        <v>355.99999999999972</v>
      </c>
      <c r="EK68" s="17">
        <f>EJ68*VLOOKUP('Données projet'!$B$15,Paramètres!$A$1:$I$89,3,0)*VLOOKUP('Données projet'!$B$15,Paramètres!$A$1:$I$89,5,0)</f>
        <v>283.2335999999998</v>
      </c>
      <c r="EL68" s="13">
        <f t="shared" si="45"/>
        <v>67.649904178362377</v>
      </c>
      <c r="EM68" s="20">
        <f t="shared" ref="EM68:EM131" si="73">(EK68+EL68)*0.475*44/12</f>
        <v>611.12210311064734</v>
      </c>
      <c r="EN68" s="59">
        <f t="shared" ref="EN68:EN131" si="74">EM68+(EE68+EF68)*44/12</f>
        <v>890.64207665204799</v>
      </c>
      <c r="EO68" s="59">
        <f ca="1">AVERAGE(OFFSET($EN$3,0,0,'Données projet'!$E$15+1,1))-AVERAGE(OFFSET($H$3,0,0,'Données projet'!$E$15+1,1))</f>
        <v>416.63597645452791</v>
      </c>
      <c r="EP68" s="59">
        <f t="shared" si="46"/>
        <v>402.05920382353497</v>
      </c>
      <c r="EQ68" s="15">
        <f>IF(ISNA(VLOOKUP(A68,'Données projet'!$A$191:$I$211,3,0)),0,VLOOKUP(A68,'Données projet'!$A$191:$I$211,3,0))</f>
        <v>12</v>
      </c>
      <c r="ER68" s="15">
        <f>IF(ISNA(VLOOKUP(A68,'Données projet'!$A$191:$I$211,4,0)),0,VLOOKUP(A68,'Données projet'!$A$191:$I$211,4,0))</f>
        <v>16</v>
      </c>
      <c r="ES68" s="16">
        <f>IF(ISNA(VLOOKUP(A68,'Données projet'!$A$191:$I$211,5,0)),0%,VLOOKUP(A68,'Données projet'!$A$191:$I$211,5,0)*VLOOKUP('Données projet'!$B$15,Paramètres!$A$1:$I$89,7,0))</f>
        <v>0.371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38.897801333307335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38.897801333307335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66.23272005674562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306</v>
      </c>
      <c r="FC68" s="12">
        <f>VLOOKUP(A68,'Données projet'!$A$217:$I$237,9,0)</f>
        <v>5.2</v>
      </c>
      <c r="FD68" s="12">
        <f t="array" ref="FD68">INDEX(FC:FC,MIN(IF(ISNUMBER(FC68:FC264),ROW(FC68:FC264),"")))</f>
        <v>5.2</v>
      </c>
      <c r="FE68" s="12">
        <f>IF('Données projet'!$A$218&gt;35,FE67+FD68-FM67,IF(A68&lt;'Données projet'!$A$218,$FB$205^A68,IF(A68='Données projet'!$A$218,'Données projet'!$B$218,FE67+FD68-FM67)))</f>
        <v>305.99999999999983</v>
      </c>
      <c r="FF68" s="17">
        <f>FE68*VLOOKUP('Données projet'!$B$16,Paramètres!$A$1:$I$89,3,0)*VLOOKUP('Données projet'!$B$16,Paramètres!$A$1:$I$89,5,0)</f>
        <v>267.32159999999988</v>
      </c>
      <c r="FG68" s="13">
        <f t="shared" si="47"/>
        <v>64.280515815446321</v>
      </c>
      <c r="FH68" s="20">
        <f t="shared" ref="FH68:FH131" si="76">(FF68+FG68)*0.475*44/12</f>
        <v>577.54035171190208</v>
      </c>
      <c r="FI68" s="59">
        <f t="shared" ref="FI68:FI131" si="77">FH68+(EZ68+FA68)*44/12</f>
        <v>857.06032525330261</v>
      </c>
      <c r="FJ68" s="59">
        <f ca="1">AVERAGE(OFFSET($FI$3,0,0,'Données projet'!$E$16+1,1))-AVERAGE(OFFSET($H$3,0,0,'Données projet'!$E$16+1,1))</f>
        <v>395.57130469647603</v>
      </c>
      <c r="FK68" s="59">
        <f t="shared" si="48"/>
        <v>383.97542781562674</v>
      </c>
      <c r="FL68" s="15">
        <f>IF(ISNA(VLOOKUP(A68,'Données projet'!$A$217:$I$237,3,0)),0,VLOOKUP(A68,'Données projet'!$A$217:$I$237,3,0))</f>
        <v>12</v>
      </c>
      <c r="FM68" s="15">
        <f>IF(ISNA(VLOOKUP(A68,'Données projet'!$A$217:$I$237,4,0)),0,VLOOKUP(A68,'Données projet'!$A$217:$I$237,4,0))</f>
        <v>13</v>
      </c>
      <c r="FN68" s="16">
        <f>IF(ISNA(VLOOKUP(A68,'Données projet'!$A$217:$I$237,5,0)),0%,VLOOKUP(A68,'Données projet'!$A$217:$I$237,5,0)*VLOOKUP('Données projet'!$B$16,Paramètres!$A$1:$I$89,7,0))</f>
        <v>0.371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36.459865462344027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36.459865462344027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66.23272005674562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7.8</v>
      </c>
      <c r="FZ68" s="12">
        <f>IF('Données projet'!$A$244&gt;35,FZ67+FY68-GH67,IF(A68&lt;'Données projet'!$A$244,$FW$205^A68,IF(A68='Données projet'!$A$244,'Données projet'!$B$244,FZ67+FY68-GH67)))</f>
        <v>288.99999999999994</v>
      </c>
      <c r="GA68" s="17">
        <f>FZ68*VLOOKUP('Données projet'!$B$17,Paramètres!$A$1:$I$89,3,0)*VLOOKUP('Données projet'!$B$17,Paramètres!$A$1:$I$89,5,0)</f>
        <v>225.41999999999996</v>
      </c>
      <c r="GB68" s="13">
        <f t="shared" si="49"/>
        <v>55.291222154180652</v>
      </c>
      <c r="GC68" s="20">
        <f t="shared" ref="GC68:GC131" si="79">(GA68+GB68)*0.475*44/12</f>
        <v>488.90537858519792</v>
      </c>
      <c r="GD68" s="59">
        <f t="shared" ref="GD68:GD131" si="80">GC68+(FU68+FV68)*44/12</f>
        <v>768.42535212659845</v>
      </c>
      <c r="GE68" s="59">
        <f ca="1">AVERAGE(OFFSET($GD$3,0,0,'Données projet'!$E$17+1,1))-AVERAGE(OFFSET($H$3,0,0,'Données projet'!$E$17+1,1))</f>
        <v>301.74744407733351</v>
      </c>
      <c r="GF68" s="59">
        <f t="shared" si="50"/>
        <v>292.46787700966991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25.189832262152805</v>
      </c>
      <c r="GM68" s="21">
        <f>EXP(-LN(2)/25)*GM67+(1-EXP(-LN(2)/25))/(LN(2)/25)*Calculateur!GH68*Calculateur!GJ68*VLOOKUP('Données projet'!$B$17,Paramètres!$A$1:$I$89,3,0)*0.475*44/12</f>
        <v>0</v>
      </c>
      <c r="GN68" s="21">
        <f>EXP(-LN(2)/2)*GN67+(1-EXP(-LN(2)/2))/(LN(2)/2)*GH68*GK68*VLOOKUP('Données projet'!$B$17,Paramètres!$A$1:$I$89,3,0)*0.475*44/12</f>
        <v>0</v>
      </c>
      <c r="GO68" s="21">
        <f t="shared" ref="GO68:GO131" si="81">SUM(GL68:GN68)</f>
        <v>25.189832262152805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66.23272005674562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>
        <f>VLOOKUP(A68,'Données projet'!$A$269:$I$289,2,0)</f>
        <v>356</v>
      </c>
      <c r="GS68" s="12">
        <f>VLOOKUP(A68,'Données projet'!$A$269:$I$289,9,0)</f>
        <v>6</v>
      </c>
      <c r="GT68" s="12">
        <f t="array" ref="GT68">INDEX(GS:GS,MIN(IF(ISNUMBER(GS68:GS264),ROW(GS68:GS264),"")))</f>
        <v>6</v>
      </c>
      <c r="GU68" s="12">
        <f>IF('Données projet'!$A$270&gt;35,GU67+GT68-HC67,IF(A68&lt;'Données projet'!$A$270,$GR$205^A68,IF(A68='Données projet'!$A$270,'Données projet'!$B$270,GU67+GT68-HC67)))</f>
        <v>355.99999999999972</v>
      </c>
      <c r="GV68" s="17">
        <f>GU68*VLOOKUP('Données projet'!$B$18,Paramètres!$A$1:$I$89,3,0)*VLOOKUP('Données projet'!$B$18,Paramètres!$A$1:$I$89,5,0)</f>
        <v>211.03679999999983</v>
      </c>
      <c r="GW68" s="13">
        <f t="shared" si="51"/>
        <v>52.162087600990581</v>
      </c>
      <c r="GX68" s="20">
        <f t="shared" ref="GX68:GX131" si="82">(GV68+GW68)*0.475*44/12</f>
        <v>458.40472923839161</v>
      </c>
      <c r="GY68" s="59">
        <f t="shared" ref="GY68:GY131" si="83">GX68+(GP68+GQ68)*44/12</f>
        <v>737.92470277979214</v>
      </c>
      <c r="GZ68" s="59">
        <f ca="1">AVERAGE(OFFSET($GY$3,0,0,'Données projet'!$E$18+1,1))-AVERAGE(OFFSET($H$3,0,0,'Données projet'!$E$18+1,1))</f>
        <v>322.78672881269978</v>
      </c>
      <c r="HA68" s="59">
        <f t="shared" si="52"/>
        <v>313.08736327626434</v>
      </c>
      <c r="HB68" s="15">
        <f>IF(ISNA(VLOOKUP(A68,'Données projet'!$A$269:$I$289,3,0)),0,VLOOKUP(A68,'Données projet'!$A$269:$I$289,3,0))</f>
        <v>12</v>
      </c>
      <c r="HC68" s="15">
        <f>IF(ISNA(VLOOKUP(A68,'Données projet'!$A$269:$I$289,4,0)),0,VLOOKUP(A68,'Données projet'!$A$269:$I$289,4,0))</f>
        <v>16</v>
      </c>
      <c r="HD68" s="16">
        <f>IF(ISNA(VLOOKUP(A68,'Données projet'!$A$269:$I$289,5,0)),0%,VLOOKUP(A68,'Données projet'!$A$269:$I$289,5,0)*VLOOKUP('Données projet'!$B$18,Paramètres!$A$1:$I$89,7,0))</f>
        <v>0.36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>
        <f>EXP(-LN(2)/35)*HG67+(1-EXP(-LN(2)/35))/(LN(2)/35)*HC68*HD68*VLOOKUP('Données projet'!$B$18,Paramètres!$A$1:$I$89,3,0)*0.475*44/12</f>
        <v>19.992527773171695</v>
      </c>
      <c r="HH68" s="21">
        <f>EXP(-LN(2)/25)*HH67+(1-EXP(-LN(2)/25))/(LN(2)/25)*Calculateur!HC68*Calculateur!HE68*VLOOKUP('Données projet'!$B$18,Paramètres!$A$1:$I$89,3,0)*0.475*44/12</f>
        <v>0</v>
      </c>
      <c r="HI68" s="21">
        <f>EXP(-LN(2)/2)*HI67+(1-EXP(-LN(2)/2))/(LN(2)/2)*HC68*HF68*VLOOKUP('Données projet'!$B$18,Paramètres!$A$1:$I$89,3,0)*0.475*44/12</f>
        <v>0</v>
      </c>
      <c r="HJ68" s="22">
        <f t="shared" ref="HJ68:HJ131" si="84">SUM(HG68:HI68)</f>
        <v>19.992527773171695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2.3499999999999996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8.6166666666666654</v>
      </c>
      <c r="H69" s="67">
        <f t="shared" si="56"/>
        <v>222.20000000000002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66.298073941384899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8.1999999999999993</v>
      </c>
      <c r="N69" s="13">
        <f>IF('Données projet'!$A$36&gt;35,N68+M69-V68,IF(A69&lt;'Données projet'!$A$36,$K$205^A69,IF(A69='Données projet'!$A$36,'Données projet'!$B$36,N68+M69-V68)))</f>
        <v>269.19999999999993</v>
      </c>
      <c r="O69" s="13">
        <f>N69*VLOOKUP('Données projet'!$B$9,Paramètres!$A$1:$I$89,3,0)*VLOOKUP('Données projet'!$B$9,Paramètres!$A$1:$I$89,5,0)</f>
        <v>243.57215999999991</v>
      </c>
      <c r="P69" s="13">
        <f t="shared" ref="P69:P132" si="87">EXP(-1.0587+0.8836*LN(O69)+0.284)</f>
        <v>59.207435995642292</v>
      </c>
      <c r="Q69" s="20">
        <f t="shared" si="54"/>
        <v>527.34112969241005</v>
      </c>
      <c r="R69" s="59">
        <f t="shared" si="55"/>
        <v>807.10073414415467</v>
      </c>
      <c r="S69" s="59">
        <f ca="1">AVERAGE(OFFSET($R$3,0,0,'Données projet'!$E$9+1,1))-AVERAGE(OFFSET($H$3,0,0,'Données projet'!$E$9+1,1))</f>
        <v>473.88815717313474</v>
      </c>
      <c r="T69" s="59">
        <f t="shared" ref="T69:T132" si="88">$T$3</f>
        <v>287.19790203552895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17.565649947454236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17.565649947454236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66.298073941384899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8.1999999999999993</v>
      </c>
      <c r="AI69" s="13">
        <f>IF('Données projet'!$A$62&gt;35,AI68+AH69-AQ68,IF(A69&lt;'Données projet'!$A$62,$AF$205^A69,IF(A69='Données projet'!$A$62,'Données projet'!$B$62,AI68+AH69-AQ68)))</f>
        <v>269.19999999999993</v>
      </c>
      <c r="AJ69" s="13">
        <f>AI69*VLOOKUP('Données projet'!$B$10,Paramètres!$A$1:$I$89,3,0)*VLOOKUP('Données projet'!$B$10,Paramètres!$A$1:$I$89,5,0)</f>
        <v>226.77407999999997</v>
      </c>
      <c r="AK69" s="13">
        <f t="shared" ref="AK69:AK132" si="89">EXP(-1.0587+0.8836*LN(AJ69)+0.284)</f>
        <v>55.584589827360034</v>
      </c>
      <c r="AL69" s="20">
        <f t="shared" si="58"/>
        <v>491.77468328265195</v>
      </c>
      <c r="AM69" s="59">
        <f t="shared" si="59"/>
        <v>771.53428773439657</v>
      </c>
      <c r="AN69" s="59">
        <f ca="1">AVERAGE(OFFSET($AM$3,0,0,'Données projet'!$E$10+1,1))-AVERAGE(OFFSET($H$3,0,0,'Données projet'!$E$10+1,1))</f>
        <v>445.19118535527258</v>
      </c>
      <c r="AO69" s="59">
        <f t="shared" ref="AO69:AO132" si="90">$AO$3</f>
        <v>270.93483242839363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16.354225813147053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16.354225813147053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66.298073941384899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8.1999999999999993</v>
      </c>
      <c r="BD69" s="12">
        <f>IF('Données projet'!$A$88&gt;35,BD68+BC69-BL68,IF(A69&lt;'Données projet'!$A$88,$BA$205^A69,IF(A69='Données projet'!$A$88,'Données projet'!$B$88,BD68+BC69-BL68)))</f>
        <v>269.19999999999993</v>
      </c>
      <c r="BE69" s="13">
        <f>BD69*VLOOKUP('Données projet'!$B$11,Paramètres!$A$1:$I$89,3,0)*VLOOKUP('Données projet'!$B$11,Paramètres!$A$1:$I$89,5,0)</f>
        <v>272.96879999999993</v>
      </c>
      <c r="BF69" s="13">
        <f t="shared" ref="BF69:BF132" si="91">EXP(-1.0587+0.8836*LN(BE69)+0.284)</f>
        <v>65.478922017818945</v>
      </c>
      <c r="BG69" s="20">
        <f t="shared" si="61"/>
        <v>589.46311584770126</v>
      </c>
      <c r="BH69" s="59">
        <f t="shared" si="62"/>
        <v>869.22272029944588</v>
      </c>
      <c r="BI69" s="59">
        <f ca="1">AVERAGE(OFFSET($BH$3,0,0,'Données projet'!$E$11+1,1))-AVERAGE(OFFSET($H$3,0,0,'Données projet'!$E$11+1,1))</f>
        <v>524.01140973345832</v>
      </c>
      <c r="BJ69" s="59">
        <f t="shared" ref="BJ69:BJ132" si="92">$BJ$3</f>
        <v>315.59942237999621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19.685642182491815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19.685642182491815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66.298073941384899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5.2</v>
      </c>
      <c r="BY69" s="12">
        <f>IF('Données projet'!$A$114&gt;35,BY68+BX69-CG68,IF(A69&lt;'Données projet'!$A$114,$BV$205^A69,IF(A69='Données projet'!$A$114,'Données projet'!$B$114,BY68+BX69-CG68)))</f>
        <v>345.1999999999997</v>
      </c>
      <c r="BZ69" s="13">
        <f>BY69*VLOOKUP('Données projet'!$B$12,Paramètres!$A$1:$I$89,3,0)*VLOOKUP('Données projet'!$B$12,Paramètres!$A$1:$I$89,5,0)</f>
        <v>231.5601599999998</v>
      </c>
      <c r="CA69" s="13">
        <f t="shared" ref="CA69:CA132" si="93">EXP(-1.0587+0.8836*LN(BZ69)+0.284)</f>
        <v>56.619891755568716</v>
      </c>
      <c r="CB69" s="20">
        <f t="shared" si="64"/>
        <v>501.91359014094843</v>
      </c>
      <c r="CC69" s="59">
        <f t="shared" si="65"/>
        <v>781.67319459269311</v>
      </c>
      <c r="CD69" s="59">
        <f ca="1">AVERAGE(OFFSET($CC$3,0,0,'Données projet'!$E$12+1,1))-AVERAGE(OFFSET($H$3,0,0,'Données projet'!$E$12+1,1))</f>
        <v>358.95222991910504</v>
      </c>
      <c r="CE69" s="59">
        <f t="shared" ref="CE69:CE132" si="94">$CE$3</f>
        <v>347.37506646970905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19.591889793173369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19.591889793173369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66.298073941384899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5.2</v>
      </c>
      <c r="CT69" s="12">
        <f>IF('Données projet'!$A$140&gt;35,CT68+CS69-DB68,IF(A69&lt;'Données projet'!$A$140,$CQ$205^A69,IF(A69='Données projet'!$A$140,'Données projet'!$B$140,CT68+CS69-DB68)))</f>
        <v>345.1999999999997</v>
      </c>
      <c r="CU69" s="17">
        <f>CT69*VLOOKUP('Données projet'!$B$13,Paramètres!$A$1:$I$89,3,0)*VLOOKUP('Données projet'!$B$13,Paramètres!$A$1:$I$89,5,0)</f>
        <v>226.1750399999998</v>
      </c>
      <c r="CV69" s="13">
        <f t="shared" ref="CV69:CV132" si="95">EXP(-1.0587+0.8836*LN(CU69)+0.284)</f>
        <v>55.454830271544012</v>
      </c>
      <c r="CW69" s="20">
        <f t="shared" si="67"/>
        <v>490.50535738960554</v>
      </c>
      <c r="CX69" s="59">
        <f t="shared" si="68"/>
        <v>770.26496184135021</v>
      </c>
      <c r="CY69" s="59">
        <f ca="1">AVERAGE(OFFSET($CX$3,0,0,'Données projet'!$E$13+1,1))-AVERAGE(OFFSET($H$3,0,0,'Données projet'!$E$13+1,1))</f>
        <v>351.7266381615546</v>
      </c>
      <c r="CZ69" s="59">
        <f t="shared" ref="CZ69:CZ132" si="96">$CZ$3</f>
        <v>340.52483243761799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25.479793099928237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25.479793099928237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66.298073941384899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11.8</v>
      </c>
      <c r="DO69" s="12">
        <f>IF('Données projet'!$A$166&gt;35,DO68+DN69-DW68,IF(A69&lt;'Données projet'!$A$166,$DL$205^A69,IF(A69='Données projet'!$A$166,'Données projet'!$B$166,DO68+DN69-DW68)))</f>
        <v>339.79999999999995</v>
      </c>
      <c r="DP69" s="17">
        <f>DO69*VLOOKUP('Données projet'!$B$14,Paramètres!$A$1:$I$89,3,0)*VLOOKUP('Données projet'!$B$14,Paramètres!$A$1:$I$89,5,0)</f>
        <v>291.54840000000002</v>
      </c>
      <c r="DQ69" s="13">
        <f t="shared" ref="DQ69:DQ132" si="97">EXP(-1.0587+0.8836*LN(DP69)+0.284)</f>
        <v>69.40174753959208</v>
      </c>
      <c r="DR69" s="20">
        <f t="shared" si="70"/>
        <v>628.65484029812285</v>
      </c>
      <c r="DS69" s="59">
        <f t="shared" si="71"/>
        <v>908.41444474986747</v>
      </c>
      <c r="DT69" s="59">
        <f ca="1">AVERAGE(OFFSET($DS$3,0,0,'Données projet'!$E$14+1,1))-AVERAGE(OFFSET($H$3,0,0,'Données projet'!$E$14+1,1))</f>
        <v>569.21675741362196</v>
      </c>
      <c r="DU69" s="59">
        <f t="shared" ref="DU69:DU132" si="98">$DU$3</f>
        <v>321.12410801891679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25.663527263847786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25.663527263847786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66.298073941384899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5.2</v>
      </c>
      <c r="EJ69" s="12">
        <f>IF('Données projet'!$A$192&gt;35,EJ68+EI69-ER68,IF(A69&lt;'Données projet'!$A$192,$EG$205^A69,IF(A69='Données projet'!$A$192,'Données projet'!$B$192,EJ68+EI69-ER68)))</f>
        <v>345.1999999999997</v>
      </c>
      <c r="EK69" s="17">
        <f>EJ69*VLOOKUP('Données projet'!$B$15,Paramètres!$A$1:$I$89,3,0)*VLOOKUP('Données projet'!$B$15,Paramètres!$A$1:$I$89,5,0)</f>
        <v>274.64111999999977</v>
      </c>
      <c r="EL69" s="13">
        <f t="shared" ref="EL69:EL132" si="99">EXP(-1.0587+0.8836*LN(EK69)+0.284)</f>
        <v>65.833252956609641</v>
      </c>
      <c r="EM69" s="20">
        <f t="shared" si="73"/>
        <v>592.99286623276123</v>
      </c>
      <c r="EN69" s="59">
        <f t="shared" si="74"/>
        <v>872.75247068450585</v>
      </c>
      <c r="EO69" s="59">
        <f ca="1">AVERAGE(OFFSET($EN$3,0,0,'Données projet'!$E$15+1,1))-AVERAGE(OFFSET($H$3,0,0,'Données projet'!$E$15+1,1))</f>
        <v>416.63597645452791</v>
      </c>
      <c r="EP69" s="59">
        <f t="shared" ref="EP69:EP132" si="100">$EP$3</f>
        <v>402.05920382353497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38.135039174477313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38.135039174477313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66.298073941384899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4.5999999999999996</v>
      </c>
      <c r="FE69" s="12">
        <f>IF('Données projet'!$A$218&gt;35,FE68+FD69-FM68,IF(A69&lt;'Données projet'!$A$218,$FB$205^A69,IF(A69='Données projet'!$A$218,'Données projet'!$B$218,FE68+FD69-FM68)))</f>
        <v>297.59999999999985</v>
      </c>
      <c r="FF69" s="17">
        <f>FE69*VLOOKUP('Données projet'!$B$16,Paramètres!$A$1:$I$89,3,0)*VLOOKUP('Données projet'!$B$16,Paramètres!$A$1:$I$89,5,0)</f>
        <v>259.98335999999989</v>
      </c>
      <c r="FG69" s="13">
        <f t="shared" ref="FG69:FG132" si="101">EXP(-1.0587+0.8836*LN(FF69)+0.284)</f>
        <v>62.718830967388186</v>
      </c>
      <c r="FH69" s="20">
        <f t="shared" si="76"/>
        <v>562.03964926820083</v>
      </c>
      <c r="FI69" s="59">
        <f t="shared" si="77"/>
        <v>841.79925371994545</v>
      </c>
      <c r="FJ69" s="59">
        <f ca="1">AVERAGE(OFFSET($FI$3,0,0,'Données projet'!$E$16+1,1))-AVERAGE(OFFSET($H$3,0,0,'Données projet'!$E$16+1,1))</f>
        <v>395.57130469647603</v>
      </c>
      <c r="FK69" s="59">
        <f t="shared" ref="FK69:FK132" si="102">$FK$3</f>
        <v>383.97542781562674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35.744909738949538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35.744909738949538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66.298073941384899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7.8</v>
      </c>
      <c r="FZ69" s="12">
        <f>IF('Données projet'!$A$244&gt;35,FZ68+FY69-GH68,IF(A69&lt;'Données projet'!$A$244,$FW$205^A69,IF(A69='Données projet'!$A$244,'Données projet'!$B$244,FZ68+FY69-GH68)))</f>
        <v>296.79999999999995</v>
      </c>
      <c r="GA69" s="17">
        <f>FZ69*VLOOKUP('Données projet'!$B$17,Paramètres!$A$1:$I$89,3,0)*VLOOKUP('Données projet'!$B$17,Paramètres!$A$1:$I$89,5,0)</f>
        <v>231.50399999999996</v>
      </c>
      <c r="GB69" s="13">
        <f t="shared" ref="GB69:GB132" si="103">EXP(-1.0587+0.8836*LN(GA69)+0.284)</f>
        <v>56.607758031045634</v>
      </c>
      <c r="GC69" s="20">
        <f t="shared" si="79"/>
        <v>501.79464523740444</v>
      </c>
      <c r="GD69" s="59">
        <f t="shared" si="80"/>
        <v>781.55424968914906</v>
      </c>
      <c r="GE69" s="59">
        <f ca="1">AVERAGE(OFFSET($GD$3,0,0,'Données projet'!$E$17+1,1))-AVERAGE(OFFSET($H$3,0,0,'Données projet'!$E$17+1,1))</f>
        <v>301.74744407733351</v>
      </c>
      <c r="GF69" s="59">
        <f t="shared" ref="GF69:GF132" si="104">$GF$3</f>
        <v>292.46787700966991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24.695875015772572</v>
      </c>
      <c r="GM69" s="21">
        <f>EXP(-LN(2)/25)*GM68+(1-EXP(-LN(2)/25))/(LN(2)/25)*Calculateur!GH69*Calculateur!GJ69*VLOOKUP('Données projet'!$B$17,Paramètres!$A$1:$I$89,3,0)*0.475*44/12</f>
        <v>0</v>
      </c>
      <c r="GN69" s="21">
        <f>EXP(-LN(2)/2)*GN68+(1-EXP(-LN(2)/2))/(LN(2)/2)*GH69*GK69*VLOOKUP('Données projet'!$B$17,Paramètres!$A$1:$I$89,3,0)*0.475*44/12</f>
        <v>0</v>
      </c>
      <c r="GO69" s="21">
        <f t="shared" si="81"/>
        <v>24.695875015772572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66.298073941384899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5.2</v>
      </c>
      <c r="GU69" s="12">
        <f>IF('Données projet'!$A$270&gt;35,GU68+GT69-HC68,IF(A69&lt;'Données projet'!$A$270,$GR$205^A69,IF(A69='Données projet'!$A$270,'Données projet'!$B$270,GU68+GT69-HC68)))</f>
        <v>345.1999999999997</v>
      </c>
      <c r="GV69" s="17">
        <f>GU69*VLOOKUP('Données projet'!$B$18,Paramètres!$A$1:$I$89,3,0)*VLOOKUP('Données projet'!$B$18,Paramètres!$A$1:$I$89,5,0)</f>
        <v>204.63455999999985</v>
      </c>
      <c r="GW69" s="13">
        <f t="shared" ref="GW69:GW132" si="105">EXP(-1.0587+0.8836*LN(GV69)+0.284)</f>
        <v>50.761341785894238</v>
      </c>
      <c r="GX69" s="20">
        <f t="shared" si="82"/>
        <v>444.81452894376554</v>
      </c>
      <c r="GY69" s="59">
        <f t="shared" si="83"/>
        <v>724.57413339551022</v>
      </c>
      <c r="GZ69" s="59">
        <f ca="1">AVERAGE(OFFSET($GY$3,0,0,'Données projet'!$E$18+1,1))-AVERAGE(OFFSET($H$3,0,0,'Données projet'!$E$18+1,1))</f>
        <v>322.78672881269978</v>
      </c>
      <c r="HA69" s="59">
        <f t="shared" ref="HA69:HA132" si="106">$HA$3</f>
        <v>313.08736327626434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19.600486497777659</v>
      </c>
      <c r="HH69" s="21">
        <f>EXP(-LN(2)/25)*HH68+(1-EXP(-LN(2)/25))/(LN(2)/25)*Calculateur!HC69*Calculateur!HE69*VLOOKUP('Données projet'!$B$18,Paramètres!$A$1:$I$89,3,0)*0.475*44/12</f>
        <v>0</v>
      </c>
      <c r="HI69" s="21">
        <f>EXP(-LN(2)/2)*HI68+(1-EXP(-LN(2)/2))/(LN(2)/2)*HC69*HF69*VLOOKUP('Données projet'!$B$18,Paramètres!$A$1:$I$89,3,0)*0.475*44/12</f>
        <v>0</v>
      </c>
      <c r="HJ69" s="22">
        <f t="shared" si="84"/>
        <v>19.600486497777659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2.3499999999999996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8.6166666666666654</v>
      </c>
      <c r="H70" s="67">
        <f t="shared" si="56"/>
        <v>222.20000000000002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66.362294082235081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8.1999999999999993</v>
      </c>
      <c r="N70" s="13">
        <f>IF('Données projet'!$A$36&gt;35,N69+M70-V69,IF(A70&lt;'Données projet'!$A$36,$K$205^A70,IF(A70='Données projet'!$A$36,'Données projet'!$B$36,N69+M70-V69)))</f>
        <v>277.39999999999992</v>
      </c>
      <c r="O70" s="13">
        <f>N70*VLOOKUP('Données projet'!$B$9,Paramètres!$A$1:$I$89,3,0)*VLOOKUP('Données projet'!$B$9,Paramètres!$A$1:$I$89,5,0)</f>
        <v>250.99151999999992</v>
      </c>
      <c r="P70" s="13">
        <f t="shared" si="87"/>
        <v>60.798211000769349</v>
      </c>
      <c r="Q70" s="20">
        <f t="shared" si="54"/>
        <v>543.03378149300647</v>
      </c>
      <c r="R70" s="59">
        <f t="shared" si="55"/>
        <v>823.02885979453504</v>
      </c>
      <c r="S70" s="59">
        <f ca="1">AVERAGE(OFFSET($R$3,0,0,'Données projet'!$E$9+1,1))-AVERAGE(OFFSET($H$3,0,0,'Données projet'!$E$9+1,1))</f>
        <v>473.88815717313474</v>
      </c>
      <c r="T70" s="59">
        <f t="shared" si="88"/>
        <v>287.19790203552895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17.221198265973207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17.221198265973207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66.362294082235081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8.1999999999999993</v>
      </c>
      <c r="AI70" s="13">
        <f>IF('Données projet'!$A$62&gt;35,AI69+AH70-AQ69,IF(A70&lt;'Données projet'!$A$62,$AF$205^A70,IF(A70='Données projet'!$A$62,'Données projet'!$B$62,AI69+AH70-AQ69)))</f>
        <v>277.39999999999992</v>
      </c>
      <c r="AJ70" s="13">
        <f>AI70*VLOOKUP('Données projet'!$B$10,Paramètres!$A$1:$I$89,3,0)*VLOOKUP('Données projet'!$B$10,Paramètres!$A$1:$I$89,5,0)</f>
        <v>233.68175999999994</v>
      </c>
      <c r="AK70" s="13">
        <f t="shared" si="89"/>
        <v>57.078026837098335</v>
      </c>
      <c r="AL70" s="20">
        <f t="shared" si="58"/>
        <v>506.40662874127946</v>
      </c>
      <c r="AM70" s="59">
        <f t="shared" si="59"/>
        <v>786.40170704280808</v>
      </c>
      <c r="AN70" s="59">
        <f ca="1">AVERAGE(OFFSET($AM$3,0,0,'Données projet'!$E$10+1,1))-AVERAGE(OFFSET($H$3,0,0,'Données projet'!$E$10+1,1))</f>
        <v>445.19118535527258</v>
      </c>
      <c r="AO70" s="59">
        <f t="shared" si="90"/>
        <v>270.93483242839363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16.033529420044026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16.033529420044026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66.362294082235081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8.1999999999999993</v>
      </c>
      <c r="BD70" s="12">
        <f>IF('Données projet'!$A$88&gt;35,BD69+BC70-BL69,IF(A70&lt;'Données projet'!$A$88,$BA$205^A70,IF(A70='Données projet'!$A$88,'Données projet'!$B$88,BD69+BC70-BL69)))</f>
        <v>277.39999999999992</v>
      </c>
      <c r="BE70" s="13">
        <f>BD70*VLOOKUP('Données projet'!$B$11,Paramètres!$A$1:$I$89,3,0)*VLOOKUP('Données projet'!$B$11,Paramètres!$A$1:$I$89,5,0)</f>
        <v>281.28359999999992</v>
      </c>
      <c r="BF70" s="13">
        <f t="shared" si="91"/>
        <v>67.238198209347928</v>
      </c>
      <c r="BG70" s="20">
        <f t="shared" si="61"/>
        <v>607.00879854794744</v>
      </c>
      <c r="BH70" s="59">
        <f t="shared" si="62"/>
        <v>887.003876849476</v>
      </c>
      <c r="BI70" s="59">
        <f ca="1">AVERAGE(OFFSET($BH$3,0,0,'Données projet'!$E$11+1,1))-AVERAGE(OFFSET($H$3,0,0,'Données projet'!$E$11+1,1))</f>
        <v>524.01140973345832</v>
      </c>
      <c r="BJ70" s="59">
        <f t="shared" si="92"/>
        <v>315.59942237999621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19.299618746349285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19.299618746349285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66.362294082235081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5.2</v>
      </c>
      <c r="BY70" s="12">
        <f>IF('Données projet'!$A$114&gt;35,BY69+BX70-CG69,IF(A70&lt;'Données projet'!$A$114,$BV$205^A70,IF(A70='Données projet'!$A$114,'Données projet'!$B$114,BY69+BX70-CG69)))</f>
        <v>350.39999999999969</v>
      </c>
      <c r="BZ70" s="13">
        <f>BY70*VLOOKUP('Données projet'!$B$12,Paramètres!$A$1:$I$89,3,0)*VLOOKUP('Données projet'!$B$12,Paramètres!$A$1:$I$89,5,0)</f>
        <v>235.04831999999979</v>
      </c>
      <c r="CA70" s="13">
        <f t="shared" si="93"/>
        <v>57.37286319059664</v>
      </c>
      <c r="CB70" s="20">
        <f t="shared" si="64"/>
        <v>509.30022739028874</v>
      </c>
      <c r="CC70" s="59">
        <f t="shared" si="65"/>
        <v>789.29530569181736</v>
      </c>
      <c r="CD70" s="59">
        <f ca="1">AVERAGE(OFFSET($CC$3,0,0,'Données projet'!$E$12+1,1))-AVERAGE(OFFSET($H$3,0,0,'Données projet'!$E$12+1,1))</f>
        <v>358.95222991910504</v>
      </c>
      <c r="CE70" s="59">
        <f t="shared" si="94"/>
        <v>347.37506646970905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19.207704784202061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19.207704784202061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66.362294082235081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5.2</v>
      </c>
      <c r="CT70" s="12">
        <f>IF('Données projet'!$A$140&gt;35,CT69+CS70-DB69,IF(A70&lt;'Données projet'!$A$140,$CQ$205^A70,IF(A70='Données projet'!$A$140,'Données projet'!$B$140,CT69+CS70-DB69)))</f>
        <v>350.39999999999969</v>
      </c>
      <c r="CU70" s="17">
        <f>CT70*VLOOKUP('Données projet'!$B$13,Paramètres!$A$1:$I$89,3,0)*VLOOKUP('Données projet'!$B$13,Paramètres!$A$1:$I$89,5,0)</f>
        <v>229.58207999999979</v>
      </c>
      <c r="CV70" s="13">
        <f t="shared" si="95"/>
        <v>56.192307893526412</v>
      </c>
      <c r="CW70" s="20">
        <f t="shared" si="67"/>
        <v>497.72372558122476</v>
      </c>
      <c r="CX70" s="59">
        <f t="shared" si="68"/>
        <v>777.71880388275338</v>
      </c>
      <c r="CY70" s="59">
        <f ca="1">AVERAGE(OFFSET($CX$3,0,0,'Données projet'!$E$13+1,1))-AVERAGE(OFFSET($H$3,0,0,'Données projet'!$E$13+1,1))</f>
        <v>351.7266381615546</v>
      </c>
      <c r="CZ70" s="59">
        <f t="shared" si="96"/>
        <v>340.52483243761799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24.980149898377874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24.980149898377874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66.362294082235081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11.8</v>
      </c>
      <c r="DO70" s="12">
        <f>IF('Données projet'!$A$166&gt;35,DO69+DN70-DW69,IF(A70&lt;'Données projet'!$A$166,$DL$205^A70,IF(A70='Données projet'!$A$166,'Données projet'!$B$166,DO69+DN70-DW69)))</f>
        <v>351.59999999999997</v>
      </c>
      <c r="DP70" s="17">
        <f>DO70*VLOOKUP('Données projet'!$B$14,Paramètres!$A$1:$I$89,3,0)*VLOOKUP('Données projet'!$B$14,Paramètres!$A$1:$I$89,5,0)</f>
        <v>301.6728</v>
      </c>
      <c r="DQ70" s="13">
        <f t="shared" si="97"/>
        <v>71.527033039285058</v>
      </c>
      <c r="DR70" s="20">
        <f t="shared" si="70"/>
        <v>649.98970921008811</v>
      </c>
      <c r="DS70" s="59">
        <f t="shared" si="71"/>
        <v>929.98478751161679</v>
      </c>
      <c r="DT70" s="59">
        <f ca="1">AVERAGE(OFFSET($DS$3,0,0,'Données projet'!$E$14+1,1))-AVERAGE(OFFSET($H$3,0,0,'Données projet'!$E$14+1,1))</f>
        <v>569.21675741362196</v>
      </c>
      <c r="DU70" s="59">
        <f t="shared" si="98"/>
        <v>321.12410801891679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25.160281147409737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25.160281147409737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66.362294082235081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5.2</v>
      </c>
      <c r="EJ70" s="12">
        <f>IF('Données projet'!$A$192&gt;35,EJ69+EI70-ER69,IF(A70&lt;'Données projet'!$A$192,$EG$205^A70,IF(A70='Données projet'!$A$192,'Données projet'!$B$192,EJ69+EI70-ER69)))</f>
        <v>350.39999999999969</v>
      </c>
      <c r="EK70" s="17">
        <f>EJ70*VLOOKUP('Données projet'!$B$15,Paramètres!$A$1:$I$89,3,0)*VLOOKUP('Données projet'!$B$15,Paramètres!$A$1:$I$89,5,0)</f>
        <v>278.77823999999976</v>
      </c>
      <c r="EL70" s="13">
        <f t="shared" si="99"/>
        <v>66.70875019643654</v>
      </c>
      <c r="EM70" s="20">
        <f t="shared" si="73"/>
        <v>601.7231745921265</v>
      </c>
      <c r="EN70" s="59">
        <f t="shared" si="74"/>
        <v>881.71825289365506</v>
      </c>
      <c r="EO70" s="59">
        <f ca="1">AVERAGE(OFFSET($EN$3,0,0,'Données projet'!$E$15+1,1))-AVERAGE(OFFSET($H$3,0,0,'Données projet'!$E$15+1,1))</f>
        <v>416.63597645452791</v>
      </c>
      <c r="EP70" s="59">
        <f t="shared" si="100"/>
        <v>402.05920382353497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37.387234316342969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37.387234316342969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66.362294082235081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4.5999999999999996</v>
      </c>
      <c r="FE70" s="12">
        <f>IF('Données projet'!$A$218&gt;35,FE69+FD70-FM69,IF(A70&lt;'Données projet'!$A$218,$FB$205^A70,IF(A70='Données projet'!$A$218,'Données projet'!$B$218,FE69+FD70-FM69)))</f>
        <v>302.19999999999987</v>
      </c>
      <c r="FF70" s="17">
        <f>FE70*VLOOKUP('Données projet'!$B$16,Paramètres!$A$1:$I$89,3,0)*VLOOKUP('Données projet'!$B$16,Paramètres!$A$1:$I$89,5,0)</f>
        <v>264.00191999999993</v>
      </c>
      <c r="FG70" s="13">
        <f t="shared" si="101"/>
        <v>63.574665748345318</v>
      </c>
      <c r="FH70" s="20">
        <f t="shared" si="76"/>
        <v>570.52922017836795</v>
      </c>
      <c r="FI70" s="59">
        <f t="shared" si="77"/>
        <v>850.52429847989652</v>
      </c>
      <c r="FJ70" s="59">
        <f ca="1">AVERAGE(OFFSET($FI$3,0,0,'Données projet'!$E$16+1,1))-AVERAGE(OFFSET($H$3,0,0,'Données projet'!$E$16+1,1))</f>
        <v>395.57130469647603</v>
      </c>
      <c r="FK70" s="59">
        <f t="shared" si="102"/>
        <v>383.97542781562674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35.043973861210887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35.043973861210887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66.362294082235081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7.8</v>
      </c>
      <c r="FZ70" s="12">
        <f>IF('Données projet'!$A$244&gt;35,FZ69+FY70-GH69,IF(A70&lt;'Données projet'!$A$244,$FW$205^A70,IF(A70='Données projet'!$A$244,'Données projet'!$B$244,FZ69+FY70-GH69)))</f>
        <v>304.59999999999997</v>
      </c>
      <c r="GA70" s="17">
        <f>FZ70*VLOOKUP('Données projet'!$B$17,Paramètres!$A$1:$I$89,3,0)*VLOOKUP('Données projet'!$B$17,Paramètres!$A$1:$I$89,5,0)</f>
        <v>237.58799999999999</v>
      </c>
      <c r="GB70" s="13">
        <f t="shared" si="103"/>
        <v>57.920272249996003</v>
      </c>
      <c r="GC70" s="20">
        <f t="shared" si="79"/>
        <v>514.67690750207646</v>
      </c>
      <c r="GD70" s="59">
        <f t="shared" si="80"/>
        <v>794.67198580360514</v>
      </c>
      <c r="GE70" s="59">
        <f ca="1">AVERAGE(OFFSET($GD$3,0,0,'Données projet'!$E$17+1,1))-AVERAGE(OFFSET($H$3,0,0,'Données projet'!$E$17+1,1))</f>
        <v>301.74744407733351</v>
      </c>
      <c r="GF70" s="59">
        <f t="shared" si="104"/>
        <v>292.46787700966991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24.211603969709685</v>
      </c>
      <c r="GM70" s="21">
        <f>EXP(-LN(2)/25)*GM69+(1-EXP(-LN(2)/25))/(LN(2)/25)*Calculateur!GH70*Calculateur!GJ70*VLOOKUP('Données projet'!$B$17,Paramètres!$A$1:$I$89,3,0)*0.475*44/12</f>
        <v>0</v>
      </c>
      <c r="GN70" s="21">
        <f>EXP(-LN(2)/2)*GN69+(1-EXP(-LN(2)/2))/(LN(2)/2)*GH70*GK70*VLOOKUP('Données projet'!$B$17,Paramètres!$A$1:$I$89,3,0)*0.475*44/12</f>
        <v>0</v>
      </c>
      <c r="GO70" s="21">
        <f t="shared" si="81"/>
        <v>24.211603969709685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66.362294082235081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5.2</v>
      </c>
      <c r="GU70" s="12">
        <f>IF('Données projet'!$A$270&gt;35,GU69+GT70-HC69,IF(A70&lt;'Données projet'!$A$270,$GR$205^A70,IF(A70='Données projet'!$A$270,'Données projet'!$B$270,GU69+GT70-HC69)))</f>
        <v>350.39999999999969</v>
      </c>
      <c r="GV70" s="17">
        <f>GU70*VLOOKUP('Données projet'!$B$18,Paramètres!$A$1:$I$89,3,0)*VLOOKUP('Données projet'!$B$18,Paramètres!$A$1:$I$89,5,0)</f>
        <v>207.7171199999998</v>
      </c>
      <c r="GW70" s="13">
        <f t="shared" si="105"/>
        <v>51.436402072718458</v>
      </c>
      <c r="GX70" s="20">
        <f t="shared" si="82"/>
        <v>451.35905094331764</v>
      </c>
      <c r="GY70" s="59">
        <f t="shared" si="83"/>
        <v>731.35412924484626</v>
      </c>
      <c r="GZ70" s="59">
        <f ca="1">AVERAGE(OFFSET($GY$3,0,0,'Données projet'!$E$18+1,1))-AVERAGE(OFFSET($H$3,0,0,'Données projet'!$E$18+1,1))</f>
        <v>322.78672881269978</v>
      </c>
      <c r="HA70" s="59">
        <f t="shared" si="106"/>
        <v>313.08736327626434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19.216132912672535</v>
      </c>
      <c r="HH70" s="21">
        <f>EXP(-LN(2)/25)*HH69+(1-EXP(-LN(2)/25))/(LN(2)/25)*Calculateur!HC70*Calculateur!HE70*VLOOKUP('Données projet'!$B$18,Paramètres!$A$1:$I$89,3,0)*0.475*44/12</f>
        <v>0</v>
      </c>
      <c r="HI70" s="21">
        <f>EXP(-LN(2)/2)*HI69+(1-EXP(-LN(2)/2))/(LN(2)/2)*HC70*HF70*VLOOKUP('Données projet'!$B$18,Paramètres!$A$1:$I$89,3,0)*0.475*44/12</f>
        <v>0</v>
      </c>
      <c r="HJ70" s="22">
        <f t="shared" si="84"/>
        <v>19.216132912672535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2.3499999999999996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8.6166666666666654</v>
      </c>
      <c r="H71" s="67">
        <f t="shared" si="56"/>
        <v>222.20000000000002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66.425400147216223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8.1999999999999993</v>
      </c>
      <c r="N71" s="13">
        <f>IF('Données projet'!$A$36&gt;35,N70+M71-V70,IF(A71&lt;'Données projet'!$A$36,$K$205^A71,IF(A71='Données projet'!$A$36,'Données projet'!$B$36,N70+M71-V70)))</f>
        <v>285.59999999999991</v>
      </c>
      <c r="O71" s="13">
        <f>N71*VLOOKUP('Données projet'!$B$9,Paramètres!$A$1:$I$89,3,0)*VLOOKUP('Données projet'!$B$9,Paramètres!$A$1:$I$89,5,0)</f>
        <v>258.41087999999991</v>
      </c>
      <c r="P71" s="13">
        <f t="shared" si="87"/>
        <v>62.383521020316756</v>
      </c>
      <c r="Q71" s="20">
        <f t="shared" si="54"/>
        <v>558.71691511038478</v>
      </c>
      <c r="R71" s="59">
        <f t="shared" si="55"/>
        <v>838.94338231684424</v>
      </c>
      <c r="S71" s="59">
        <f ca="1">AVERAGE(OFFSET($R$3,0,0,'Données projet'!$E$9+1,1))-AVERAGE(OFFSET($H$3,0,0,'Données projet'!$E$9+1,1))</f>
        <v>473.88815717313474</v>
      </c>
      <c r="T71" s="59">
        <f t="shared" si="88"/>
        <v>287.19790203552895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16.88350107187124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16.88350107187124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66.425400147216223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8.1999999999999993</v>
      </c>
      <c r="AI71" s="13">
        <f>IF('Données projet'!$A$62&gt;35,AI70+AH71-AQ70,IF(A71&lt;'Données projet'!$A$62,$AF$205^A71,IF(A71='Données projet'!$A$62,'Données projet'!$B$62,AI70+AH71-AQ70)))</f>
        <v>285.59999999999991</v>
      </c>
      <c r="AJ71" s="13">
        <f>AI71*VLOOKUP('Données projet'!$B$10,Paramètres!$A$1:$I$89,3,0)*VLOOKUP('Données projet'!$B$10,Paramètres!$A$1:$I$89,5,0)</f>
        <v>240.58943999999994</v>
      </c>
      <c r="AK71" s="13">
        <f t="shared" si="89"/>
        <v>58.56633325847811</v>
      </c>
      <c r="AL71" s="20">
        <f t="shared" si="58"/>
        <v>521.02963842518261</v>
      </c>
      <c r="AM71" s="59">
        <f t="shared" si="59"/>
        <v>801.25610563164219</v>
      </c>
      <c r="AN71" s="59">
        <f ca="1">AVERAGE(OFFSET($AM$3,0,0,'Données projet'!$E$10+1,1))-AVERAGE(OFFSET($H$3,0,0,'Données projet'!$E$10+1,1))</f>
        <v>445.19118535527258</v>
      </c>
      <c r="AO71" s="59">
        <f t="shared" si="90"/>
        <v>270.93483242839363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15.719121687604265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15.719121687604265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66.425400147216223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8.1999999999999993</v>
      </c>
      <c r="BD71" s="12">
        <f>IF('Données projet'!$A$88&gt;35,BD70+BC71-BL70,IF(A71&lt;'Données projet'!$A$88,$BA$205^A71,IF(A71='Données projet'!$A$88,'Données projet'!$B$88,BD70+BC71-BL70)))</f>
        <v>285.59999999999991</v>
      </c>
      <c r="BE71" s="13">
        <f>BD71*VLOOKUP('Données projet'!$B$11,Paramètres!$A$1:$I$89,3,0)*VLOOKUP('Données projet'!$B$11,Paramètres!$A$1:$I$89,5,0)</f>
        <v>289.59839999999997</v>
      </c>
      <c r="BF71" s="13">
        <f t="shared" si="91"/>
        <v>68.991430542388798</v>
      </c>
      <c r="BG71" s="20">
        <f t="shared" si="61"/>
        <v>624.54395486132705</v>
      </c>
      <c r="BH71" s="59">
        <f t="shared" si="62"/>
        <v>904.77042206778651</v>
      </c>
      <c r="BI71" s="59">
        <f ca="1">AVERAGE(OFFSET($BH$3,0,0,'Données projet'!$E$11+1,1))-AVERAGE(OFFSET($H$3,0,0,'Données projet'!$E$11+1,1))</f>
        <v>524.01140973345832</v>
      </c>
      <c r="BJ71" s="59">
        <f t="shared" si="92"/>
        <v>315.59942237999621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18.921164994338461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18.921164994338461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66.425400147216223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5.2</v>
      </c>
      <c r="BY71" s="12">
        <f>IF('Données projet'!$A$114&gt;35,BY70+BX71-CG70,IF(A71&lt;'Données projet'!$A$114,$BV$205^A71,IF(A71='Données projet'!$A$114,'Données projet'!$B$114,BY70+BX71-CG70)))</f>
        <v>355.59999999999968</v>
      </c>
      <c r="BZ71" s="13">
        <f>BY71*VLOOKUP('Données projet'!$B$12,Paramètres!$A$1:$I$89,3,0)*VLOOKUP('Données projet'!$B$12,Paramètres!$A$1:$I$89,5,0)</f>
        <v>238.53647999999981</v>
      </c>
      <c r="CA71" s="13">
        <f t="shared" si="93"/>
        <v>58.124535017142684</v>
      </c>
      <c r="CB71" s="20">
        <f t="shared" si="64"/>
        <v>516.68460115485652</v>
      </c>
      <c r="CC71" s="59">
        <f t="shared" si="65"/>
        <v>796.91106836131598</v>
      </c>
      <c r="CD71" s="59">
        <f ca="1">AVERAGE(OFFSET($CC$3,0,0,'Données projet'!$E$12+1,1))-AVERAGE(OFFSET($H$3,0,0,'Données projet'!$E$12+1,1))</f>
        <v>358.95222991910504</v>
      </c>
      <c r="CE71" s="59">
        <f t="shared" si="94"/>
        <v>347.37506646970905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18.831053408926962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18.831053408926962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66.425400147216223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5.2</v>
      </c>
      <c r="CT71" s="12">
        <f>IF('Données projet'!$A$140&gt;35,CT70+CS71-DB70,IF(A71&lt;'Données projet'!$A$140,$CQ$205^A71,IF(A71='Données projet'!$A$140,'Données projet'!$B$140,CT70+CS71-DB70)))</f>
        <v>355.59999999999968</v>
      </c>
      <c r="CU71" s="17">
        <f>CT71*VLOOKUP('Données projet'!$B$13,Paramètres!$A$1:$I$89,3,0)*VLOOKUP('Données projet'!$B$13,Paramètres!$A$1:$I$89,5,0)</f>
        <v>232.98911999999979</v>
      </c>
      <c r="CV71" s="13">
        <f t="shared" si="95"/>
        <v>56.928512648932127</v>
      </c>
      <c r="CW71" s="20">
        <f t="shared" si="67"/>
        <v>504.93987686355644</v>
      </c>
      <c r="CX71" s="59">
        <f t="shared" si="68"/>
        <v>785.16634407001595</v>
      </c>
      <c r="CY71" s="59">
        <f ca="1">AVERAGE(OFFSET($CX$3,0,0,'Données projet'!$E$13+1,1))-AVERAGE(OFFSET($H$3,0,0,'Données projet'!$E$13+1,1))</f>
        <v>351.7266381615546</v>
      </c>
      <c r="CZ71" s="59">
        <f t="shared" si="96"/>
        <v>340.52483243761799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24.490304395257652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24.490304395257652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66.425400147216223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11.8</v>
      </c>
      <c r="DO71" s="12">
        <f>IF('Données projet'!$A$166&gt;35,DO70+DN71-DW70,IF(A71&lt;'Données projet'!$A$166,$DL$205^A71,IF(A71='Données projet'!$A$166,'Données projet'!$B$166,DO70+DN71-DW70)))</f>
        <v>363.4</v>
      </c>
      <c r="DP71" s="17">
        <f>DO71*VLOOKUP('Données projet'!$B$14,Paramètres!$A$1:$I$89,3,0)*VLOOKUP('Données projet'!$B$14,Paramètres!$A$1:$I$89,5,0)</f>
        <v>311.79720000000003</v>
      </c>
      <c r="DQ71" s="13">
        <f t="shared" si="97"/>
        <v>73.644030695714719</v>
      </c>
      <c r="DR71" s="20">
        <f t="shared" si="70"/>
        <v>671.31014346170321</v>
      </c>
      <c r="DS71" s="59">
        <f t="shared" si="71"/>
        <v>951.53661066816267</v>
      </c>
      <c r="DT71" s="59">
        <f ca="1">AVERAGE(OFFSET($DS$3,0,0,'Données projet'!$E$14+1,1))-AVERAGE(OFFSET($H$3,0,0,'Données projet'!$E$14+1,1))</f>
        <v>569.21675741362196</v>
      </c>
      <c r="DU71" s="59">
        <f t="shared" si="98"/>
        <v>321.12410801891679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24.666903380365216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24.666903380365216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66.425400147216223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5.2</v>
      </c>
      <c r="EJ71" s="12">
        <f>IF('Données projet'!$A$192&gt;35,EJ70+EI71-ER70,IF(A71&lt;'Données projet'!$A$192,$EG$205^A71,IF(A71='Données projet'!$A$192,'Données projet'!$B$192,EJ70+EI71-ER70)))</f>
        <v>355.59999999999968</v>
      </c>
      <c r="EK71" s="17">
        <f>EJ71*VLOOKUP('Données projet'!$B$15,Paramètres!$A$1:$I$89,3,0)*VLOOKUP('Données projet'!$B$15,Paramètres!$A$1:$I$89,5,0)</f>
        <v>282.91535999999979</v>
      </c>
      <c r="EL71" s="13">
        <f t="shared" si="99"/>
        <v>67.582736351531807</v>
      </c>
      <c r="EM71" s="20">
        <f t="shared" si="73"/>
        <v>610.45085114558412</v>
      </c>
      <c r="EN71" s="59">
        <f t="shared" si="74"/>
        <v>890.67731835204359</v>
      </c>
      <c r="EO71" s="59">
        <f ca="1">AVERAGE(OFFSET($EN$3,0,0,'Données projet'!$E$15+1,1))-AVERAGE(OFFSET($H$3,0,0,'Données projet'!$E$15+1,1))</f>
        <v>416.63597645452791</v>
      </c>
      <c r="EP71" s="59">
        <f t="shared" si="100"/>
        <v>402.05920382353497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36.654093455360709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36.654093455360709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66.425400147216223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4.5999999999999996</v>
      </c>
      <c r="FE71" s="12">
        <f>IF('Données projet'!$A$218&gt;35,FE70+FD71-FM70,IF(A71&lt;'Données projet'!$A$218,$FB$205^A71,IF(A71='Données projet'!$A$218,'Données projet'!$B$218,FE70+FD71-FM70)))</f>
        <v>306.7999999999999</v>
      </c>
      <c r="FF71" s="17">
        <f>FE71*VLOOKUP('Données projet'!$B$16,Paramètres!$A$1:$I$89,3,0)*VLOOKUP('Données projet'!$B$16,Paramètres!$A$1:$I$89,5,0)</f>
        <v>268.02047999999996</v>
      </c>
      <c r="FG71" s="13">
        <f t="shared" si="101"/>
        <v>64.42898543616613</v>
      </c>
      <c r="FH71" s="20">
        <f t="shared" si="76"/>
        <v>579.01615230132256</v>
      </c>
      <c r="FI71" s="59">
        <f t="shared" si="77"/>
        <v>859.24261950778214</v>
      </c>
      <c r="FJ71" s="59">
        <f ca="1">AVERAGE(OFFSET($FI$3,0,0,'Données projet'!$E$16+1,1))-AVERAGE(OFFSET($H$3,0,0,'Données projet'!$E$16+1,1))</f>
        <v>395.57130469647603</v>
      </c>
      <c r="FK71" s="59">
        <f t="shared" si="102"/>
        <v>383.97542781562674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34.35678290850602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34.35678290850602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66.425400147216223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7.8</v>
      </c>
      <c r="FZ71" s="12">
        <f>IF('Données projet'!$A$244&gt;35,FZ70+FY71-GH70,IF(A71&lt;'Données projet'!$A$244,$FW$205^A71,IF(A71='Données projet'!$A$244,'Données projet'!$B$244,FZ70+FY71-GH70)))</f>
        <v>312.39999999999998</v>
      </c>
      <c r="GA71" s="17">
        <f>FZ71*VLOOKUP('Données projet'!$B$17,Paramètres!$A$1:$I$89,3,0)*VLOOKUP('Données projet'!$B$17,Paramètres!$A$1:$I$89,5,0)</f>
        <v>243.672</v>
      </c>
      <c r="GB71" s="13">
        <f t="shared" si="103"/>
        <v>59.228879636606152</v>
      </c>
      <c r="GC71" s="20">
        <f t="shared" si="79"/>
        <v>527.55236536708901</v>
      </c>
      <c r="GD71" s="59">
        <f t="shared" si="80"/>
        <v>807.77883257354847</v>
      </c>
      <c r="GE71" s="59">
        <f ca="1">AVERAGE(OFFSET($GD$3,0,0,'Données projet'!$E$17+1,1))-AVERAGE(OFFSET($H$3,0,0,'Données projet'!$E$17+1,1))</f>
        <v>301.74744407733351</v>
      </c>
      <c r="GF71" s="59">
        <f t="shared" si="104"/>
        <v>292.46787700966991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23.73682918348392</v>
      </c>
      <c r="GM71" s="21">
        <f>EXP(-LN(2)/25)*GM70+(1-EXP(-LN(2)/25))/(LN(2)/25)*Calculateur!GH71*Calculateur!GJ71*VLOOKUP('Données projet'!$B$17,Paramètres!$A$1:$I$89,3,0)*0.475*44/12</f>
        <v>0</v>
      </c>
      <c r="GN71" s="21">
        <f>EXP(-LN(2)/2)*GN70+(1-EXP(-LN(2)/2))/(LN(2)/2)*GH71*GK71*VLOOKUP('Données projet'!$B$17,Paramètres!$A$1:$I$89,3,0)*0.475*44/12</f>
        <v>0</v>
      </c>
      <c r="GO71" s="21">
        <f t="shared" si="81"/>
        <v>23.73682918348392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66.425400147216223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5.2</v>
      </c>
      <c r="GU71" s="12">
        <f>IF('Données projet'!$A$270&gt;35,GU70+GT71-HC70,IF(A71&lt;'Données projet'!$A$270,$GR$205^A71,IF(A71='Données projet'!$A$270,'Données projet'!$B$270,GU70+GT71-HC70)))</f>
        <v>355.59999999999968</v>
      </c>
      <c r="GV71" s="17">
        <f>GU71*VLOOKUP('Données projet'!$B$18,Paramètres!$A$1:$I$89,3,0)*VLOOKUP('Données projet'!$B$18,Paramètres!$A$1:$I$89,5,0)</f>
        <v>210.7996799999998</v>
      </c>
      <c r="GW71" s="13">
        <f t="shared" si="105"/>
        <v>52.110297223610786</v>
      </c>
      <c r="GX71" s="20">
        <f t="shared" si="82"/>
        <v>457.90154366445501</v>
      </c>
      <c r="GY71" s="59">
        <f t="shared" si="83"/>
        <v>738.12801087091452</v>
      </c>
      <c r="GZ71" s="59">
        <f ca="1">AVERAGE(OFFSET($GY$3,0,0,'Données projet'!$E$18+1,1))-AVERAGE(OFFSET($H$3,0,0,'Données projet'!$E$18+1,1))</f>
        <v>322.78672881269978</v>
      </c>
      <c r="HA71" s="59">
        <f t="shared" si="106"/>
        <v>313.08736327626434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projet'!$B$18,Paramètres!$A$1:$I$89,3,0)*0.475*44/12</f>
        <v>18.839316266938781</v>
      </c>
      <c r="HH71" s="21">
        <f>EXP(-LN(2)/25)*HH70+(1-EXP(-LN(2)/25))/(LN(2)/25)*Calculateur!HC71*Calculateur!HE71*VLOOKUP('Données projet'!$B$18,Paramètres!$A$1:$I$89,3,0)*0.475*44/12</f>
        <v>0</v>
      </c>
      <c r="HI71" s="21">
        <f>EXP(-LN(2)/2)*HI70+(1-EXP(-LN(2)/2))/(LN(2)/2)*HC71*HF71*VLOOKUP('Données projet'!$B$18,Paramètres!$A$1:$I$89,3,0)*0.475*44/12</f>
        <v>0</v>
      </c>
      <c r="HJ71" s="22">
        <f t="shared" si="84"/>
        <v>18.839316266938781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2.3499999999999996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8.6166666666666654</v>
      </c>
      <c r="H72" s="67">
        <f t="shared" si="56"/>
        <v>222.20000000000002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66.487411463053988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8.1999999999999993</v>
      </c>
      <c r="N72" s="13">
        <f>IF('Données projet'!$A$36&gt;35,N71+M72-V71,IF(A72&lt;'Données projet'!$A$36,$K$205^A72,IF(A72='Données projet'!$A$36,'Données projet'!$B$36,N71+M72-V71)))</f>
        <v>293.7999999999999</v>
      </c>
      <c r="O72" s="13">
        <f>N72*VLOOKUP('Données projet'!$B$9,Paramètres!$A$1:$I$89,3,0)*VLOOKUP('Données projet'!$B$9,Paramètres!$A$1:$I$89,5,0)</f>
        <v>265.83023999999989</v>
      </c>
      <c r="P72" s="13">
        <f t="shared" si="87"/>
        <v>63.963540982526439</v>
      </c>
      <c r="Q72" s="20">
        <f t="shared" si="54"/>
        <v>574.39083521123325</v>
      </c>
      <c r="R72" s="59">
        <f t="shared" si="55"/>
        <v>854.8446772424312</v>
      </c>
      <c r="S72" s="59">
        <f ca="1">AVERAGE(OFFSET($R$3,0,0,'Données projet'!$E$9+1,1))-AVERAGE(OFFSET($H$3,0,0,'Données projet'!$E$9+1,1))</f>
        <v>473.88815717313474</v>
      </c>
      <c r="T72" s="59">
        <f t="shared" si="88"/>
        <v>287.19790203552895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16.552425913770666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16.552425913770666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66.487411463053988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8.1999999999999993</v>
      </c>
      <c r="AI72" s="13">
        <f>IF('Données projet'!$A$62&gt;35,AI71+AH72-AQ71,IF(A72&lt;'Données projet'!$A$62,$AF$205^A72,IF(A72='Données projet'!$A$62,'Données projet'!$B$62,AI71+AH72-AQ71)))</f>
        <v>293.7999999999999</v>
      </c>
      <c r="AJ72" s="13">
        <f>AI72*VLOOKUP('Données projet'!$B$10,Paramètres!$A$1:$I$89,3,0)*VLOOKUP('Données projet'!$B$10,Paramètres!$A$1:$I$89,5,0)</f>
        <v>247.49711999999994</v>
      </c>
      <c r="AK72" s="13">
        <f t="shared" si="89"/>
        <v>60.049673316050104</v>
      </c>
      <c r="AL72" s="20">
        <f t="shared" si="58"/>
        <v>535.64399835878714</v>
      </c>
      <c r="AM72" s="59">
        <f t="shared" si="59"/>
        <v>816.09784038998509</v>
      </c>
      <c r="AN72" s="59">
        <f ca="1">AVERAGE(OFFSET($AM$3,0,0,'Données projet'!$E$10+1,1))-AVERAGE(OFFSET($H$3,0,0,'Données projet'!$E$10+1,1))</f>
        <v>445.19118535527258</v>
      </c>
      <c r="AO72" s="59">
        <f t="shared" si="90"/>
        <v>270.93483242839363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15.410879299027865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15.410879299027865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66.487411463053988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8.1999999999999993</v>
      </c>
      <c r="BD72" s="12">
        <f>IF('Données projet'!$A$88&gt;35,BD71+BC72-BL71,IF(A72&lt;'Données projet'!$A$88,$BA$205^A72,IF(A72='Données projet'!$A$88,'Données projet'!$B$88,BD71+BC72-BL71)))</f>
        <v>293.7999999999999</v>
      </c>
      <c r="BE72" s="13">
        <f>BD72*VLOOKUP('Données projet'!$B$11,Paramètres!$A$1:$I$89,3,0)*VLOOKUP('Données projet'!$B$11,Paramètres!$A$1:$I$89,5,0)</f>
        <v>297.9131999999999</v>
      </c>
      <c r="BF72" s="13">
        <f t="shared" si="91"/>
        <v>70.73881247427552</v>
      </c>
      <c r="BG72" s="20">
        <f t="shared" si="61"/>
        <v>642.06892172602966</v>
      </c>
      <c r="BH72" s="59">
        <f t="shared" si="62"/>
        <v>922.52276375722761</v>
      </c>
      <c r="BI72" s="59">
        <f ca="1">AVERAGE(OFFSET($BH$3,0,0,'Données projet'!$E$11+1,1))-AVERAGE(OFFSET($H$3,0,0,'Données projet'!$E$11+1,1))</f>
        <v>524.01140973345832</v>
      </c>
      <c r="BJ72" s="59">
        <f t="shared" si="92"/>
        <v>315.59942237999621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18.550132489570576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18.550132489570576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66.487411463053988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5.2</v>
      </c>
      <c r="BY72" s="12">
        <f>IF('Données projet'!$A$114&gt;35,BY71+BX72-CG71,IF(A72&lt;'Données projet'!$A$114,$BV$205^A72,IF(A72='Données projet'!$A$114,'Données projet'!$B$114,BY71+BX72-CG71)))</f>
        <v>360.79999999999967</v>
      </c>
      <c r="BZ72" s="13">
        <f>BY72*VLOOKUP('Données projet'!$B$12,Paramètres!$A$1:$I$89,3,0)*VLOOKUP('Données projet'!$B$12,Paramètres!$A$1:$I$89,5,0)</f>
        <v>242.02463999999981</v>
      </c>
      <c r="CA72" s="13">
        <f t="shared" si="93"/>
        <v>58.874928435191691</v>
      </c>
      <c r="CB72" s="20">
        <f t="shared" si="64"/>
        <v>524.06674835795855</v>
      </c>
      <c r="CC72" s="59">
        <f t="shared" si="65"/>
        <v>804.5205903891565</v>
      </c>
      <c r="CD72" s="59">
        <f ca="1">AVERAGE(OFFSET($CC$3,0,0,'Données projet'!$E$12+1,1))-AVERAGE(OFFSET($H$3,0,0,'Données projet'!$E$12+1,1))</f>
        <v>358.95222991910504</v>
      </c>
      <c r="CE72" s="59">
        <f t="shared" si="94"/>
        <v>347.37506646970905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18.461787937386354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18.461787937386354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66.487411463053988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5.2</v>
      </c>
      <c r="CT72" s="12">
        <f>IF('Données projet'!$A$140&gt;35,CT71+CS72-DB71,IF(A72&lt;'Données projet'!$A$140,$CQ$205^A72,IF(A72='Données projet'!$A$140,'Données projet'!$B$140,CT71+CS72-DB71)))</f>
        <v>360.79999999999967</v>
      </c>
      <c r="CU72" s="17">
        <f>CT72*VLOOKUP('Données projet'!$B$13,Paramètres!$A$1:$I$89,3,0)*VLOOKUP('Données projet'!$B$13,Paramètres!$A$1:$I$89,5,0)</f>
        <v>236.39615999999978</v>
      </c>
      <c r="CV72" s="13">
        <f t="shared" si="95"/>
        <v>57.663465301516489</v>
      </c>
      <c r="CW72" s="20">
        <f t="shared" si="67"/>
        <v>512.15384740014088</v>
      </c>
      <c r="CX72" s="59">
        <f t="shared" si="68"/>
        <v>792.60768943133883</v>
      </c>
      <c r="CY72" s="59">
        <f ca="1">AVERAGE(OFFSET($CX$3,0,0,'Données projet'!$E$13+1,1))-AVERAGE(OFFSET($H$3,0,0,'Données projet'!$E$13+1,1))</f>
        <v>351.7266381615546</v>
      </c>
      <c r="CZ72" s="59">
        <f t="shared" si="96"/>
        <v>340.52483243761799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24.010064463677363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24.010064463677363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66.487411463053988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11.8</v>
      </c>
      <c r="DO72" s="12">
        <f>IF('Données projet'!$A$166&gt;35,DO71+DN72-DW71,IF(A72&lt;'Données projet'!$A$166,$DL$205^A72,IF(A72='Données projet'!$A$166,'Données projet'!$B$166,DO71+DN72-DW71)))</f>
        <v>375.2</v>
      </c>
      <c r="DP72" s="17">
        <f>DO72*VLOOKUP('Données projet'!$B$14,Paramètres!$A$1:$I$89,3,0)*VLOOKUP('Données projet'!$B$14,Paramètres!$A$1:$I$89,5,0)</f>
        <v>321.92160000000001</v>
      </c>
      <c r="DQ72" s="13">
        <f t="shared" si="97"/>
        <v>75.753040489321577</v>
      </c>
      <c r="DR72" s="20">
        <f t="shared" si="70"/>
        <v>692.61666551890175</v>
      </c>
      <c r="DS72" s="59">
        <f t="shared" si="71"/>
        <v>973.07050755009971</v>
      </c>
      <c r="DT72" s="59">
        <f ca="1">AVERAGE(OFFSET($DS$3,0,0,'Données projet'!$E$14+1,1))-AVERAGE(OFFSET($H$3,0,0,'Données projet'!$E$14+1,1))</f>
        <v>569.21675741362196</v>
      </c>
      <c r="DU72" s="59">
        <f t="shared" si="98"/>
        <v>321.12410801891679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24.183200450401714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24.183200450401714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66.487411463053988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5.2</v>
      </c>
      <c r="EJ72" s="12">
        <f>IF('Données projet'!$A$192&gt;35,EJ71+EI72-ER71,IF(A72&lt;'Données projet'!$A$192,$EG$205^A72,IF(A72='Données projet'!$A$192,'Données projet'!$B$192,EJ71+EI72-ER71)))</f>
        <v>360.79999999999967</v>
      </c>
      <c r="EK72" s="17">
        <f>EJ72*VLOOKUP('Données projet'!$B$15,Paramètres!$A$1:$I$89,3,0)*VLOOKUP('Données projet'!$B$15,Paramètres!$A$1:$I$89,5,0)</f>
        <v>287.05247999999978</v>
      </c>
      <c r="EL72" s="13">
        <f t="shared" si="99"/>
        <v>68.455236071606535</v>
      </c>
      <c r="EM72" s="20">
        <f t="shared" si="73"/>
        <v>619.17593882471431</v>
      </c>
      <c r="EN72" s="59">
        <f t="shared" si="74"/>
        <v>899.62978085591226</v>
      </c>
      <c r="EO72" s="59">
        <f ca="1">AVERAGE(OFFSET($EN$3,0,0,'Données projet'!$E$15+1,1))-AVERAGE(OFFSET($H$3,0,0,'Données projet'!$E$15+1,1))</f>
        <v>416.63597645452791</v>
      </c>
      <c r="EP72" s="59">
        <f t="shared" si="100"/>
        <v>402.05920382353497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35.93532903949054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35.93532903949054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66.487411463053988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4.5999999999999996</v>
      </c>
      <c r="FE72" s="12">
        <f>IF('Données projet'!$A$218&gt;35,FE71+FD72-FM71,IF(A72&lt;'Données projet'!$A$218,$FB$205^A72,IF(A72='Données projet'!$A$218,'Données projet'!$B$218,FE71+FD72-FM71)))</f>
        <v>311.39999999999992</v>
      </c>
      <c r="FF72" s="17">
        <f>FE72*VLOOKUP('Données projet'!$B$16,Paramètres!$A$1:$I$89,3,0)*VLOOKUP('Données projet'!$B$16,Paramètres!$A$1:$I$89,5,0)</f>
        <v>272.03904</v>
      </c>
      <c r="FG72" s="13">
        <f t="shared" si="101"/>
        <v>65.281815371368268</v>
      </c>
      <c r="FH72" s="20">
        <f t="shared" si="76"/>
        <v>587.50048977179972</v>
      </c>
      <c r="FI72" s="59">
        <f t="shared" si="77"/>
        <v>867.95433180299767</v>
      </c>
      <c r="FJ72" s="59">
        <f ca="1">AVERAGE(OFFSET($FI$3,0,0,'Données projet'!$E$16+1,1))-AVERAGE(OFFSET($H$3,0,0,'Données projet'!$E$16+1,1))</f>
        <v>395.57130469647603</v>
      </c>
      <c r="FK72" s="59">
        <f t="shared" si="102"/>
        <v>383.97542781562674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33.683067351238599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33.683067351238599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66.487411463053988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7.8</v>
      </c>
      <c r="FZ72" s="12">
        <f>IF('Données projet'!$A$244&gt;35,FZ71+FY72-GH71,IF(A72&lt;'Données projet'!$A$244,$FW$205^A72,IF(A72='Données projet'!$A$244,'Données projet'!$B$244,FZ71+FY72-GH71)))</f>
        <v>320.2</v>
      </c>
      <c r="GA72" s="17">
        <f>FZ72*VLOOKUP('Données projet'!$B$17,Paramètres!$A$1:$I$89,3,0)*VLOOKUP('Données projet'!$B$17,Paramètres!$A$1:$I$89,5,0)</f>
        <v>249.756</v>
      </c>
      <c r="GB72" s="13">
        <f t="shared" si="103"/>
        <v>60.533688955718922</v>
      </c>
      <c r="GC72" s="20">
        <f t="shared" si="79"/>
        <v>540.42120826454379</v>
      </c>
      <c r="GD72" s="59">
        <f t="shared" si="80"/>
        <v>820.87505029574174</v>
      </c>
      <c r="GE72" s="59">
        <f ca="1">AVERAGE(OFFSET($GD$3,0,0,'Données projet'!$E$17+1,1))-AVERAGE(OFFSET($H$3,0,0,'Données projet'!$E$17+1,1))</f>
        <v>301.74744407733351</v>
      </c>
      <c r="GF72" s="59">
        <f t="shared" si="104"/>
        <v>292.46787700966991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23.271364441232016</v>
      </c>
      <c r="GM72" s="21">
        <f>EXP(-LN(2)/25)*GM71+(1-EXP(-LN(2)/25))/(LN(2)/25)*Calculateur!GH72*Calculateur!GJ72*VLOOKUP('Données projet'!$B$17,Paramètres!$A$1:$I$89,3,0)*0.475*44/12</f>
        <v>0</v>
      </c>
      <c r="GN72" s="21">
        <f>EXP(-LN(2)/2)*GN71+(1-EXP(-LN(2)/2))/(LN(2)/2)*GH72*GK72*VLOOKUP('Données projet'!$B$17,Paramètres!$A$1:$I$89,3,0)*0.475*44/12</f>
        <v>0</v>
      </c>
      <c r="GO72" s="21">
        <f t="shared" si="81"/>
        <v>23.271364441232016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66.487411463053988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5.2</v>
      </c>
      <c r="GU72" s="12">
        <f>IF('Données projet'!$A$270&gt;35,GU71+GT72-HC71,IF(A72&lt;'Données projet'!$A$270,$GR$205^A72,IF(A72='Données projet'!$A$270,'Données projet'!$B$270,GU71+GT72-HC71)))</f>
        <v>360.79999999999967</v>
      </c>
      <c r="GV72" s="17">
        <f>GU72*VLOOKUP('Données projet'!$B$18,Paramètres!$A$1:$I$89,3,0)*VLOOKUP('Données projet'!$B$18,Paramètres!$A$1:$I$89,5,0)</f>
        <v>213.8822399999998</v>
      </c>
      <c r="GW72" s="13">
        <f t="shared" si="105"/>
        <v>52.783046244960339</v>
      </c>
      <c r="GX72" s="20">
        <f t="shared" si="82"/>
        <v>464.44204020997222</v>
      </c>
      <c r="GY72" s="59">
        <f t="shared" si="83"/>
        <v>744.89588224117017</v>
      </c>
      <c r="GZ72" s="59">
        <f ca="1">AVERAGE(OFFSET($GY$3,0,0,'Données projet'!$E$18+1,1))-AVERAGE(OFFSET($H$3,0,0,'Données projet'!$E$18+1,1))</f>
        <v>322.78672881269978</v>
      </c>
      <c r="HA72" s="59">
        <f t="shared" si="106"/>
        <v>313.08736327626434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projet'!$B$18,Paramètres!$A$1:$I$89,3,0)*0.475*44/12</f>
        <v>18.469888765792408</v>
      </c>
      <c r="HH72" s="21">
        <f>EXP(-LN(2)/25)*HH71+(1-EXP(-LN(2)/25))/(LN(2)/25)*Calculateur!HC72*Calculateur!HE72*VLOOKUP('Données projet'!$B$18,Paramètres!$A$1:$I$89,3,0)*0.475*44/12</f>
        <v>0</v>
      </c>
      <c r="HI72" s="21">
        <f>EXP(-LN(2)/2)*HI71+(1-EXP(-LN(2)/2))/(LN(2)/2)*HC72*HF72*VLOOKUP('Données projet'!$B$18,Paramètres!$A$1:$I$89,3,0)*0.475*44/12</f>
        <v>0</v>
      </c>
      <c r="HJ72" s="22">
        <f t="shared" si="84"/>
        <v>18.469888765792408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2.3499999999999996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8.6166666666666654</v>
      </c>
      <c r="H73" s="67">
        <f t="shared" si="56"/>
        <v>222.20000000000002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66.548347021198495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302</v>
      </c>
      <c r="L73" s="12">
        <f>VLOOKUP(A73,'Données projet'!$A$35:$I$55,9,0)</f>
        <v>8.1999999999999993</v>
      </c>
      <c r="M73" s="12">
        <f t="array" ref="M73">INDEX(L:L,MIN(IF(ISNUMBER(L73:L269),ROW(L73:L269),"")))</f>
        <v>8.1999999999999993</v>
      </c>
      <c r="N73" s="13">
        <f>IF('Données projet'!$A$36&gt;35,N72+M73-V72,IF(A73&lt;'Données projet'!$A$36,$K$205^A73,IF(A73='Données projet'!$A$36,'Données projet'!$B$36,N72+M73-V72)))</f>
        <v>301.99999999999989</v>
      </c>
      <c r="O73" s="13">
        <f>N73*VLOOKUP('Données projet'!$B$9,Paramètres!$A$1:$I$89,3,0)*VLOOKUP('Données projet'!$B$9,Paramètres!$A$1:$I$89,5,0)</f>
        <v>273.24959999999987</v>
      </c>
      <c r="P73" s="13">
        <f t="shared" si="87"/>
        <v>65.538435495514321</v>
      </c>
      <c r="Q73" s="20">
        <f t="shared" si="54"/>
        <v>590.05582848802044</v>
      </c>
      <c r="R73" s="59">
        <f t="shared" si="55"/>
        <v>870.73310089908159</v>
      </c>
      <c r="S73" s="59">
        <f ca="1">AVERAGE(OFFSET($R$3,0,0,'Données projet'!$E$9+1,1))-AVERAGE(OFFSET($H$3,0,0,'Données projet'!$E$9+1,1))</f>
        <v>473.88815717313474</v>
      </c>
      <c r="T73" s="59">
        <f t="shared" si="88"/>
        <v>287.19790203552895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28</v>
      </c>
      <c r="W73" s="16">
        <f>IF(ISNA(VLOOKUP(A73,'Données projet'!$A$35:$I$55,5,0)),0%,VLOOKUP(A73,'Données projet'!$A$35:$I$55,5,0)*VLOOKUP('Données projet'!$B$9,Paramètres!$A$1:$I$89,7,0))</f>
        <v>0.215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22.249225125981042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22.249225125981042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66.548347021198495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302</v>
      </c>
      <c r="AG73" s="12">
        <f>VLOOKUP(A73,'Données projet'!$A$61:$I$81,9,0)</f>
        <v>8.1999999999999993</v>
      </c>
      <c r="AH73" s="12">
        <f t="array" ref="AH73">INDEX(AG:AG,MIN(IF(ISNUMBER(AG73:AG269),ROW(AG73:AG269),"")))</f>
        <v>8.1999999999999993</v>
      </c>
      <c r="AI73" s="13">
        <f>IF('Données projet'!$A$62&gt;35,AI72+AH73-AQ72,IF(A73&lt;'Données projet'!$A$62,$AF$205^A73,IF(A73='Données projet'!$A$62,'Données projet'!$B$62,AI72+AH73-AQ72)))</f>
        <v>301.99999999999989</v>
      </c>
      <c r="AJ73" s="13">
        <f>AI73*VLOOKUP('Données projet'!$B$10,Paramètres!$A$1:$I$89,3,0)*VLOOKUP('Données projet'!$B$10,Paramètres!$A$1:$I$89,5,0)</f>
        <v>254.40479999999994</v>
      </c>
      <c r="AK73" s="13">
        <f t="shared" si="89"/>
        <v>61.528201545717593</v>
      </c>
      <c r="AL73" s="20">
        <f t="shared" si="58"/>
        <v>550.24997769212462</v>
      </c>
      <c r="AM73" s="59">
        <f t="shared" si="59"/>
        <v>830.92725010318577</v>
      </c>
      <c r="AN73" s="59">
        <f ca="1">AVERAGE(OFFSET($AM$3,0,0,'Données projet'!$E$10+1,1))-AVERAGE(OFFSET($H$3,0,0,'Données projet'!$E$10+1,1))</f>
        <v>445.19118535527258</v>
      </c>
      <c r="AO73" s="59">
        <f t="shared" si="90"/>
        <v>270.93483242839363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28</v>
      </c>
      <c r="AR73" s="16">
        <f>IF(ISNA(VLOOKUP(A73,'Données projet'!$A$61:$I$81,5,0)),0%,VLOOKUP(A73,'Données projet'!$A$61:$I$81,5,0)*VLOOKUP('Données projet'!$B$10,Paramètres!$A$1:$I$89,7,0))</f>
        <v>0.215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20.714795806947869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20.714795806947869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66.548347021198495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302</v>
      </c>
      <c r="BB73" s="12">
        <f>VLOOKUP(A73,'Données projet'!$A$87:$I$107,9,0)</f>
        <v>8.1999999999999993</v>
      </c>
      <c r="BC73" s="12">
        <f t="array" ref="BC73">INDEX(BB:BB,MIN(IF(ISNUMBER(BB73:BB269),ROW(BB73:BB269),"")))</f>
        <v>8.1999999999999993</v>
      </c>
      <c r="BD73" s="12">
        <f>IF('Données projet'!$A$88&gt;35,BD72+BC73-BL72,IF(A73&lt;'Données projet'!$A$88,$BA$205^A73,IF(A73='Données projet'!$A$88,'Données projet'!$B$88,BD72+BC73-BL72)))</f>
        <v>301.99999999999989</v>
      </c>
      <c r="BE73" s="13">
        <f>BD73*VLOOKUP('Données projet'!$B$11,Paramètres!$A$1:$I$89,3,0)*VLOOKUP('Données projet'!$B$11,Paramètres!$A$1:$I$89,5,0)</f>
        <v>306.22799999999989</v>
      </c>
      <c r="BF73" s="13">
        <f t="shared" si="91"/>
        <v>72.480526049067294</v>
      </c>
      <c r="BG73" s="20">
        <f t="shared" si="61"/>
        <v>659.58401620212533</v>
      </c>
      <c r="BH73" s="59">
        <f t="shared" si="62"/>
        <v>940.26128861318648</v>
      </c>
      <c r="BI73" s="59">
        <f ca="1">AVERAGE(OFFSET($BH$3,0,0,'Données projet'!$E$11+1,1))-AVERAGE(OFFSET($H$3,0,0,'Données projet'!$E$11+1,1))</f>
        <v>524.01140973345832</v>
      </c>
      <c r="BJ73" s="59">
        <f t="shared" si="92"/>
        <v>315.59942237999621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28</v>
      </c>
      <c r="BM73" s="16">
        <f>IF(ISNA(VLOOKUP(A73,'Données projet'!$A$87:$I$107,5,0)),0%,VLOOKUP(A73,'Données projet'!$A$87:$I$107,5,0)*VLOOKUP('Données projet'!$B$11,Paramètres!$A$1:$I$89,7,0))</f>
        <v>0.215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24.934476434289103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24.934476434289103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66.548347021198495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366</v>
      </c>
      <c r="BW73" s="12">
        <f>VLOOKUP(A73,'Données projet'!$A$113:$I$133,9,0)</f>
        <v>5.2</v>
      </c>
      <c r="BX73" s="12">
        <f t="array" ref="BX73">INDEX(BW:BW,MIN(IF(ISNUMBER(BW73:BW269),ROW(BW73:BW269),"")))</f>
        <v>5.2</v>
      </c>
      <c r="BY73" s="12">
        <f>IF('Données projet'!$A$114&gt;35,BY72+BX73-CG72,IF(A73&lt;'Données projet'!$A$114,$BV$205^A73,IF(A73='Données projet'!$A$114,'Données projet'!$B$114,BY72+BX73-CG72)))</f>
        <v>365.99999999999966</v>
      </c>
      <c r="BZ73" s="13">
        <f>BY73*VLOOKUP('Données projet'!$B$12,Paramètres!$A$1:$I$89,3,0)*VLOOKUP('Données projet'!$B$12,Paramètres!$A$1:$I$89,5,0)</f>
        <v>245.51279999999977</v>
      </c>
      <c r="CA73" s="13">
        <f t="shared" si="93"/>
        <v>59.624063998553098</v>
      </c>
      <c r="CB73" s="20">
        <f t="shared" si="64"/>
        <v>531.44670479747958</v>
      </c>
      <c r="CC73" s="59">
        <f t="shared" si="65"/>
        <v>812.12397720854074</v>
      </c>
      <c r="CD73" s="59">
        <f ca="1">AVERAGE(OFFSET($CC$3,0,0,'Données projet'!$E$12+1,1))-AVERAGE(OFFSET($H$3,0,0,'Données projet'!$E$12+1,1))</f>
        <v>358.95222991910504</v>
      </c>
      <c r="CE73" s="59">
        <f t="shared" si="94"/>
        <v>347.37506646970905</v>
      </c>
      <c r="CF73" s="15">
        <f>IF(ISNA(VLOOKUP(A73,'Données projet'!$A$113:$I$133,3,0)),0,VLOOKUP(A73,'Données projet'!$A$113:$I$133,3,0))</f>
        <v>13</v>
      </c>
      <c r="CG73" s="15">
        <f>IF(ISNA(VLOOKUP(A73,'Données projet'!$A$113:$I$133,4,0)),0,VLOOKUP(A73,'Données projet'!$A$113:$I$133,4,0))</f>
        <v>15</v>
      </c>
      <c r="CH73" s="16">
        <f>IF(ISNA(VLOOKUP(A73,'Données projet'!$A$113:$I$133,5,0)),0%,VLOOKUP(A73,'Données projet'!$A$113:$I$133,5,0)*VLOOKUP('Données projet'!$B$12,Paramètres!$A$1:$I$89,7,0))</f>
        <v>0.371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22.226486674250221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22.226486674250221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66.548347021198495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366</v>
      </c>
      <c r="CR73" s="12">
        <f>VLOOKUP(A73,'Données projet'!$A$139:$I$159,9,0)</f>
        <v>5.2</v>
      </c>
      <c r="CS73" s="12">
        <f t="array" ref="CS73">INDEX(CR:CR,MIN(IF(ISNUMBER(CR73:CR269),ROW(CR73:CR269),"")))</f>
        <v>5.2</v>
      </c>
      <c r="CT73" s="12">
        <f>IF('Données projet'!$A$140&gt;35,CT72+CS73-DB72,IF(A73&lt;'Données projet'!$A$140,$CQ$205^A73,IF(A73='Données projet'!$A$140,'Données projet'!$B$140,CT72+CS73-DB72)))</f>
        <v>365.99999999999966</v>
      </c>
      <c r="CU73" s="17">
        <f>CT73*VLOOKUP('Données projet'!$B$13,Paramètres!$A$1:$I$89,3,0)*VLOOKUP('Données projet'!$B$13,Paramètres!$A$1:$I$89,5,0)</f>
        <v>239.80319999999978</v>
      </c>
      <c r="CV73" s="13">
        <f t="shared" si="95"/>
        <v>58.397185982155214</v>
      </c>
      <c r="CW73" s="20">
        <f t="shared" si="67"/>
        <v>519.36567225225326</v>
      </c>
      <c r="CX73" s="59">
        <f t="shared" si="68"/>
        <v>800.04294466331442</v>
      </c>
      <c r="CY73" s="59">
        <f ca="1">AVERAGE(OFFSET($CX$3,0,0,'Données projet'!$E$13+1,1))-AVERAGE(OFFSET($H$3,0,0,'Données projet'!$E$13+1,1))</f>
        <v>351.7266381615546</v>
      </c>
      <c r="CZ73" s="59">
        <f t="shared" si="96"/>
        <v>340.52483243761799</v>
      </c>
      <c r="DA73" s="15">
        <f>IF(ISNA(VLOOKUP(A73,'Données projet'!$A$139:$I$159,3,0)),0,VLOOKUP(A73,'Données projet'!$A$139:$I$159,3,0))</f>
        <v>13</v>
      </c>
      <c r="DB73" s="15">
        <f>IF(ISNA(VLOOKUP(A73,'Données projet'!$A$139:$I$159,4,0)),0,VLOOKUP(A73,'Données projet'!$A$139:$I$159,4,0))</f>
        <v>15</v>
      </c>
      <c r="DC73" s="16">
        <f>IF(ISNA(VLOOKUP(A73,'Données projet'!$A$139:$I$159,5,0)),0%,VLOOKUP(A73,'Données projet'!$A$139:$I$159,5,0)*VLOOKUP('Données projet'!$B$13,Paramètres!$A$1:$I$89,7,0))</f>
        <v>0.30099999999999999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26.809475174142932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26.809475174142932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66.548347021198495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387</v>
      </c>
      <c r="DM73" s="12">
        <f>VLOOKUP(A73,'Données projet'!$A$165:$I$185,9,0)</f>
        <v>11.8</v>
      </c>
      <c r="DN73" s="12">
        <f t="array" ref="DN73">INDEX(DM:DM,MIN(IF(ISNUMBER(DM73:DM269),ROW(DM73:DM269),"")))</f>
        <v>11.8</v>
      </c>
      <c r="DO73" s="12">
        <f>IF('Données projet'!$A$166&gt;35,DO72+DN73-DW72,IF(A73&lt;'Données projet'!$A$166,$DL$205^A73,IF(A73='Données projet'!$A$166,'Données projet'!$B$166,DO72+DN73-DW72)))</f>
        <v>387</v>
      </c>
      <c r="DP73" s="17">
        <f>DO73*VLOOKUP('Données projet'!$B$14,Paramètres!$A$1:$I$89,3,0)*VLOOKUP('Données projet'!$B$14,Paramètres!$A$1:$I$89,5,0)</f>
        <v>332.04600000000005</v>
      </c>
      <c r="DQ73" s="13">
        <f t="shared" si="97"/>
        <v>77.854342460208699</v>
      </c>
      <c r="DR73" s="20">
        <f t="shared" si="70"/>
        <v>713.90976311819679</v>
      </c>
      <c r="DS73" s="59">
        <f t="shared" si="71"/>
        <v>994.58703552925795</v>
      </c>
      <c r="DT73" s="59">
        <f ca="1">AVERAGE(OFFSET($DS$3,0,0,'Données projet'!$E$14+1,1))-AVERAGE(OFFSET($H$3,0,0,'Données projet'!$E$14+1,1))</f>
        <v>569.21675741362196</v>
      </c>
      <c r="DU73" s="59">
        <f t="shared" si="98"/>
        <v>321.12410801891679</v>
      </c>
      <c r="DV73" s="15">
        <f>IF(ISNA(VLOOKUP(A73,'Données projet'!$A$165:$I$185,3,0)),0,VLOOKUP(A73,'Données projet'!$A$165:$I$185,3,0))</f>
        <v>11</v>
      </c>
      <c r="DW73" s="15">
        <f>IF(ISNA(VLOOKUP(A73,'Données projet'!$A$165:$I$185,4,0)),0,VLOOKUP(A73,'Données projet'!$A$165:$I$185,4,0))</f>
        <v>35</v>
      </c>
      <c r="DX73" s="16">
        <f>IF(ISNA(VLOOKUP(A73,'Données projet'!$A$165:$I$185,5,0)),0%,VLOOKUP(A73,'Données projet'!$A$165:$I$185,5,0)*VLOOKUP('Données projet'!$B$14,Paramètres!$A$1:$I$89,7,0))</f>
        <v>0.26500000000000001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32.506260646669382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32.506260646669382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66.548347021198495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366</v>
      </c>
      <c r="EH73" s="12">
        <f>VLOOKUP(A73,'Données projet'!$A$191:$I$211,9,0)</f>
        <v>5.2</v>
      </c>
      <c r="EI73" s="12">
        <f t="array" ref="EI73">INDEX(EH:EH,MIN(IF(ISNUMBER(EH73:EH269),ROW(EH73:EH269),"")))</f>
        <v>5.2</v>
      </c>
      <c r="EJ73" s="12">
        <f>IF('Données projet'!$A$192&gt;35,EJ72+EI73-ER72,IF(A73&lt;'Données projet'!$A$192,$EG$205^A73,IF(A73='Données projet'!$A$192,'Données projet'!$B$192,EJ72+EI73-ER72)))</f>
        <v>365.99999999999966</v>
      </c>
      <c r="EK73" s="17">
        <f>EJ73*VLOOKUP('Données projet'!$B$15,Paramètres!$A$1:$I$89,3,0)*VLOOKUP('Données projet'!$B$15,Paramètres!$A$1:$I$89,5,0)</f>
        <v>291.18959999999976</v>
      </c>
      <c r="EL73" s="13">
        <f t="shared" si="99"/>
        <v>69.326273255048633</v>
      </c>
      <c r="EM73" s="20">
        <f t="shared" si="73"/>
        <v>627.89847925254264</v>
      </c>
      <c r="EN73" s="59">
        <f t="shared" si="74"/>
        <v>908.5757516636038</v>
      </c>
      <c r="EO73" s="59">
        <f ca="1">AVERAGE(OFFSET($EN$3,0,0,'Données projet'!$E$15+1,1))-AVERAGE(OFFSET($H$3,0,0,'Données projet'!$E$15+1,1))</f>
        <v>416.63597645452791</v>
      </c>
      <c r="EP73" s="59">
        <f t="shared" si="100"/>
        <v>402.05920382353497</v>
      </c>
      <c r="EQ73" s="15">
        <f>IF(ISNA(VLOOKUP(A73,'Données projet'!$A$191:$I$211,3,0)),0,VLOOKUP(A73,'Données projet'!$A$191:$I$211,3,0))</f>
        <v>13</v>
      </c>
      <c r="ER73" s="15">
        <f>IF(ISNA(VLOOKUP(A73,'Données projet'!$A$191:$I$211,4,0)),0,VLOOKUP(A73,'Données projet'!$A$191:$I$211,4,0))</f>
        <v>15</v>
      </c>
      <c r="ES73" s="16">
        <f>IF(ISNA(VLOOKUP(A73,'Données projet'!$A$191:$I$211,5,0)),0%,VLOOKUP(A73,'Données projet'!$A$191:$I$211,5,0)*VLOOKUP('Données projet'!$B$15,Paramètres!$A$1:$I$89,7,0))</f>
        <v>0.371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40.125144737380033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40.125144737380033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66.548347021198495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316</v>
      </c>
      <c r="FC73" s="12">
        <f>VLOOKUP(A73,'Données projet'!$A$217:$I$237,9,0)</f>
        <v>4.5999999999999996</v>
      </c>
      <c r="FD73" s="12">
        <f t="array" ref="FD73">INDEX(FC:FC,MIN(IF(ISNUMBER(FC73:FC269),ROW(FC73:FC269),"")))</f>
        <v>4.5999999999999996</v>
      </c>
      <c r="FE73" s="12">
        <f>IF('Données projet'!$A$218&gt;35,FE72+FD73-FM72,IF(A73&lt;'Données projet'!$A$218,$FB$205^A73,IF(A73='Données projet'!$A$218,'Données projet'!$B$218,FE72+FD73-FM72)))</f>
        <v>315.99999999999994</v>
      </c>
      <c r="FF73" s="17">
        <f>FE73*VLOOKUP('Données projet'!$B$16,Paramètres!$A$1:$I$89,3,0)*VLOOKUP('Données projet'!$B$16,Paramètres!$A$1:$I$89,5,0)</f>
        <v>276.05759999999998</v>
      </c>
      <c r="FG73" s="13">
        <f t="shared" si="101"/>
        <v>66.133180102831929</v>
      </c>
      <c r="FH73" s="20">
        <f t="shared" si="76"/>
        <v>595.98227534576563</v>
      </c>
      <c r="FI73" s="59">
        <f t="shared" si="77"/>
        <v>876.65954775682678</v>
      </c>
      <c r="FJ73" s="59">
        <f ca="1">AVERAGE(OFFSET($FI$3,0,0,'Données projet'!$E$16+1,1))-AVERAGE(OFFSET($H$3,0,0,'Données projet'!$E$16+1,1))</f>
        <v>395.57130469647603</v>
      </c>
      <c r="FK73" s="59">
        <f t="shared" si="102"/>
        <v>383.97542781562674</v>
      </c>
      <c r="FL73" s="15">
        <f>IF(ISNA(VLOOKUP(A73,'Données projet'!$A$217:$I$237,3,0)),0,VLOOKUP(A73,'Données projet'!$A$217:$I$237,3,0))</f>
        <v>13</v>
      </c>
      <c r="FM73" s="15">
        <f>IF(ISNA(VLOOKUP(A73,'Données projet'!$A$217:$I$237,4,0)),0,VLOOKUP(A73,'Données projet'!$A$217:$I$237,4,0))</f>
        <v>13</v>
      </c>
      <c r="FN73" s="16">
        <f>IF(ISNA(VLOOKUP(A73,'Données projet'!$A$217:$I$237,5,0)),0%,VLOOKUP(A73,'Données projet'!$A$217:$I$237,5,0)*VLOOKUP('Données projet'!$B$16,Paramètres!$A$1:$I$89,7,0))</f>
        <v>0.371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37.680321773453088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37.680321773453088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66.548347021198495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projet'!$A$243:$I$263,2,0)</f>
        <v>328</v>
      </c>
      <c r="FX73" s="12">
        <f>VLOOKUP(A73,'Données projet'!$A$243:$I$263,9,0)</f>
        <v>7.8</v>
      </c>
      <c r="FY73" s="12">
        <f t="array" ref="FY73">INDEX(FX:FX,MIN(IF(ISNUMBER(FX73:FX269),ROW(FX73:FX269),"")))</f>
        <v>7.8</v>
      </c>
      <c r="FZ73" s="12">
        <f>IF('Données projet'!$A$244&gt;35,FZ72+FY73-GH72,IF(A73&lt;'Données projet'!$A$244,$FW$205^A73,IF(A73='Données projet'!$A$244,'Données projet'!$B$244,FZ72+FY73-GH72)))</f>
        <v>328</v>
      </c>
      <c r="GA73" s="17">
        <f>FZ73*VLOOKUP('Données projet'!$B$17,Paramètres!$A$1:$I$89,3,0)*VLOOKUP('Données projet'!$B$17,Paramètres!$A$1:$I$89,5,0)</f>
        <v>255.84</v>
      </c>
      <c r="GB73" s="13">
        <f t="shared" si="103"/>
        <v>61.834803371075836</v>
      </c>
      <c r="GC73" s="20">
        <f t="shared" si="79"/>
        <v>553.28361587129041</v>
      </c>
      <c r="GD73" s="59">
        <f t="shared" si="80"/>
        <v>833.96088828235156</v>
      </c>
      <c r="GE73" s="59">
        <f ca="1">AVERAGE(OFFSET($GD$3,0,0,'Données projet'!$E$17+1,1))-AVERAGE(OFFSET($H$3,0,0,'Données projet'!$E$17+1,1))</f>
        <v>301.74744407733351</v>
      </c>
      <c r="GF73" s="59">
        <f t="shared" si="104"/>
        <v>292.46787700966991</v>
      </c>
      <c r="GG73" s="15">
        <f>IF(ISNA(VLOOKUP(A73,'Données projet'!$A$243:$I$263,3,0)),0,VLOOKUP(A73,'Données projet'!$A$243:$I$263,3,0))</f>
        <v>9</v>
      </c>
      <c r="GH73" s="15">
        <f>IF(ISNA(VLOOKUP(A73,'Données projet'!$A$243:$I$263,4,0)),0,VLOOKUP(A73,'Données projet'!$A$243:$I$263,4,0))</f>
        <v>328</v>
      </c>
      <c r="GI73" s="16">
        <f>IF(ISNA(VLOOKUP(A73,'Données projet'!$A$243:$I$263,5,0)),0%,VLOOKUP(A73,'Données projet'!$A$243:$I$263,5,0)*VLOOKUP('Données projet'!$B$17,Paramètres!$A$1:$I$89,7,0))</f>
        <v>0.30099999999999999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107.9449132904829</v>
      </c>
      <c r="GM73" s="21">
        <f>EXP(-LN(2)/25)*GM72+(1-EXP(-LN(2)/25))/(LN(2)/25)*Calculateur!GH73*Calculateur!GJ73*VLOOKUP('Données projet'!$B$17,Paramètres!$A$1:$I$89,3,0)*0.475*44/12</f>
        <v>0</v>
      </c>
      <c r="GN73" s="21">
        <f>EXP(-LN(2)/2)*GN72+(1-EXP(-LN(2)/2))/(LN(2)/2)*GH73*GK73*VLOOKUP('Données projet'!$B$17,Paramètres!$A$1:$I$89,3,0)*0.475*44/12</f>
        <v>0</v>
      </c>
      <c r="GO73" s="21">
        <f t="shared" si="81"/>
        <v>107.9449132904829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66.548347021198495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>
        <f>VLOOKUP(A73,'Données projet'!$A$269:$I$289,2,0)</f>
        <v>366</v>
      </c>
      <c r="GS73" s="12">
        <f>VLOOKUP(A73,'Données projet'!$A$269:$I$289,9,0)</f>
        <v>5.2</v>
      </c>
      <c r="GT73" s="12">
        <f t="array" ref="GT73">INDEX(GS:GS,MIN(IF(ISNUMBER(GS73:GS269),ROW(GS73:GS269),"")))</f>
        <v>5.2</v>
      </c>
      <c r="GU73" s="12">
        <f>IF('Données projet'!$A$270&gt;35,GU72+GT73-HC72,IF(A73&lt;'Données projet'!$A$270,$GR$205^A73,IF(A73='Données projet'!$A$270,'Données projet'!$B$270,GU72+GT73-HC72)))</f>
        <v>365.99999999999966</v>
      </c>
      <c r="GV73" s="17">
        <f>GU73*VLOOKUP('Données projet'!$B$18,Paramètres!$A$1:$I$89,3,0)*VLOOKUP('Données projet'!$B$18,Paramètres!$A$1:$I$89,5,0)</f>
        <v>216.9647999999998</v>
      </c>
      <c r="GW73" s="13">
        <f t="shared" si="105"/>
        <v>53.454667563840971</v>
      </c>
      <c r="GX73" s="20">
        <f t="shared" si="82"/>
        <v>470.98057267368944</v>
      </c>
      <c r="GY73" s="59">
        <f t="shared" si="83"/>
        <v>751.65784508475053</v>
      </c>
      <c r="GZ73" s="59">
        <f ca="1">AVERAGE(OFFSET($GY$3,0,0,'Données projet'!$E$18+1,1))-AVERAGE(OFFSET($H$3,0,0,'Données projet'!$E$18+1,1))</f>
        <v>322.78672881269978</v>
      </c>
      <c r="HA73" s="59">
        <f t="shared" si="106"/>
        <v>313.08736327626434</v>
      </c>
      <c r="HB73" s="15">
        <f>IF(ISNA(VLOOKUP(A73,'Données projet'!$A$269:$I$289,3,0)),0,VLOOKUP(A73,'Données projet'!$A$269:$I$289,3,0))</f>
        <v>13</v>
      </c>
      <c r="HC73" s="15">
        <f>IF(ISNA(VLOOKUP(A73,'Données projet'!$A$269:$I$289,4,0)),0,VLOOKUP(A73,'Données projet'!$A$269:$I$289,4,0))</f>
        <v>15</v>
      </c>
      <c r="HD73" s="16">
        <f>IF(ISNA(VLOOKUP(A73,'Données projet'!$A$269:$I$289,5,0)),0%,VLOOKUP(A73,'Données projet'!$A$269:$I$289,5,0)*VLOOKUP('Données projet'!$B$18,Paramètres!$A$1:$I$89,7,0))</f>
        <v>0.42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>
        <f>EXP(-LN(2)/35)*HG72+(1-EXP(-LN(2)/35))/(LN(2)/35)*HC73*HD73*VLOOKUP('Données projet'!$B$18,Paramètres!$A$1:$I$89,3,0)*0.475*44/12</f>
        <v>22.236239410833925</v>
      </c>
      <c r="HH73" s="21">
        <f>EXP(-LN(2)/25)*HH72+(1-EXP(-LN(2)/25))/(LN(2)/25)*Calculateur!HC73*Calculateur!HE73*VLOOKUP('Données projet'!$B$18,Paramètres!$A$1:$I$89,3,0)*0.475*44/12</f>
        <v>0</v>
      </c>
      <c r="HI73" s="21">
        <f>EXP(-LN(2)/2)*HI72+(1-EXP(-LN(2)/2))/(LN(2)/2)*HC73*HF73*VLOOKUP('Données projet'!$B$18,Paramètres!$A$1:$I$89,3,0)*0.475*44/12</f>
        <v>0</v>
      </c>
      <c r="HJ73" s="22">
        <f t="shared" si="84"/>
        <v>22.236239410833925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2.3499999999999996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8.6166666666666654</v>
      </c>
      <c r="H74" s="67">
        <f t="shared" si="56"/>
        <v>222.20000000000002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66.608225483640695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7.6</v>
      </c>
      <c r="N74" s="13">
        <f>IF('Données projet'!$A$36&gt;35,N73+M74-V73,IF(A74&lt;'Données projet'!$A$36,$K$205^A74,IF(A74='Données projet'!$A$36,'Données projet'!$B$36,N73+M74-V73)))</f>
        <v>281.59999999999991</v>
      </c>
      <c r="O74" s="13">
        <f>N74*VLOOKUP('Données projet'!$B$9,Paramètres!$A$1:$I$89,3,0)*VLOOKUP('Données projet'!$B$9,Paramètres!$A$1:$I$89,5,0)</f>
        <v>254.79167999999993</v>
      </c>
      <c r="P74" s="13">
        <f t="shared" si="87"/>
        <v>61.610870508448471</v>
      </c>
      <c r="Q74" s="20">
        <f t="shared" si="54"/>
        <v>551.06777546888088</v>
      </c>
      <c r="R74" s="59">
        <f t="shared" si="55"/>
        <v>831.96460224223006</v>
      </c>
      <c r="S74" s="59">
        <f ca="1">AVERAGE(OFFSET($R$3,0,0,'Données projet'!$E$9+1,1))-AVERAGE(OFFSET($H$3,0,0,'Données projet'!$E$9+1,1))</f>
        <v>473.88815717313474</v>
      </c>
      <c r="T74" s="59">
        <f t="shared" si="88"/>
        <v>287.19790203552895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21.812931391947885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21.812931391947885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66.608225483640695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7.6</v>
      </c>
      <c r="AI74" s="13">
        <f>IF('Données projet'!$A$62&gt;35,AI73+AH74-AQ73,IF(A74&lt;'Données projet'!$A$62,$AF$205^A74,IF(A74='Données projet'!$A$62,'Données projet'!$B$62,AI73+AH74-AQ73)))</f>
        <v>281.59999999999991</v>
      </c>
      <c r="AJ74" s="13">
        <f>AI74*VLOOKUP('Données projet'!$B$10,Paramètres!$A$1:$I$89,3,0)*VLOOKUP('Données projet'!$B$10,Paramètres!$A$1:$I$89,5,0)</f>
        <v>237.21983999999995</v>
      </c>
      <c r="AK74" s="13">
        <f t="shared" si="89"/>
        <v>57.840960489671517</v>
      </c>
      <c r="AL74" s="20">
        <f t="shared" si="58"/>
        <v>513.89756085284444</v>
      </c>
      <c r="AM74" s="59">
        <f t="shared" si="59"/>
        <v>794.79438762619361</v>
      </c>
      <c r="AN74" s="59">
        <f ca="1">AVERAGE(OFFSET($AM$3,0,0,'Données projet'!$E$10+1,1))-AVERAGE(OFFSET($H$3,0,0,'Données projet'!$E$10+1,1))</f>
        <v>445.19118535527258</v>
      </c>
      <c r="AO74" s="59">
        <f t="shared" si="90"/>
        <v>270.93483242839363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20.308591295951484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20.308591295951484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66.608225483640695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7.6</v>
      </c>
      <c r="BD74" s="12">
        <f>IF('Données projet'!$A$88&gt;35,BD73+BC74-BL73,IF(A74&lt;'Données projet'!$A$88,$BA$205^A74,IF(A74='Données projet'!$A$88,'Données projet'!$B$88,BD73+BC74-BL73)))</f>
        <v>281.59999999999991</v>
      </c>
      <c r="BE74" s="13">
        <f>BD74*VLOOKUP('Données projet'!$B$11,Paramètres!$A$1:$I$89,3,0)*VLOOKUP('Données projet'!$B$11,Paramètres!$A$1:$I$89,5,0)</f>
        <v>285.54239999999993</v>
      </c>
      <c r="BF74" s="13">
        <f t="shared" si="91"/>
        <v>68.136937829389467</v>
      </c>
      <c r="BG74" s="20">
        <f t="shared" si="61"/>
        <v>615.99151338618651</v>
      </c>
      <c r="BH74" s="59">
        <f t="shared" si="62"/>
        <v>896.8883401595358</v>
      </c>
      <c r="BI74" s="59">
        <f ca="1">AVERAGE(OFFSET($BH$3,0,0,'Données projet'!$E$11+1,1))-AVERAGE(OFFSET($H$3,0,0,'Données projet'!$E$11+1,1))</f>
        <v>524.01140973345832</v>
      </c>
      <c r="BJ74" s="59">
        <f t="shared" si="92"/>
        <v>315.59942237999621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24.445526559941602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24.445526559941602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66.608225483640695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4.8</v>
      </c>
      <c r="BY74" s="12">
        <f>IF('Données projet'!$A$114&gt;35,BY73+BX74-CG73,IF(A74&lt;'Données projet'!$A$114,$BV$205^A74,IF(A74='Données projet'!$A$114,'Données projet'!$B$114,BY73+BX74-CG73)))</f>
        <v>355.79999999999967</v>
      </c>
      <c r="BZ74" s="13">
        <f>BY74*VLOOKUP('Données projet'!$B$12,Paramètres!$A$1:$I$89,3,0)*VLOOKUP('Données projet'!$B$12,Paramètres!$A$1:$I$89,5,0)</f>
        <v>238.67063999999979</v>
      </c>
      <c r="CA74" s="13">
        <f t="shared" si="93"/>
        <v>58.153419808111728</v>
      </c>
      <c r="CB74" s="20">
        <f t="shared" si="64"/>
        <v>516.96857083246095</v>
      </c>
      <c r="CC74" s="59">
        <f t="shared" si="65"/>
        <v>797.86539760581013</v>
      </c>
      <c r="CD74" s="59">
        <f ca="1">AVERAGE(OFFSET($CC$3,0,0,'Données projet'!$E$12+1,1))-AVERAGE(OFFSET($H$3,0,0,'Données projet'!$E$12+1,1))</f>
        <v>358.95222991910504</v>
      </c>
      <c r="CE74" s="59">
        <f t="shared" si="94"/>
        <v>347.37506646970905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21.79063882738642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21.79063882738642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66.608225483640695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4.8</v>
      </c>
      <c r="CT74" s="12">
        <f>IF('Données projet'!$A$140&gt;35,CT73+CS74-DB73,IF(A74&lt;'Données projet'!$A$140,$CQ$205^A74,IF(A74='Données projet'!$A$140,'Données projet'!$B$140,CT73+CS74-DB73)))</f>
        <v>355.79999999999967</v>
      </c>
      <c r="CU74" s="17">
        <f>CT74*VLOOKUP('Données projet'!$B$13,Paramètres!$A$1:$I$89,3,0)*VLOOKUP('Données projet'!$B$13,Paramètres!$A$1:$I$89,5,0)</f>
        <v>233.1201599999998</v>
      </c>
      <c r="CV74" s="13">
        <f t="shared" si="95"/>
        <v>56.956803080632973</v>
      </c>
      <c r="CW74" s="20">
        <f t="shared" si="67"/>
        <v>505.21737736543542</v>
      </c>
      <c r="CX74" s="59">
        <f t="shared" si="68"/>
        <v>786.11420413878466</v>
      </c>
      <c r="CY74" s="59">
        <f ca="1">AVERAGE(OFFSET($CX$3,0,0,'Données projet'!$E$13+1,1))-AVERAGE(OFFSET($H$3,0,0,'Données projet'!$E$13+1,1))</f>
        <v>351.7266381615546</v>
      </c>
      <c r="CZ74" s="59">
        <f t="shared" si="96"/>
        <v>340.52483243761799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26.283757718143203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26.283757718143203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66.608225483640695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11</v>
      </c>
      <c r="DO74" s="12">
        <f>IF('Données projet'!$A$166&gt;35,DO73+DN74-DW73,IF(A74&lt;'Données projet'!$A$166,$DL$205^A74,IF(A74='Données projet'!$A$166,'Données projet'!$B$166,DO73+DN74-DW73)))</f>
        <v>363</v>
      </c>
      <c r="DP74" s="17">
        <f>DO74*VLOOKUP('Données projet'!$B$14,Paramètres!$A$1:$I$89,3,0)*VLOOKUP('Données projet'!$B$14,Paramètres!$A$1:$I$89,5,0)</f>
        <v>311.45400000000001</v>
      </c>
      <c r="DQ74" s="13">
        <f t="shared" si="97"/>
        <v>73.572400496659426</v>
      </c>
      <c r="DR74" s="20">
        <f t="shared" si="70"/>
        <v>670.58764753168191</v>
      </c>
      <c r="DS74" s="59">
        <f t="shared" si="71"/>
        <v>951.4844743050312</v>
      </c>
      <c r="DT74" s="59">
        <f ca="1">AVERAGE(OFFSET($DS$3,0,0,'Données projet'!$E$14+1,1))-AVERAGE(OFFSET($H$3,0,0,'Données projet'!$E$14+1,1))</f>
        <v>569.21675741362196</v>
      </c>
      <c r="DU74" s="59">
        <f t="shared" si="98"/>
        <v>321.12410801891679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31.868832702249449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31.868832702249449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66.608225483640695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4.8</v>
      </c>
      <c r="EJ74" s="12">
        <f>IF('Données projet'!$A$192&gt;35,EJ73+EI74-ER73,IF(A74&lt;'Données projet'!$A$192,$EG$205^A74,IF(A74='Données projet'!$A$192,'Données projet'!$B$192,EJ73+EI74-ER73)))</f>
        <v>355.79999999999967</v>
      </c>
      <c r="EK74" s="17">
        <f>EJ74*VLOOKUP('Données projet'!$B$15,Paramètres!$A$1:$I$89,3,0)*VLOOKUP('Données projet'!$B$15,Paramètres!$A$1:$I$89,5,0)</f>
        <v>283.07447999999977</v>
      </c>
      <c r="EL74" s="13">
        <f t="shared" si="99"/>
        <v>67.616321363645156</v>
      </c>
      <c r="EM74" s="20">
        <f t="shared" si="73"/>
        <v>610.78647904168156</v>
      </c>
      <c r="EN74" s="59">
        <f t="shared" si="74"/>
        <v>891.68330581503074</v>
      </c>
      <c r="EO74" s="59">
        <f ca="1">AVERAGE(OFFSET($EN$3,0,0,'Données projet'!$E$15+1,1))-AVERAGE(OFFSET($H$3,0,0,'Données projet'!$E$15+1,1))</f>
        <v>416.63597645452791</v>
      </c>
      <c r="EP74" s="59">
        <f t="shared" si="100"/>
        <v>402.05920382353497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39.338315123001699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39.338315123001699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66.608225483640695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4.2</v>
      </c>
      <c r="FE74" s="12">
        <f>IF('Données projet'!$A$218&gt;35,FE73+FD74-FM73,IF(A74&lt;'Données projet'!$A$218,$FB$205^A74,IF(A74='Données projet'!$A$218,'Données projet'!$B$218,FE73+FD74-FM73)))</f>
        <v>307.19999999999993</v>
      </c>
      <c r="FF74" s="17">
        <f>FE74*VLOOKUP('Données projet'!$B$16,Paramètres!$A$1:$I$89,3,0)*VLOOKUP('Données projet'!$B$16,Paramètres!$A$1:$I$89,5,0)</f>
        <v>268.36991999999998</v>
      </c>
      <c r="FG74" s="13">
        <f t="shared" si="101"/>
        <v>64.503203342054107</v>
      </c>
      <c r="FH74" s="20">
        <f t="shared" si="76"/>
        <v>579.75402315407757</v>
      </c>
      <c r="FI74" s="59">
        <f t="shared" si="77"/>
        <v>860.65084992742686</v>
      </c>
      <c r="FJ74" s="59">
        <f ca="1">AVERAGE(OFFSET($FI$3,0,0,'Données projet'!$E$16+1,1))-AVERAGE(OFFSET($H$3,0,0,'Données projet'!$E$16+1,1))</f>
        <v>395.57130469647603</v>
      </c>
      <c r="FK74" s="59">
        <f t="shared" si="102"/>
        <v>383.97542781562674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36.941433646202597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36.941433646202597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66.608225483640695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>
        <f>FZ74*VLOOKUP('Données projet'!$B$17,Paramètres!$A$1:$I$89,3,0)*VLOOKUP('Données projet'!$B$17,Paramètres!$A$1:$I$89,5,0)</f>
        <v>0</v>
      </c>
      <c r="GB74" s="13" t="e">
        <f t="shared" si="103"/>
        <v>#NUM!</v>
      </c>
      <c r="GC74" s="20" t="e">
        <f t="shared" si="79"/>
        <v>#NUM!</v>
      </c>
      <c r="GD74" s="59" t="e">
        <f t="shared" si="80"/>
        <v>#NUM!</v>
      </c>
      <c r="GE74" s="59">
        <f ca="1">AVERAGE(OFFSET($GD$3,0,0,'Données projet'!$E$17+1,1))-AVERAGE(OFFSET($H$3,0,0,'Données projet'!$E$17+1,1))</f>
        <v>301.74744407733351</v>
      </c>
      <c r="GF74" s="59">
        <f t="shared" si="104"/>
        <v>292.46787700966991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105.82817938075249</v>
      </c>
      <c r="GM74" s="21">
        <f>EXP(-LN(2)/25)*GM73+(1-EXP(-LN(2)/25))/(LN(2)/25)*Calculateur!GH74*Calculateur!GJ74*VLOOKUP('Données projet'!$B$17,Paramètres!$A$1:$I$89,3,0)*0.475*44/12</f>
        <v>0</v>
      </c>
      <c r="GN74" s="21">
        <f>EXP(-LN(2)/2)*GN73+(1-EXP(-LN(2)/2))/(LN(2)/2)*GH74*GK74*VLOOKUP('Données projet'!$B$17,Paramètres!$A$1:$I$89,3,0)*0.475*44/12</f>
        <v>0</v>
      </c>
      <c r="GO74" s="21">
        <f t="shared" si="81"/>
        <v>105.82817938075249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66.608225483640695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4.8</v>
      </c>
      <c r="GU74" s="12">
        <f>IF('Données projet'!$A$270&gt;35,GU73+GT74-HC73,IF(A74&lt;'Données projet'!$A$270,$GR$205^A74,IF(A74='Données projet'!$A$270,'Données projet'!$B$270,GU73+GT74-HC73)))</f>
        <v>355.79999999999967</v>
      </c>
      <c r="GV74" s="17">
        <f>GU74*VLOOKUP('Données projet'!$B$18,Paramètres!$A$1:$I$89,3,0)*VLOOKUP('Données projet'!$B$18,Paramètres!$A$1:$I$89,5,0)</f>
        <v>210.9182399999998</v>
      </c>
      <c r="GW74" s="13">
        <f t="shared" si="105"/>
        <v>52.13619325946204</v>
      </c>
      <c r="GX74" s="20">
        <f t="shared" si="82"/>
        <v>458.15313792689608</v>
      </c>
      <c r="GY74" s="59">
        <f t="shared" si="83"/>
        <v>739.04996470024525</v>
      </c>
      <c r="GZ74" s="59">
        <f ca="1">AVERAGE(OFFSET($GY$3,0,0,'Données projet'!$E$18+1,1))-AVERAGE(OFFSET($H$3,0,0,'Données projet'!$E$18+1,1))</f>
        <v>322.78672881269978</v>
      </c>
      <c r="HA74" s="59">
        <f t="shared" si="106"/>
        <v>313.08736327626434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21.8002003187543</v>
      </c>
      <c r="HH74" s="21">
        <f>EXP(-LN(2)/25)*HH73+(1-EXP(-LN(2)/25))/(LN(2)/25)*Calculateur!HC74*Calculateur!HE74*VLOOKUP('Données projet'!$B$18,Paramètres!$A$1:$I$89,3,0)*0.475*44/12</f>
        <v>0</v>
      </c>
      <c r="HI74" s="21">
        <f>EXP(-LN(2)/2)*HI73+(1-EXP(-LN(2)/2))/(LN(2)/2)*HC74*HF74*VLOOKUP('Données projet'!$B$18,Paramètres!$A$1:$I$89,3,0)*0.475*44/12</f>
        <v>0</v>
      </c>
      <c r="HJ74" s="22">
        <f t="shared" si="84"/>
        <v>21.8002003187543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2.3499999999999996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8.6166666666666654</v>
      </c>
      <c r="H75" s="67">
        <f t="shared" si="56"/>
        <v>222.20000000000002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66.667065188627703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7.6</v>
      </c>
      <c r="N75" s="13">
        <f>IF('Données projet'!$A$36&gt;35,N74+M75-V74,IF(A75&lt;'Données projet'!$A$36,$K$205^A75,IF(A75='Données projet'!$A$36,'Données projet'!$B$36,N74+M75-V74)))</f>
        <v>289.19999999999993</v>
      </c>
      <c r="O75" s="13">
        <f>N75*VLOOKUP('Données projet'!$B$9,Paramètres!$A$1:$I$89,3,0)*VLOOKUP('Données projet'!$B$9,Paramètres!$A$1:$I$89,5,0)</f>
        <v>261.66815999999994</v>
      </c>
      <c r="P75" s="13">
        <f t="shared" si="87"/>
        <v>63.077829793082856</v>
      </c>
      <c r="Q75" s="20">
        <f t="shared" si="54"/>
        <v>565.59926555628579</v>
      </c>
      <c r="R75" s="59">
        <f t="shared" si="55"/>
        <v>846.71183791458736</v>
      </c>
      <c r="S75" s="59">
        <f ca="1">AVERAGE(OFFSET($R$3,0,0,'Données projet'!$E$9+1,1))-AVERAGE(OFFSET($H$3,0,0,'Données projet'!$E$9+1,1))</f>
        <v>473.88815717313474</v>
      </c>
      <c r="T75" s="59">
        <f t="shared" si="88"/>
        <v>287.19790203552895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21.385193111926217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21.385193111926217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66.667065188627703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7.6</v>
      </c>
      <c r="AI75" s="13">
        <f>IF('Données projet'!$A$62&gt;35,AI74+AH75-AQ74,IF(A75&lt;'Données projet'!$A$62,$AF$205^A75,IF(A75='Données projet'!$A$62,'Données projet'!$B$62,AI74+AH75-AQ74)))</f>
        <v>289.19999999999993</v>
      </c>
      <c r="AJ75" s="13">
        <f>AI75*VLOOKUP('Données projet'!$B$10,Paramètres!$A$1:$I$89,3,0)*VLOOKUP('Données projet'!$B$10,Paramètres!$A$1:$I$89,5,0)</f>
        <v>243.62207999999998</v>
      </c>
      <c r="AK75" s="13">
        <f t="shared" si="89"/>
        <v>59.218157943988587</v>
      </c>
      <c r="AL75" s="20">
        <f t="shared" si="58"/>
        <v>527.44674775244664</v>
      </c>
      <c r="AM75" s="59">
        <f t="shared" si="59"/>
        <v>808.55932011074822</v>
      </c>
      <c r="AN75" s="59">
        <f ca="1">AVERAGE(OFFSET($AM$3,0,0,'Données projet'!$E$10+1,1))-AVERAGE(OFFSET($H$3,0,0,'Données projet'!$E$10+1,1))</f>
        <v>445.19118535527258</v>
      </c>
      <c r="AO75" s="59">
        <f t="shared" si="90"/>
        <v>270.93483242839363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19.91035220765545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19.91035220765545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66.667065188627703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7.6</v>
      </c>
      <c r="BD75" s="12">
        <f>IF('Données projet'!$A$88&gt;35,BD74+BC75-BL74,IF(A75&lt;'Données projet'!$A$88,$BA$205^A75,IF(A75='Données projet'!$A$88,'Données projet'!$B$88,BD74+BC75-BL74)))</f>
        <v>289.19999999999993</v>
      </c>
      <c r="BE75" s="13">
        <f>BD75*VLOOKUP('Données projet'!$B$11,Paramètres!$A$1:$I$89,3,0)*VLOOKUP('Données projet'!$B$11,Paramètres!$A$1:$I$89,5,0)</f>
        <v>293.24879999999996</v>
      </c>
      <c r="BF75" s="13">
        <f t="shared" si="91"/>
        <v>69.759283249126327</v>
      </c>
      <c r="BG75" s="20">
        <f t="shared" si="61"/>
        <v>632.23907832556165</v>
      </c>
      <c r="BH75" s="59">
        <f t="shared" si="62"/>
        <v>913.35165068386323</v>
      </c>
      <c r="BI75" s="59">
        <f ca="1">AVERAGE(OFFSET($BH$3,0,0,'Données projet'!$E$11+1,1))-AVERAGE(OFFSET($H$3,0,0,'Données projet'!$E$11+1,1))</f>
        <v>524.01140973345832</v>
      </c>
      <c r="BJ75" s="59">
        <f t="shared" si="92"/>
        <v>315.59942237999621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23.966164694400078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23.966164694400078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66.667065188627703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4.8</v>
      </c>
      <c r="BY75" s="12">
        <f>IF('Données projet'!$A$114&gt;35,BY74+BX75-CG74,IF(A75&lt;'Données projet'!$A$114,$BV$205^A75,IF(A75='Données projet'!$A$114,'Données projet'!$B$114,BY74+BX75-CG74)))</f>
        <v>360.59999999999968</v>
      </c>
      <c r="BZ75" s="13">
        <f>BY75*VLOOKUP('Données projet'!$B$12,Paramètres!$A$1:$I$89,3,0)*VLOOKUP('Données projet'!$B$12,Paramètres!$A$1:$I$89,5,0)</f>
        <v>241.89047999999977</v>
      </c>
      <c r="CA75" s="13">
        <f t="shared" si="93"/>
        <v>58.846090538615705</v>
      </c>
      <c r="CB75" s="20">
        <f t="shared" si="64"/>
        <v>523.78286035475526</v>
      </c>
      <c r="CC75" s="59">
        <f t="shared" si="65"/>
        <v>804.89543271305683</v>
      </c>
      <c r="CD75" s="59">
        <f ca="1">AVERAGE(OFFSET($CC$3,0,0,'Données projet'!$E$12+1,1))-AVERAGE(OFFSET($H$3,0,0,'Données projet'!$E$12+1,1))</f>
        <v>358.95222991910504</v>
      </c>
      <c r="CE75" s="59">
        <f t="shared" si="94"/>
        <v>347.37506646970905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21.363337690958684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21.363337690958684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66.667065188627703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4.8</v>
      </c>
      <c r="CT75" s="12">
        <f>IF('Données projet'!$A$140&gt;35,CT74+CS75-DB74,IF(A75&lt;'Données projet'!$A$140,$CQ$205^A75,IF(A75='Données projet'!$A$140,'Données projet'!$B$140,CT74+CS75-DB74)))</f>
        <v>360.59999999999968</v>
      </c>
      <c r="CU75" s="17">
        <f>CT75*VLOOKUP('Données projet'!$B$13,Paramètres!$A$1:$I$89,3,0)*VLOOKUP('Données projet'!$B$13,Paramètres!$A$1:$I$89,5,0)</f>
        <v>236.2651199999998</v>
      </c>
      <c r="CV75" s="13">
        <f t="shared" si="95"/>
        <v>57.635220799267813</v>
      </c>
      <c r="CW75" s="20">
        <f t="shared" si="67"/>
        <v>511.87642689205774</v>
      </c>
      <c r="CX75" s="59">
        <f t="shared" si="68"/>
        <v>792.98899925035926</v>
      </c>
      <c r="CY75" s="59">
        <f ca="1">AVERAGE(OFFSET($CX$3,0,0,'Données projet'!$E$13+1,1))-AVERAGE(OFFSET($H$3,0,0,'Données projet'!$E$13+1,1))</f>
        <v>351.7266381615546</v>
      </c>
      <c r="CZ75" s="59">
        <f t="shared" si="96"/>
        <v>340.52483243761799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25.768349260799642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25.768349260799642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66.667065188627703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11</v>
      </c>
      <c r="DO75" s="12">
        <f>IF('Données projet'!$A$166&gt;35,DO74+DN75-DW74,IF(A75&lt;'Données projet'!$A$166,$DL$205^A75,IF(A75='Données projet'!$A$166,'Données projet'!$B$166,DO74+DN75-DW74)))</f>
        <v>374</v>
      </c>
      <c r="DP75" s="17">
        <f>DO75*VLOOKUP('Données projet'!$B$14,Paramètres!$A$1:$I$89,3,0)*VLOOKUP('Données projet'!$B$14,Paramètres!$A$1:$I$89,5,0)</f>
        <v>320.89200000000005</v>
      </c>
      <c r="DQ75" s="13">
        <f t="shared" si="97"/>
        <v>75.538921531436799</v>
      </c>
      <c r="DR75" s="20">
        <f t="shared" si="70"/>
        <v>690.45052166725247</v>
      </c>
      <c r="DS75" s="59">
        <f t="shared" si="71"/>
        <v>971.56309402555405</v>
      </c>
      <c r="DT75" s="59">
        <f ca="1">AVERAGE(OFFSET($DS$3,0,0,'Données projet'!$E$14+1,1))-AVERAGE(OFFSET($H$3,0,0,'Données projet'!$E$14+1,1))</f>
        <v>569.21675741362196</v>
      </c>
      <c r="DU75" s="59">
        <f t="shared" si="98"/>
        <v>321.12410801891679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31.243904331026936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31.243904331026936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66.667065188627703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4.8</v>
      </c>
      <c r="EJ75" s="12">
        <f>IF('Données projet'!$A$192&gt;35,EJ74+EI75-ER74,IF(A75&lt;'Données projet'!$A$192,$EG$205^A75,IF(A75='Données projet'!$A$192,'Données projet'!$B$192,EJ74+EI75-ER74)))</f>
        <v>360.59999999999968</v>
      </c>
      <c r="EK75" s="17">
        <f>EJ75*VLOOKUP('Données projet'!$B$15,Paramètres!$A$1:$I$89,3,0)*VLOOKUP('Données projet'!$B$15,Paramètres!$A$1:$I$89,5,0)</f>
        <v>286.89335999999975</v>
      </c>
      <c r="EL75" s="13">
        <f t="shared" si="99"/>
        <v>68.421705584684744</v>
      </c>
      <c r="EM75" s="20">
        <f t="shared" si="73"/>
        <v>618.84040589332551</v>
      </c>
      <c r="EN75" s="59">
        <f t="shared" si="74"/>
        <v>899.95297825162709</v>
      </c>
      <c r="EO75" s="59">
        <f ca="1">AVERAGE(OFFSET($EN$3,0,0,'Données projet'!$E$15+1,1))-AVERAGE(OFFSET($H$3,0,0,'Données projet'!$E$15+1,1))</f>
        <v>416.63597645452791</v>
      </c>
      <c r="EP75" s="59">
        <f t="shared" si="100"/>
        <v>402.05920382353497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38.566914757442653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38.566914757442653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66.667065188627703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4.2</v>
      </c>
      <c r="FE75" s="12">
        <f>IF('Données projet'!$A$218&gt;35,FE74+FD75-FM74,IF(A75&lt;'Données projet'!$A$218,$FB$205^A75,IF(A75='Données projet'!$A$218,'Données projet'!$B$218,FE74+FD75-FM74)))</f>
        <v>311.39999999999992</v>
      </c>
      <c r="FF75" s="17">
        <f>FE75*VLOOKUP('Données projet'!$B$16,Paramètres!$A$1:$I$89,3,0)*VLOOKUP('Données projet'!$B$16,Paramètres!$A$1:$I$89,5,0)</f>
        <v>272.03904</v>
      </c>
      <c r="FG75" s="13">
        <f t="shared" si="101"/>
        <v>65.281815371368268</v>
      </c>
      <c r="FH75" s="20">
        <f t="shared" si="76"/>
        <v>587.50048977179972</v>
      </c>
      <c r="FI75" s="59">
        <f t="shared" si="77"/>
        <v>868.6130621301013</v>
      </c>
      <c r="FJ75" s="59">
        <f ca="1">AVERAGE(OFFSET($FI$3,0,0,'Données projet'!$E$16+1,1))-AVERAGE(OFFSET($H$3,0,0,'Données projet'!$E$16+1,1))</f>
        <v>395.57130469647603</v>
      </c>
      <c r="FK75" s="59">
        <f t="shared" si="102"/>
        <v>383.97542781562674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36.217034664450232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36.217034664450232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66.667065188627703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>
        <f>FZ75*VLOOKUP('Données projet'!$B$17,Paramètres!$A$1:$I$89,3,0)*VLOOKUP('Données projet'!$B$17,Paramètres!$A$1:$I$89,5,0)</f>
        <v>0</v>
      </c>
      <c r="GB75" s="13" t="e">
        <f t="shared" si="103"/>
        <v>#NUM!</v>
      </c>
      <c r="GC75" s="20" t="e">
        <f t="shared" si="79"/>
        <v>#NUM!</v>
      </c>
      <c r="GD75" s="59" t="e">
        <f t="shared" si="80"/>
        <v>#NUM!</v>
      </c>
      <c r="GE75" s="59">
        <f ca="1">AVERAGE(OFFSET($GD$3,0,0,'Données projet'!$E$17+1,1))-AVERAGE(OFFSET($H$3,0,0,'Données projet'!$E$17+1,1))</f>
        <v>301.74744407733351</v>
      </c>
      <c r="GF75" s="59">
        <f t="shared" si="104"/>
        <v>292.46787700966991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103.75295333191168</v>
      </c>
      <c r="GM75" s="21">
        <f>EXP(-LN(2)/25)*GM74+(1-EXP(-LN(2)/25))/(LN(2)/25)*Calculateur!GH75*Calculateur!GJ75*VLOOKUP('Données projet'!$B$17,Paramètres!$A$1:$I$89,3,0)*0.475*44/12</f>
        <v>0</v>
      </c>
      <c r="GN75" s="21">
        <f>EXP(-LN(2)/2)*GN74+(1-EXP(-LN(2)/2))/(LN(2)/2)*GH75*GK75*VLOOKUP('Données projet'!$B$17,Paramètres!$A$1:$I$89,3,0)*0.475*44/12</f>
        <v>0</v>
      </c>
      <c r="GO75" s="21">
        <f t="shared" si="81"/>
        <v>103.75295333191168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66.667065188627703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4.8</v>
      </c>
      <c r="GU75" s="12">
        <f>IF('Données projet'!$A$270&gt;35,GU74+GT75-HC74,IF(A75&lt;'Données projet'!$A$270,$GR$205^A75,IF(A75='Données projet'!$A$270,'Données projet'!$B$270,GU74+GT75-HC74)))</f>
        <v>360.59999999999968</v>
      </c>
      <c r="GV75" s="17">
        <f>GU75*VLOOKUP('Données projet'!$B$18,Paramètres!$A$1:$I$89,3,0)*VLOOKUP('Données projet'!$B$18,Paramètres!$A$1:$I$89,5,0)</f>
        <v>213.76367999999982</v>
      </c>
      <c r="GW75" s="13">
        <f t="shared" si="105"/>
        <v>52.757192251264982</v>
      </c>
      <c r="GX75" s="20">
        <f t="shared" si="82"/>
        <v>464.19051917095288</v>
      </c>
      <c r="GY75" s="59">
        <f t="shared" si="83"/>
        <v>745.30309152925452</v>
      </c>
      <c r="GZ75" s="59">
        <f ca="1">AVERAGE(OFFSET($GY$3,0,0,'Données projet'!$E$18+1,1))-AVERAGE(OFFSET($H$3,0,0,'Données projet'!$E$18+1,1))</f>
        <v>322.78672881269978</v>
      </c>
      <c r="HA75" s="59">
        <f t="shared" si="106"/>
        <v>313.08736327626434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21.372711687312773</v>
      </c>
      <c r="HH75" s="21">
        <f>EXP(-LN(2)/25)*HH74+(1-EXP(-LN(2)/25))/(LN(2)/25)*Calculateur!HC75*Calculateur!HE75*VLOOKUP('Données projet'!$B$18,Paramètres!$A$1:$I$89,3,0)*0.475*44/12</f>
        <v>0</v>
      </c>
      <c r="HI75" s="21">
        <f>EXP(-LN(2)/2)*HI74+(1-EXP(-LN(2)/2))/(LN(2)/2)*HC75*HF75*VLOOKUP('Données projet'!$B$18,Paramètres!$A$1:$I$89,3,0)*0.475*44/12</f>
        <v>0</v>
      </c>
      <c r="HJ75" s="22">
        <f t="shared" si="84"/>
        <v>21.372711687312773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2.3499999999999996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8.6166666666666654</v>
      </c>
      <c r="H76" s="67">
        <f t="shared" si="56"/>
        <v>222.20000000000002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66.72488415627906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7.6</v>
      </c>
      <c r="N76" s="13">
        <f>IF('Données projet'!$A$36&gt;35,N75+M76-V75,IF(A76&lt;'Données projet'!$A$36,$K$205^A76,IF(A76='Données projet'!$A$36,'Données projet'!$B$36,N75+M76-V75)))</f>
        <v>296.79999999999995</v>
      </c>
      <c r="O76" s="13">
        <f>N76*VLOOKUP('Données projet'!$B$9,Paramètres!$A$1:$I$89,3,0)*VLOOKUP('Données projet'!$B$9,Paramètres!$A$1:$I$89,5,0)</f>
        <v>268.5446399999999</v>
      </c>
      <c r="P76" s="13">
        <f t="shared" si="87"/>
        <v>64.54030807605065</v>
      </c>
      <c r="Q76" s="20">
        <f t="shared" si="54"/>
        <v>580.12295123245474</v>
      </c>
      <c r="R76" s="59">
        <f t="shared" si="55"/>
        <v>861.44752647214455</v>
      </c>
      <c r="S76" s="59">
        <f ca="1">AVERAGE(OFFSET($R$3,0,0,'Données projet'!$E$9+1,1))-AVERAGE(OFFSET($H$3,0,0,'Données projet'!$E$9+1,1))</f>
        <v>473.88815717313474</v>
      </c>
      <c r="T76" s="59">
        <f t="shared" si="88"/>
        <v>287.19790203552895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20.965842518681185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20.965842518681185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66.72488415627906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7.6</v>
      </c>
      <c r="AI76" s="13">
        <f>IF('Données projet'!$A$62&gt;35,AI75+AH76-AQ75,IF(A76&lt;'Données projet'!$A$62,$AF$205^A76,IF(A76='Données projet'!$A$62,'Données projet'!$B$62,AI75+AH76-AQ75)))</f>
        <v>296.79999999999995</v>
      </c>
      <c r="AJ76" s="13">
        <f>AI76*VLOOKUP('Données projet'!$B$10,Paramètres!$A$1:$I$89,3,0)*VLOOKUP('Données projet'!$B$10,Paramètres!$A$1:$I$89,5,0)</f>
        <v>250.02431999999999</v>
      </c>
      <c r="AK76" s="13">
        <f t="shared" si="89"/>
        <v>60.591148584829206</v>
      </c>
      <c r="AL76" s="20">
        <f t="shared" si="58"/>
        <v>540.9886077852442</v>
      </c>
      <c r="AM76" s="59">
        <f t="shared" si="59"/>
        <v>822.31318302493401</v>
      </c>
      <c r="AN76" s="59">
        <f ca="1">AVERAGE(OFFSET($AM$3,0,0,'Données projet'!$E$10+1,1))-AVERAGE(OFFSET($H$3,0,0,'Données projet'!$E$10+1,1))</f>
        <v>445.19118535527258</v>
      </c>
      <c r="AO76" s="59">
        <f t="shared" si="90"/>
        <v>270.93483242839363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19.51992234497904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19.51992234497904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66.72488415627906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7.6</v>
      </c>
      <c r="BD76" s="12">
        <f>IF('Données projet'!$A$88&gt;35,BD75+BC76-BL75,IF(A76&lt;'Données projet'!$A$88,$BA$205^A76,IF(A76='Données projet'!$A$88,'Données projet'!$B$88,BD75+BC76-BL75)))</f>
        <v>296.79999999999995</v>
      </c>
      <c r="BE76" s="13">
        <f>BD76*VLOOKUP('Données projet'!$B$11,Paramètres!$A$1:$I$89,3,0)*VLOOKUP('Données projet'!$B$11,Paramètres!$A$1:$I$89,5,0)</f>
        <v>300.95519999999999</v>
      </c>
      <c r="BF76" s="13">
        <f t="shared" si="91"/>
        <v>71.376673021759785</v>
      </c>
      <c r="BG76" s="20">
        <f t="shared" si="61"/>
        <v>648.47801217956487</v>
      </c>
      <c r="BH76" s="59">
        <f t="shared" si="62"/>
        <v>929.80258741925468</v>
      </c>
      <c r="BI76" s="59">
        <f ca="1">AVERAGE(OFFSET($BH$3,0,0,'Données projet'!$E$11+1,1))-AVERAGE(OFFSET($H$3,0,0,'Données projet'!$E$11+1,1))</f>
        <v>524.01140973345832</v>
      </c>
      <c r="BJ76" s="59">
        <f t="shared" si="92"/>
        <v>315.59942237999621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23.496202822659956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23.496202822659956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66.72488415627906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4.8</v>
      </c>
      <c r="BY76" s="12">
        <f>IF('Données projet'!$A$114&gt;35,BY75+BX76-CG75,IF(A76&lt;'Données projet'!$A$114,$BV$205^A76,IF(A76='Données projet'!$A$114,'Données projet'!$B$114,BY75+BX76-CG75)))</f>
        <v>365.39999999999969</v>
      </c>
      <c r="BZ76" s="13">
        <f>BY76*VLOOKUP('Données projet'!$B$12,Paramètres!$A$1:$I$89,3,0)*VLOOKUP('Données projet'!$B$12,Paramètres!$A$1:$I$89,5,0)</f>
        <v>245.1103199999998</v>
      </c>
      <c r="CA76" s="13">
        <f t="shared" si="93"/>
        <v>59.537688830400349</v>
      </c>
      <c r="CB76" s="20">
        <f t="shared" si="64"/>
        <v>530.5952820462802</v>
      </c>
      <c r="CC76" s="59">
        <f t="shared" si="65"/>
        <v>811.91985728597001</v>
      </c>
      <c r="CD76" s="59">
        <f ca="1">AVERAGE(OFFSET($CC$3,0,0,'Données projet'!$E$12+1,1))-AVERAGE(OFFSET($H$3,0,0,'Données projet'!$E$12+1,1))</f>
        <v>358.95222991910504</v>
      </c>
      <c r="CE76" s="59">
        <f t="shared" si="94"/>
        <v>347.37506646970905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20.944415669188334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20.944415669188334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66.72488415627906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4.8</v>
      </c>
      <c r="CT76" s="12">
        <f>IF('Données projet'!$A$140&gt;35,CT75+CS76-DB75,IF(A76&lt;'Données projet'!$A$140,$CQ$205^A76,IF(A76='Données projet'!$A$140,'Données projet'!$B$140,CT75+CS76-DB75)))</f>
        <v>365.39999999999969</v>
      </c>
      <c r="CU76" s="17">
        <f>CT76*VLOOKUP('Données projet'!$B$13,Paramètres!$A$1:$I$89,3,0)*VLOOKUP('Données projet'!$B$13,Paramètres!$A$1:$I$89,5,0)</f>
        <v>239.41007999999982</v>
      </c>
      <c r="CV76" s="13">
        <f t="shared" si="95"/>
        <v>58.312588146640707</v>
      </c>
      <c r="CW76" s="20">
        <f t="shared" si="67"/>
        <v>518.53364702206557</v>
      </c>
      <c r="CX76" s="59">
        <f t="shared" si="68"/>
        <v>799.85822226175537</v>
      </c>
      <c r="CY76" s="59">
        <f ca="1">AVERAGE(OFFSET($CX$3,0,0,'Données projet'!$E$13+1,1))-AVERAGE(OFFSET($H$3,0,0,'Données projet'!$E$13+1,1))</f>
        <v>351.7266381615546</v>
      </c>
      <c r="CZ76" s="59">
        <f t="shared" si="96"/>
        <v>340.52483243761799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25.263047648936471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25.263047648936471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66.72488415627906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11</v>
      </c>
      <c r="DO76" s="12">
        <f>IF('Données projet'!$A$166&gt;35,DO75+DN76-DW75,IF(A76&lt;'Données projet'!$A$166,$DL$205^A76,IF(A76='Données projet'!$A$166,'Données projet'!$B$166,DO75+DN76-DW75)))</f>
        <v>385</v>
      </c>
      <c r="DP76" s="17">
        <f>DO76*VLOOKUP('Données projet'!$B$14,Paramètres!$A$1:$I$89,3,0)*VLOOKUP('Données projet'!$B$14,Paramètres!$A$1:$I$89,5,0)</f>
        <v>330.33000000000004</v>
      </c>
      <c r="DQ76" s="13">
        <f t="shared" si="97"/>
        <v>77.498720610826084</v>
      </c>
      <c r="DR76" s="20">
        <f t="shared" si="70"/>
        <v>710.30168839718874</v>
      </c>
      <c r="DS76" s="59">
        <f t="shared" si="71"/>
        <v>991.62626363687855</v>
      </c>
      <c r="DT76" s="59">
        <f ca="1">AVERAGE(OFFSET($DS$3,0,0,'Données projet'!$E$14+1,1))-AVERAGE(OFFSET($H$3,0,0,'Données projet'!$E$14+1,1))</f>
        <v>569.21675741362196</v>
      </c>
      <c r="DU76" s="59">
        <f t="shared" si="98"/>
        <v>321.12410801891679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30.631230423995426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30.631230423995426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66.72488415627906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4.8</v>
      </c>
      <c r="EJ76" s="12">
        <f>IF('Données projet'!$A$192&gt;35,EJ75+EI76-ER75,IF(A76&lt;'Données projet'!$A$192,$EG$205^A76,IF(A76='Données projet'!$A$192,'Données projet'!$B$192,EJ75+EI76-ER75)))</f>
        <v>365.39999999999969</v>
      </c>
      <c r="EK76" s="17">
        <f>EJ76*VLOOKUP('Données projet'!$B$15,Paramètres!$A$1:$I$89,3,0)*VLOOKUP('Données projet'!$B$15,Paramètres!$A$1:$I$89,5,0)</f>
        <v>290.71223999999978</v>
      </c>
      <c r="EL76" s="13">
        <f t="shared" si="99"/>
        <v>69.225842856510994</v>
      </c>
      <c r="EM76" s="20">
        <f t="shared" si="73"/>
        <v>626.89216097508961</v>
      </c>
      <c r="EN76" s="59">
        <f t="shared" si="74"/>
        <v>908.21673621477953</v>
      </c>
      <c r="EO76" s="59">
        <f ca="1">AVERAGE(OFFSET($EN$3,0,0,'Données projet'!$E$15+1,1))-AVERAGE(OFFSET($H$3,0,0,'Données projet'!$E$15+1,1))</f>
        <v>416.63597645452791</v>
      </c>
      <c r="EP76" s="59">
        <f t="shared" si="100"/>
        <v>402.05920382353497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37.81064108254445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37.81064108254445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66.72488415627906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4.2</v>
      </c>
      <c r="FE76" s="12">
        <f>IF('Données projet'!$A$218&gt;35,FE75+FD76-FM75,IF(A76&lt;'Données projet'!$A$218,$FB$205^A76,IF(A76='Données projet'!$A$218,'Données projet'!$B$218,FE75+FD76-FM75)))</f>
        <v>315.59999999999991</v>
      </c>
      <c r="FF76" s="17">
        <f>FE76*VLOOKUP('Données projet'!$B$16,Paramètres!$A$1:$I$89,3,0)*VLOOKUP('Données projet'!$B$16,Paramètres!$A$1:$I$89,5,0)</f>
        <v>275.70815999999996</v>
      </c>
      <c r="FG76" s="13">
        <f t="shared" si="101"/>
        <v>66.05920594467139</v>
      </c>
      <c r="FH76" s="20">
        <f t="shared" si="76"/>
        <v>595.24482902030275</v>
      </c>
      <c r="FI76" s="59">
        <f t="shared" si="77"/>
        <v>876.56940425999255</v>
      </c>
      <c r="FJ76" s="59">
        <f ca="1">AVERAGE(OFFSET($FI$3,0,0,'Données projet'!$E$16+1,1))-AVERAGE(OFFSET($H$3,0,0,'Données projet'!$E$16+1,1))</f>
        <v>395.57130469647603</v>
      </c>
      <c r="FK76" s="59">
        <f t="shared" si="102"/>
        <v>383.97542781562674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35.50684070489028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35.50684070489028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66.72488415627906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>
        <f>FZ76*VLOOKUP('Données projet'!$B$17,Paramètres!$A$1:$I$89,3,0)*VLOOKUP('Données projet'!$B$17,Paramètres!$A$1:$I$89,5,0)</f>
        <v>0</v>
      </c>
      <c r="GB76" s="13" t="e">
        <f t="shared" si="103"/>
        <v>#NUM!</v>
      </c>
      <c r="GC76" s="20" t="e">
        <f t="shared" si="79"/>
        <v>#NUM!</v>
      </c>
      <c r="GD76" s="59" t="e">
        <f t="shared" si="80"/>
        <v>#NUM!</v>
      </c>
      <c r="GE76" s="59">
        <f ca="1">AVERAGE(OFFSET($GD$3,0,0,'Données projet'!$E$17+1,1))-AVERAGE(OFFSET($H$3,0,0,'Données projet'!$E$17+1,1))</f>
        <v>301.74744407733351</v>
      </c>
      <c r="GF76" s="59">
        <f t="shared" si="104"/>
        <v>292.46787700966991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101.71842120012575</v>
      </c>
      <c r="GM76" s="21">
        <f>EXP(-LN(2)/25)*GM75+(1-EXP(-LN(2)/25))/(LN(2)/25)*Calculateur!GH76*Calculateur!GJ76*VLOOKUP('Données projet'!$B$17,Paramètres!$A$1:$I$89,3,0)*0.475*44/12</f>
        <v>0</v>
      </c>
      <c r="GN76" s="21">
        <f>EXP(-LN(2)/2)*GN75+(1-EXP(-LN(2)/2))/(LN(2)/2)*GH76*GK76*VLOOKUP('Données projet'!$B$17,Paramètres!$A$1:$I$89,3,0)*0.475*44/12</f>
        <v>0</v>
      </c>
      <c r="GO76" s="21">
        <f t="shared" si="81"/>
        <v>101.71842120012575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66.72488415627906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4.8</v>
      </c>
      <c r="GU76" s="12">
        <f>IF('Données projet'!$A$270&gt;35,GU75+GT76-HC75,IF(A76&lt;'Données projet'!$A$270,$GR$205^A76,IF(A76='Données projet'!$A$270,'Données projet'!$B$270,GU75+GT76-HC75)))</f>
        <v>365.39999999999969</v>
      </c>
      <c r="GV76" s="17">
        <f>GU76*VLOOKUP('Données projet'!$B$18,Paramètres!$A$1:$I$89,3,0)*VLOOKUP('Données projet'!$B$18,Paramètres!$A$1:$I$89,5,0)</f>
        <v>216.60911999999985</v>
      </c>
      <c r="GW76" s="13">
        <f t="shared" si="105"/>
        <v>53.377229771283169</v>
      </c>
      <c r="GX76" s="20">
        <f t="shared" si="82"/>
        <v>470.22622585165124</v>
      </c>
      <c r="GY76" s="59">
        <f t="shared" si="83"/>
        <v>751.5508010913411</v>
      </c>
      <c r="GZ76" s="59">
        <f ca="1">AVERAGE(OFFSET($GY$3,0,0,'Données projet'!$E$18+1,1))-AVERAGE(OFFSET($H$3,0,0,'Données projet'!$E$18+1,1))</f>
        <v>322.78672881269978</v>
      </c>
      <c r="HA76" s="59">
        <f t="shared" si="106"/>
        <v>313.08736327626434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20.953605847191493</v>
      </c>
      <c r="HH76" s="21">
        <f>EXP(-LN(2)/25)*HH75+(1-EXP(-LN(2)/25))/(LN(2)/25)*Calculateur!HC76*Calculateur!HE76*VLOOKUP('Données projet'!$B$18,Paramètres!$A$1:$I$89,3,0)*0.475*44/12</f>
        <v>0</v>
      </c>
      <c r="HI76" s="21">
        <f>EXP(-LN(2)/2)*HI75+(1-EXP(-LN(2)/2))/(LN(2)/2)*HC76*HF76*VLOOKUP('Données projet'!$B$18,Paramètres!$A$1:$I$89,3,0)*0.475*44/12</f>
        <v>0</v>
      </c>
      <c r="HJ76" s="22">
        <f t="shared" si="84"/>
        <v>20.953605847191493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2.3499999999999996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8.6166666666666654</v>
      </c>
      <c r="H77" s="67">
        <f t="shared" si="56"/>
        <v>222.20000000000002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66.781700094105517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7.6</v>
      </c>
      <c r="N77" s="13">
        <f>IF('Données projet'!$A$36&gt;35,N76+M77-V76,IF(A77&lt;'Données projet'!$A$36,$K$205^A77,IF(A77='Données projet'!$A$36,'Données projet'!$B$36,N76+M77-V76)))</f>
        <v>304.39999999999998</v>
      </c>
      <c r="O77" s="13">
        <f>N77*VLOOKUP('Données projet'!$B$9,Paramètres!$A$1:$I$89,3,0)*VLOOKUP('Données projet'!$B$9,Paramètres!$A$1:$I$89,5,0)</f>
        <v>275.42111999999997</v>
      </c>
      <c r="P77" s="13">
        <f t="shared" si="87"/>
        <v>65.998433293601067</v>
      </c>
      <c r="Q77" s="20">
        <f t="shared" si="54"/>
        <v>594.63905531968851</v>
      </c>
      <c r="R77" s="59">
        <f t="shared" si="55"/>
        <v>876.17195566474209</v>
      </c>
      <c r="S77" s="59">
        <f ca="1">AVERAGE(OFFSET($R$3,0,0,'Données projet'!$E$9+1,1))-AVERAGE(OFFSET($H$3,0,0,'Données projet'!$E$9+1,1))</f>
        <v>473.88815717313474</v>
      </c>
      <c r="T77" s="59">
        <f t="shared" si="88"/>
        <v>287.19790203552895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20.554715134791085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20.554715134791085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66.781700094105517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7.6</v>
      </c>
      <c r="AI77" s="13">
        <f>IF('Données projet'!$A$62&gt;35,AI76+AH77-AQ76,IF(A77&lt;'Données projet'!$A$62,$AF$205^A77,IF(A77='Données projet'!$A$62,'Données projet'!$B$62,AI76+AH77-AQ76)))</f>
        <v>304.39999999999998</v>
      </c>
      <c r="AJ77" s="13">
        <f>AI77*VLOOKUP('Données projet'!$B$10,Paramètres!$A$1:$I$89,3,0)*VLOOKUP('Données projet'!$B$10,Paramètres!$A$1:$I$89,5,0)</f>
        <v>256.42655999999999</v>
      </c>
      <c r="AK77" s="13">
        <f t="shared" si="89"/>
        <v>61.960052520146306</v>
      </c>
      <c r="AL77" s="20">
        <f t="shared" si="58"/>
        <v>554.52335013925483</v>
      </c>
      <c r="AM77" s="59">
        <f t="shared" si="59"/>
        <v>836.05625048430841</v>
      </c>
      <c r="AN77" s="59">
        <f ca="1">AVERAGE(OFFSET($AM$3,0,0,'Données projet'!$E$10+1,1))-AVERAGE(OFFSET($H$3,0,0,'Données projet'!$E$10+1,1))</f>
        <v>445.19118535527258</v>
      </c>
      <c r="AO77" s="59">
        <f t="shared" si="90"/>
        <v>270.93483242839363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19.137148573771015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19.137148573771015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66.781700094105517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7.6</v>
      </c>
      <c r="BD77" s="12">
        <f>IF('Données projet'!$A$88&gt;35,BD76+BC77-BL76,IF(A77&lt;'Données projet'!$A$88,$BA$205^A77,IF(A77='Données projet'!$A$88,'Données projet'!$B$88,BD76+BC77-BL76)))</f>
        <v>304.39999999999998</v>
      </c>
      <c r="BE77" s="13">
        <f>BD77*VLOOKUP('Données projet'!$B$11,Paramètres!$A$1:$I$89,3,0)*VLOOKUP('Données projet'!$B$11,Paramètres!$A$1:$I$89,5,0)</f>
        <v>308.66159999999996</v>
      </c>
      <c r="BF77" s="13">
        <f t="shared" si="91"/>
        <v>72.98924863505313</v>
      </c>
      <c r="BG77" s="20">
        <f t="shared" si="61"/>
        <v>664.70856137271744</v>
      </c>
      <c r="BH77" s="59">
        <f t="shared" si="62"/>
        <v>946.24146171777102</v>
      </c>
      <c r="BI77" s="59">
        <f ca="1">AVERAGE(OFFSET($BH$3,0,0,'Données projet'!$E$11+1,1))-AVERAGE(OFFSET($H$3,0,0,'Données projet'!$E$11+1,1))</f>
        <v>524.01140973345832</v>
      </c>
      <c r="BJ77" s="59">
        <f t="shared" si="92"/>
        <v>315.59942237999621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23.035456616576223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23.035456616576223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66.781700094105517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4.8</v>
      </c>
      <c r="BY77" s="12">
        <f>IF('Données projet'!$A$114&gt;35,BY76+BX77-CG76,IF(A77&lt;'Données projet'!$A$114,$BV$205^A77,IF(A77='Données projet'!$A$114,'Données projet'!$B$114,BY76+BX77-CG76)))</f>
        <v>370.1999999999997</v>
      </c>
      <c r="BZ77" s="13">
        <f>BY77*VLOOKUP('Données projet'!$B$12,Paramètres!$A$1:$I$89,3,0)*VLOOKUP('Données projet'!$B$12,Paramètres!$A$1:$I$89,5,0)</f>
        <v>248.33015999999981</v>
      </c>
      <c r="CA77" s="13">
        <f t="shared" si="93"/>
        <v>60.228230400049313</v>
      </c>
      <c r="CB77" s="20">
        <f t="shared" si="64"/>
        <v>537.40586328008555</v>
      </c>
      <c r="CC77" s="59">
        <f t="shared" si="65"/>
        <v>818.93876362513913</v>
      </c>
      <c r="CD77" s="59">
        <f ca="1">AVERAGE(OFFSET($CC$3,0,0,'Données projet'!$E$12+1,1))-AVERAGE(OFFSET($H$3,0,0,'Données projet'!$E$12+1,1))</f>
        <v>358.95222991910504</v>
      </c>
      <c r="CE77" s="59">
        <f t="shared" si="94"/>
        <v>347.37506646970905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20.5337084527477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20.5337084527477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66.781700094105517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4.8</v>
      </c>
      <c r="CT77" s="12">
        <f>IF('Données projet'!$A$140&gt;35,CT76+CS77-DB76,IF(A77&lt;'Données projet'!$A$140,$CQ$205^A77,IF(A77='Données projet'!$A$140,'Données projet'!$B$140,CT76+CS77-DB76)))</f>
        <v>370.1999999999997</v>
      </c>
      <c r="CU77" s="17">
        <f>CT77*VLOOKUP('Données projet'!$B$13,Paramètres!$A$1:$I$89,3,0)*VLOOKUP('Données projet'!$B$13,Paramètres!$A$1:$I$89,5,0)</f>
        <v>242.55503999999979</v>
      </c>
      <c r="CV77" s="13">
        <f t="shared" si="95"/>
        <v>58.988920515936691</v>
      </c>
      <c r="CW77" s="20">
        <f t="shared" si="67"/>
        <v>525.18906456525599</v>
      </c>
      <c r="CX77" s="59">
        <f t="shared" si="68"/>
        <v>806.72196491030957</v>
      </c>
      <c r="CY77" s="59">
        <f ca="1">AVERAGE(OFFSET($CX$3,0,0,'Données projet'!$E$13+1,1))-AVERAGE(OFFSET($H$3,0,0,'Données projet'!$E$13+1,1))</f>
        <v>351.7266381615546</v>
      </c>
      <c r="CZ77" s="59">
        <f t="shared" si="96"/>
        <v>340.52483243761799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24.767654693478388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24.767654693478388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66.781700094105517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11</v>
      </c>
      <c r="DO77" s="12">
        <f>IF('Données projet'!$A$166&gt;35,DO76+DN77-DW76,IF(A77&lt;'Données projet'!$A$166,$DL$205^A77,IF(A77='Données projet'!$A$166,'Données projet'!$B$166,DO76+DN77-DW76)))</f>
        <v>396</v>
      </c>
      <c r="DP77" s="17">
        <f>DO77*VLOOKUP('Données projet'!$B$14,Paramètres!$A$1:$I$89,3,0)*VLOOKUP('Données projet'!$B$14,Paramètres!$A$1:$I$89,5,0)</f>
        <v>339.76800000000003</v>
      </c>
      <c r="DQ77" s="13">
        <f t="shared" si="97"/>
        <v>79.452011848891914</v>
      </c>
      <c r="DR77" s="20">
        <f t="shared" si="70"/>
        <v>730.14152063682013</v>
      </c>
      <c r="DS77" s="59">
        <f t="shared" si="71"/>
        <v>1011.6744209818737</v>
      </c>
      <c r="DT77" s="59">
        <f ca="1">AVERAGE(OFFSET($DS$3,0,0,'Données projet'!$E$14+1,1))-AVERAGE(OFFSET($H$3,0,0,'Données projet'!$E$14+1,1))</f>
        <v>569.21675741362196</v>
      </c>
      <c r="DU77" s="59">
        <f t="shared" si="98"/>
        <v>321.12410801891679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30.030570678586621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30.030570678586621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66.781700094105517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4.8</v>
      </c>
      <c r="EJ77" s="12">
        <f>IF('Données projet'!$A$192&gt;35,EJ76+EI77-ER76,IF(A77&lt;'Données projet'!$A$192,$EG$205^A77,IF(A77='Données projet'!$A$192,'Données projet'!$B$192,EJ76+EI77-ER76)))</f>
        <v>370.1999999999997</v>
      </c>
      <c r="EK77" s="17">
        <f>EJ77*VLOOKUP('Données projet'!$B$15,Paramètres!$A$1:$I$89,3,0)*VLOOKUP('Données projet'!$B$15,Paramètres!$A$1:$I$89,5,0)</f>
        <v>294.53111999999976</v>
      </c>
      <c r="EL77" s="13">
        <f t="shared" si="99"/>
        <v>70.028751453157682</v>
      </c>
      <c r="EM77" s="20">
        <f t="shared" si="73"/>
        <v>634.94177611424914</v>
      </c>
      <c r="EN77" s="59">
        <f t="shared" si="74"/>
        <v>916.47467645930271</v>
      </c>
      <c r="EO77" s="59">
        <f ca="1">AVERAGE(OFFSET($EN$3,0,0,'Données projet'!$E$15+1,1))-AVERAGE(OFFSET($H$3,0,0,'Données projet'!$E$15+1,1))</f>
        <v>416.63597645452791</v>
      </c>
      <c r="EP77" s="59">
        <f t="shared" si="100"/>
        <v>402.05920382353497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37.069197473129606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37.069197473129606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66.781700094105517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4.2</v>
      </c>
      <c r="FE77" s="12">
        <f>IF('Données projet'!$A$218&gt;35,FE76+FD77-FM76,IF(A77&lt;'Données projet'!$A$218,$FB$205^A77,IF(A77='Données projet'!$A$218,'Données projet'!$B$218,FE76+FD77-FM76)))</f>
        <v>319.7999999999999</v>
      </c>
      <c r="FF77" s="17">
        <f>FE77*VLOOKUP('Données projet'!$B$16,Paramètres!$A$1:$I$89,3,0)*VLOOKUP('Données projet'!$B$16,Paramètres!$A$1:$I$89,5,0)</f>
        <v>279.37727999999993</v>
      </c>
      <c r="FG77" s="13">
        <f t="shared" si="101"/>
        <v>66.835393196206056</v>
      </c>
      <c r="FH77" s="20">
        <f t="shared" si="76"/>
        <v>602.98707248339201</v>
      </c>
      <c r="FI77" s="59">
        <f t="shared" si="77"/>
        <v>884.51997282844559</v>
      </c>
      <c r="FJ77" s="59">
        <f ca="1">AVERAGE(OFFSET($FI$3,0,0,'Données projet'!$E$16+1,1))-AVERAGE(OFFSET($H$3,0,0,'Données projet'!$E$16+1,1))</f>
        <v>395.57130469647603</v>
      </c>
      <c r="FK77" s="59">
        <f t="shared" si="102"/>
        <v>383.97542781562674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34.810573215701758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34.810573215701758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66.781700094105517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>
        <f>FZ77*VLOOKUP('Données projet'!$B$17,Paramètres!$A$1:$I$89,3,0)*VLOOKUP('Données projet'!$B$17,Paramètres!$A$1:$I$89,5,0)</f>
        <v>0</v>
      </c>
      <c r="GB77" s="13" t="e">
        <f t="shared" si="103"/>
        <v>#NUM!</v>
      </c>
      <c r="GC77" s="20" t="e">
        <f t="shared" si="79"/>
        <v>#NUM!</v>
      </c>
      <c r="GD77" s="59" t="e">
        <f t="shared" si="80"/>
        <v>#NUM!</v>
      </c>
      <c r="GE77" s="59">
        <f ca="1">AVERAGE(OFFSET($GD$3,0,0,'Données projet'!$E$17+1,1))-AVERAGE(OFFSET($H$3,0,0,'Données projet'!$E$17+1,1))</f>
        <v>301.74744407733351</v>
      </c>
      <c r="GF77" s="59">
        <f t="shared" si="104"/>
        <v>292.46787700966991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99.723785002502069</v>
      </c>
      <c r="GM77" s="21">
        <f>EXP(-LN(2)/25)*GM76+(1-EXP(-LN(2)/25))/(LN(2)/25)*Calculateur!GH77*Calculateur!GJ77*VLOOKUP('Données projet'!$B$17,Paramètres!$A$1:$I$89,3,0)*0.475*44/12</f>
        <v>0</v>
      </c>
      <c r="GN77" s="21">
        <f>EXP(-LN(2)/2)*GN76+(1-EXP(-LN(2)/2))/(LN(2)/2)*GH77*GK77*VLOOKUP('Données projet'!$B$17,Paramètres!$A$1:$I$89,3,0)*0.475*44/12</f>
        <v>0</v>
      </c>
      <c r="GO77" s="21">
        <f t="shared" si="81"/>
        <v>99.723785002502069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66.781700094105517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4.8</v>
      </c>
      <c r="GU77" s="12">
        <f>IF('Données projet'!$A$270&gt;35,GU76+GT77-HC76,IF(A77&lt;'Données projet'!$A$270,$GR$205^A77,IF(A77='Données projet'!$A$270,'Données projet'!$B$270,GU76+GT77-HC76)))</f>
        <v>370.1999999999997</v>
      </c>
      <c r="GV77" s="17">
        <f>GU77*VLOOKUP('Données projet'!$B$18,Paramètres!$A$1:$I$89,3,0)*VLOOKUP('Données projet'!$B$18,Paramètres!$A$1:$I$89,5,0)</f>
        <v>219.45455999999984</v>
      </c>
      <c r="GW77" s="13">
        <f t="shared" si="105"/>
        <v>53.996319909880462</v>
      </c>
      <c r="GX77" s="20">
        <f t="shared" si="82"/>
        <v>476.26028250970813</v>
      </c>
      <c r="GY77" s="59">
        <f t="shared" si="83"/>
        <v>757.79318285476165</v>
      </c>
      <c r="GZ77" s="59">
        <f ca="1">AVERAGE(OFFSET($GY$3,0,0,'Données projet'!$E$18+1,1))-AVERAGE(OFFSET($H$3,0,0,'Données projet'!$E$18+1,1))</f>
        <v>322.78672881269978</v>
      </c>
      <c r="HA77" s="59">
        <f t="shared" si="106"/>
        <v>313.08736327626434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20.542718416965673</v>
      </c>
      <c r="HH77" s="21">
        <f>EXP(-LN(2)/25)*HH76+(1-EXP(-LN(2)/25))/(LN(2)/25)*Calculateur!HC77*Calculateur!HE77*VLOOKUP('Données projet'!$B$18,Paramètres!$A$1:$I$89,3,0)*0.475*44/12</f>
        <v>0</v>
      </c>
      <c r="HI77" s="21">
        <f>EXP(-LN(2)/2)*HI76+(1-EXP(-LN(2)/2))/(LN(2)/2)*HC77*HF77*VLOOKUP('Données projet'!$B$18,Paramètres!$A$1:$I$89,3,0)*0.475*44/12</f>
        <v>0</v>
      </c>
      <c r="HJ77" s="22">
        <f t="shared" si="84"/>
        <v>20.542718416965673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2.3499999999999996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8.6166666666666654</v>
      </c>
      <c r="H78" s="67">
        <f t="shared" si="56"/>
        <v>222.20000000000002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66.837530402432094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312</v>
      </c>
      <c r="L78" s="12">
        <f>VLOOKUP(A78,'Données projet'!$A$35:$I$55,9,0)</f>
        <v>7.6</v>
      </c>
      <c r="M78" s="12">
        <f t="array" ref="M78">INDEX(L:L,MIN(IF(ISNUMBER(L78:L274),ROW(L78:L274),"")))</f>
        <v>7.6</v>
      </c>
      <c r="N78" s="13">
        <f>IF('Données projet'!$A$36&gt;35,N77+M78-V77,IF(A78&lt;'Données projet'!$A$36,$K$205^A78,IF(A78='Données projet'!$A$36,'Données projet'!$B$36,N77+M78-V77)))</f>
        <v>312</v>
      </c>
      <c r="O78" s="13">
        <f>N78*VLOOKUP('Données projet'!$B$9,Paramètres!$A$1:$I$89,3,0)*VLOOKUP('Données projet'!$B$9,Paramètres!$A$1:$I$89,5,0)</f>
        <v>282.29759999999999</v>
      </c>
      <c r="P78" s="13">
        <f t="shared" si="87"/>
        <v>67.452326629470178</v>
      </c>
      <c r="Q78" s="20">
        <f t="shared" si="54"/>
        <v>609.14778887966042</v>
      </c>
      <c r="R78" s="59">
        <f t="shared" si="55"/>
        <v>890.88540035524477</v>
      </c>
      <c r="S78" s="59">
        <f ca="1">AVERAGE(OFFSET($R$3,0,0,'Données projet'!$E$9+1,1))-AVERAGE(OFFSET($H$3,0,0,'Données projet'!$E$9+1,1))</f>
        <v>473.88815717313474</v>
      </c>
      <c r="T78" s="59">
        <f t="shared" si="88"/>
        <v>287.19790203552895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28</v>
      </c>
      <c r="W78" s="16">
        <f>IF(ISNA(VLOOKUP(A78,'Données projet'!$A$35:$I$55,5,0)),0%,VLOOKUP(A78,'Données projet'!$A$35:$I$55,5,0)*VLOOKUP('Données projet'!$B$9,Paramètres!$A$1:$I$89,7,0))</f>
        <v>0.215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26.173031896532631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26.173031896532631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66.837530402432094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312</v>
      </c>
      <c r="AG78" s="12">
        <f>VLOOKUP(A78,'Données projet'!$A$61:$I$81,9,0)</f>
        <v>7.6</v>
      </c>
      <c r="AH78" s="12">
        <f t="array" ref="AH78">INDEX(AG:AG,MIN(IF(ISNUMBER(AG78:AG274),ROW(AG78:AG274),"")))</f>
        <v>7.6</v>
      </c>
      <c r="AI78" s="13">
        <f>IF('Données projet'!$A$62&gt;35,AI77+AH78-AQ77,IF(A78&lt;'Données projet'!$A$62,$AF$205^A78,IF(A78='Données projet'!$A$62,'Données projet'!$B$62,AI77+AH78-AQ77)))</f>
        <v>312</v>
      </c>
      <c r="AJ78" s="13">
        <f>AI78*VLOOKUP('Données projet'!$B$10,Paramètres!$A$1:$I$89,3,0)*VLOOKUP('Données projet'!$B$10,Paramètres!$A$1:$I$89,5,0)</f>
        <v>262.82880000000006</v>
      </c>
      <c r="AK78" s="13">
        <f t="shared" si="89"/>
        <v>63.324983518559485</v>
      </c>
      <c r="AL78" s="20">
        <f t="shared" si="58"/>
        <v>568.05117296149115</v>
      </c>
      <c r="AM78" s="59">
        <f t="shared" si="59"/>
        <v>849.78878443707549</v>
      </c>
      <c r="AN78" s="59">
        <f ca="1">AVERAGE(OFFSET($AM$3,0,0,'Données projet'!$E$10+1,1))-AVERAGE(OFFSET($H$3,0,0,'Données projet'!$E$10+1,1))</f>
        <v>445.19118535527258</v>
      </c>
      <c r="AO78" s="59">
        <f t="shared" si="90"/>
        <v>270.93483242839363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28</v>
      </c>
      <c r="AR78" s="16">
        <f>IF(ISNA(VLOOKUP(A78,'Données projet'!$A$61:$I$81,5,0)),0%,VLOOKUP(A78,'Données projet'!$A$61:$I$81,5,0)*VLOOKUP('Données projet'!$B$10,Paramètres!$A$1:$I$89,7,0))</f>
        <v>0.215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24.367995214013145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24.367995214013145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66.837530402432094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312</v>
      </c>
      <c r="BB78" s="12">
        <f>VLOOKUP(A78,'Données projet'!$A$87:$I$107,9,0)</f>
        <v>7.6</v>
      </c>
      <c r="BC78" s="12">
        <f t="array" ref="BC78">INDEX(BB:BB,MIN(IF(ISNUMBER(BB78:BB274),ROW(BB78:BB274),"")))</f>
        <v>7.6</v>
      </c>
      <c r="BD78" s="12">
        <f>IF('Données projet'!$A$88&gt;35,BD77+BC78-BL77,IF(A78&lt;'Données projet'!$A$88,$BA$205^A78,IF(A78='Données projet'!$A$88,'Données projet'!$B$88,BD77+BC78-BL77)))</f>
        <v>312</v>
      </c>
      <c r="BE78" s="13">
        <f>BD78*VLOOKUP('Données projet'!$B$11,Paramètres!$A$1:$I$89,3,0)*VLOOKUP('Données projet'!$B$11,Paramètres!$A$1:$I$89,5,0)</f>
        <v>316.36800000000005</v>
      </c>
      <c r="BF78" s="13">
        <f t="shared" si="91"/>
        <v>74.597144109003438</v>
      </c>
      <c r="BG78" s="20">
        <f t="shared" si="61"/>
        <v>680.93095932318113</v>
      </c>
      <c r="BH78" s="59">
        <f t="shared" si="62"/>
        <v>962.66857079876547</v>
      </c>
      <c r="BI78" s="59">
        <f ca="1">AVERAGE(OFFSET($BH$3,0,0,'Données projet'!$E$11+1,1))-AVERAGE(OFFSET($H$3,0,0,'Données projet'!$E$11+1,1))</f>
        <v>524.01140973345832</v>
      </c>
      <c r="BJ78" s="59">
        <f t="shared" si="92"/>
        <v>315.59942237999621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28</v>
      </c>
      <c r="BM78" s="16">
        <f>IF(ISNA(VLOOKUP(A78,'Données projet'!$A$87:$I$107,5,0)),0%,VLOOKUP(A78,'Données projet'!$A$87:$I$107,5,0)*VLOOKUP('Données projet'!$B$11,Paramètres!$A$1:$I$89,7,0))</f>
        <v>0.215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29.331846090941752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29.331846090941752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66.837530402432094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375</v>
      </c>
      <c r="BW78" s="12">
        <f>VLOOKUP(A78,'Données projet'!$A$113:$I$133,9,0)</f>
        <v>4.8</v>
      </c>
      <c r="BX78" s="12">
        <f t="array" ref="BX78">INDEX(BW:BW,MIN(IF(ISNUMBER(BW78:BW274),ROW(BW78:BW274),"")))</f>
        <v>4.8</v>
      </c>
      <c r="BY78" s="12">
        <f>IF('Données projet'!$A$114&gt;35,BY77+BX78-CG77,IF(A78&lt;'Données projet'!$A$114,$BV$205^A78,IF(A78='Données projet'!$A$114,'Données projet'!$B$114,BY77+BX78-CG77)))</f>
        <v>374.99999999999972</v>
      </c>
      <c r="BZ78" s="13">
        <f>BY78*VLOOKUP('Données projet'!$B$12,Paramètres!$A$1:$I$89,3,0)*VLOOKUP('Données projet'!$B$12,Paramètres!$A$1:$I$89,5,0)</f>
        <v>251.54999999999984</v>
      </c>
      <c r="CA78" s="13">
        <f t="shared" si="93"/>
        <v>60.917730533154099</v>
      </c>
      <c r="CB78" s="20">
        <f t="shared" si="64"/>
        <v>544.21463067857633</v>
      </c>
      <c r="CC78" s="59">
        <f t="shared" si="65"/>
        <v>825.95224215416067</v>
      </c>
      <c r="CD78" s="59">
        <f ca="1">AVERAGE(OFFSET($CC$3,0,0,'Données projet'!$E$12+1,1))-AVERAGE(OFFSET($H$3,0,0,'Données projet'!$E$12+1,1))</f>
        <v>358.95222991910504</v>
      </c>
      <c r="CE78" s="59">
        <f t="shared" si="94"/>
        <v>347.37506646970905</v>
      </c>
      <c r="CF78" s="15">
        <f>IF(ISNA(VLOOKUP(A78,'Données projet'!$A$113:$I$133,3,0)),0,VLOOKUP(A78,'Données projet'!$A$113:$I$133,3,0))</f>
        <v>14</v>
      </c>
      <c r="CG78" s="15">
        <f>IF(ISNA(VLOOKUP(A78,'Données projet'!$A$113:$I$133,4,0)),0,VLOOKUP(A78,'Données projet'!$A$113:$I$133,4,0))</f>
        <v>14</v>
      </c>
      <c r="CH78" s="16">
        <f>IF(ISNA(VLOOKUP(A78,'Données projet'!$A$113:$I$133,5,0)),0%,VLOOKUP(A78,'Données projet'!$A$113:$I$133,5,0)*VLOOKUP('Données projet'!$B$12,Paramètres!$A$1:$I$89,7,0))</f>
        <v>0.42400000000000004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24.532892967901212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24.532892967901212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66.837530402432094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375</v>
      </c>
      <c r="CR78" s="12">
        <f>VLOOKUP(A78,'Données projet'!$A$139:$I$159,9,0)</f>
        <v>4.8</v>
      </c>
      <c r="CS78" s="12">
        <f t="array" ref="CS78">INDEX(CR:CR,MIN(IF(ISNUMBER(CR78:CR274),ROW(CR78:CR274),"")))</f>
        <v>4.8</v>
      </c>
      <c r="CT78" s="12">
        <f>IF('Données projet'!$A$140&gt;35,CT77+CS78-DB77,IF(A78&lt;'Données projet'!$A$140,$CQ$205^A78,IF(A78='Données projet'!$A$140,'Données projet'!$B$140,CT77+CS78-DB77)))</f>
        <v>374.99999999999972</v>
      </c>
      <c r="CU78" s="17">
        <f>CT78*VLOOKUP('Données projet'!$B$13,Paramètres!$A$1:$I$89,3,0)*VLOOKUP('Données projet'!$B$13,Paramètres!$A$1:$I$89,5,0)</f>
        <v>245.69999999999982</v>
      </c>
      <c r="CV78" s="13">
        <f t="shared" si="95"/>
        <v>59.664232878217433</v>
      </c>
      <c r="CW78" s="20">
        <f t="shared" si="67"/>
        <v>531.84270559622837</v>
      </c>
      <c r="CX78" s="59">
        <f t="shared" si="68"/>
        <v>813.58031707181271</v>
      </c>
      <c r="CY78" s="59">
        <f ca="1">AVERAGE(OFFSET($CX$3,0,0,'Données projet'!$E$13+1,1))-AVERAGE(OFFSET($H$3,0,0,'Données projet'!$E$13+1,1))</f>
        <v>351.7266381615546</v>
      </c>
      <c r="CZ78" s="59">
        <f t="shared" si="96"/>
        <v>340.52483243761799</v>
      </c>
      <c r="DA78" s="15">
        <f>IF(ISNA(VLOOKUP(A78,'Données projet'!$A$139:$I$159,3,0)),0,VLOOKUP(A78,'Données projet'!$A$139:$I$159,3,0))</f>
        <v>14</v>
      </c>
      <c r="DB78" s="15">
        <f>IF(ISNA(VLOOKUP(A78,'Données projet'!$A$139:$I$159,4,0)),0,VLOOKUP(A78,'Données projet'!$A$139:$I$159,4,0))</f>
        <v>14</v>
      </c>
      <c r="DC78" s="16">
        <f>IF(ISNA(VLOOKUP(A78,'Données projet'!$A$139:$I$159,5,0)),0%,VLOOKUP(A78,'Données projet'!$A$139:$I$159,5,0)*VLOOKUP('Données projet'!$B$13,Paramètres!$A$1:$I$89,7,0))</f>
        <v>0.34400000000000003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27.770225083615635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27.770225083615635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66.837530402432094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407</v>
      </c>
      <c r="DM78" s="12">
        <f>VLOOKUP(A78,'Données projet'!$A$165:$I$185,9,0)</f>
        <v>11</v>
      </c>
      <c r="DN78" s="12">
        <f t="array" ref="DN78">INDEX(DM:DM,MIN(IF(ISNUMBER(DM78:DM274),ROW(DM78:DM274),"")))</f>
        <v>11</v>
      </c>
      <c r="DO78" s="12">
        <f>IF('Données projet'!$A$166&gt;35,DO77+DN78-DW77,IF(A78&lt;'Données projet'!$A$166,$DL$205^A78,IF(A78='Données projet'!$A$166,'Données projet'!$B$166,DO77+DN78-DW77)))</f>
        <v>407</v>
      </c>
      <c r="DP78" s="17">
        <f>DO78*VLOOKUP('Données projet'!$B$14,Paramètres!$A$1:$I$89,3,0)*VLOOKUP('Données projet'!$B$14,Paramètres!$A$1:$I$89,5,0)</f>
        <v>349.20600000000007</v>
      </c>
      <c r="DQ78" s="13">
        <f t="shared" si="97"/>
        <v>81.398996787610969</v>
      </c>
      <c r="DR78" s="20">
        <f t="shared" si="70"/>
        <v>749.97036940508917</v>
      </c>
      <c r="DS78" s="59">
        <f t="shared" si="71"/>
        <v>1031.7079808806734</v>
      </c>
      <c r="DT78" s="59">
        <f ca="1">AVERAGE(OFFSET($DS$3,0,0,'Données projet'!$E$14+1,1))-AVERAGE(OFFSET($H$3,0,0,'Données projet'!$E$14+1,1))</f>
        <v>569.21675741362196</v>
      </c>
      <c r="DU78" s="59">
        <f t="shared" si="98"/>
        <v>321.12410801891679</v>
      </c>
      <c r="DV78" s="15">
        <f>IF(ISNA(VLOOKUP(A78,'Données projet'!$A$165:$I$185,3,0)),0,VLOOKUP(A78,'Données projet'!$A$165:$I$185,3,0))</f>
        <v>12</v>
      </c>
      <c r="DW78" s="15">
        <f>IF(ISNA(VLOOKUP(A78,'Données projet'!$A$165:$I$185,4,0)),0,VLOOKUP(A78,'Données projet'!$A$165:$I$185,4,0))</f>
        <v>35</v>
      </c>
      <c r="DX78" s="16">
        <f>IF(ISNA(VLOOKUP(A78,'Données projet'!$A$165:$I$185,5,0)),0%,VLOOKUP(A78,'Données projet'!$A$165:$I$185,5,0)*VLOOKUP('Données projet'!$B$14,Paramètres!$A$1:$I$89,7,0))</f>
        <v>0.26500000000000001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38.238967511223258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38.238967511223258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66.837530402432094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375</v>
      </c>
      <c r="EH78" s="12">
        <f>VLOOKUP(A78,'Données projet'!$A$191:$I$211,9,0)</f>
        <v>4.8</v>
      </c>
      <c r="EI78" s="12">
        <f t="array" ref="EI78">INDEX(EH:EH,MIN(IF(ISNUMBER(EH78:EH274),ROW(EH78:EH274),"")))</f>
        <v>4.8</v>
      </c>
      <c r="EJ78" s="12">
        <f>IF('Données projet'!$A$192&gt;35,EJ77+EI78-ER77,IF(A78&lt;'Données projet'!$A$192,$EG$205^A78,IF(A78='Données projet'!$A$192,'Données projet'!$B$192,EJ77+EI78-ER77)))</f>
        <v>374.99999999999972</v>
      </c>
      <c r="EK78" s="17">
        <f>EJ78*VLOOKUP('Données projet'!$B$15,Paramètres!$A$1:$I$89,3,0)*VLOOKUP('Données projet'!$B$15,Paramètres!$A$1:$I$89,5,0)</f>
        <v>298.3499999999998</v>
      </c>
      <c r="EL78" s="13">
        <f t="shared" si="99"/>
        <v>70.83044914753448</v>
      </c>
      <c r="EM78" s="20">
        <f t="shared" si="73"/>
        <v>642.98928226528881</v>
      </c>
      <c r="EN78" s="59">
        <f t="shared" si="74"/>
        <v>924.72689374087315</v>
      </c>
      <c r="EO78" s="59">
        <f ca="1">AVERAGE(OFFSET($EN$3,0,0,'Données projet'!$E$15+1,1))-AVERAGE(OFFSET($H$3,0,0,'Données projet'!$E$15+1,1))</f>
        <v>416.63597645452791</v>
      </c>
      <c r="EP78" s="59">
        <f t="shared" si="100"/>
        <v>402.05920382353497</v>
      </c>
      <c r="EQ78" s="15">
        <f>IF(ISNA(VLOOKUP(A78,'Données projet'!$A$191:$I$211,3,0)),0,VLOOKUP(A78,'Données projet'!$A$191:$I$211,3,0))</f>
        <v>14</v>
      </c>
      <c r="ER78" s="15">
        <f>IF(ISNA(VLOOKUP(A78,'Données projet'!$A$191:$I$211,4,0)),0,VLOOKUP(A78,'Données projet'!$A$191:$I$211,4,0))</f>
        <v>14</v>
      </c>
      <c r="ES78" s="16">
        <f>IF(ISNA(VLOOKUP(A78,'Données projet'!$A$191:$I$211,5,0)),0%,VLOOKUP(A78,'Données projet'!$A$191:$I$211,5,0)*VLOOKUP('Données projet'!$B$15,Paramètres!$A$1:$I$89,7,0))</f>
        <v>0.42400000000000004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41.563077741424721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41.563077741424721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66.837530402432094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324</v>
      </c>
      <c r="FC78" s="12">
        <f>VLOOKUP(A78,'Données projet'!$A$217:$I$237,9,0)</f>
        <v>4.2</v>
      </c>
      <c r="FD78" s="12">
        <f t="array" ref="FD78">INDEX(FC:FC,MIN(IF(ISNUMBER(FC78:FC274),ROW(FC78:FC274),"")))</f>
        <v>4.2</v>
      </c>
      <c r="FE78" s="12">
        <f>IF('Données projet'!$A$218&gt;35,FE77+FD78-FM77,IF(A78&lt;'Données projet'!$A$218,$FB$205^A78,IF(A78='Données projet'!$A$218,'Données projet'!$B$218,FE77+FD78-FM77)))</f>
        <v>323.99999999999989</v>
      </c>
      <c r="FF78" s="17">
        <f>FE78*VLOOKUP('Données projet'!$B$16,Paramètres!$A$1:$I$89,3,0)*VLOOKUP('Données projet'!$B$16,Paramètres!$A$1:$I$89,5,0)</f>
        <v>283.04639999999989</v>
      </c>
      <c r="FG78" s="13">
        <f t="shared" si="101"/>
        <v>67.610394756513259</v>
      </c>
      <c r="FH78" s="20">
        <f t="shared" si="76"/>
        <v>610.72725086759363</v>
      </c>
      <c r="FI78" s="59">
        <f t="shared" si="77"/>
        <v>892.46486234317797</v>
      </c>
      <c r="FJ78" s="59">
        <f ca="1">AVERAGE(OFFSET($FI$3,0,0,'Données projet'!$E$16+1,1))-AVERAGE(OFFSET($H$3,0,0,'Données projet'!$E$16+1,1))</f>
        <v>395.57130469647603</v>
      </c>
      <c r="FK78" s="59">
        <f t="shared" si="102"/>
        <v>383.97542781562674</v>
      </c>
      <c r="FL78" s="15">
        <f>IF(ISNA(VLOOKUP(A78,'Données projet'!$A$217:$I$237,3,0)),0,VLOOKUP(A78,'Données projet'!$A$217:$I$237,3,0))</f>
        <v>14</v>
      </c>
      <c r="FM78" s="15">
        <f>IF(ISNA(VLOOKUP(A78,'Données projet'!$A$217:$I$237,4,0)),0,VLOOKUP(A78,'Données projet'!$A$217:$I$237,4,0))</f>
        <v>12</v>
      </c>
      <c r="FN78" s="16">
        <f>IF(ISNA(VLOOKUP(A78,'Données projet'!$A$217:$I$237,5,0)),0%,VLOOKUP(A78,'Données projet'!$A$217:$I$237,5,0)*VLOOKUP('Données projet'!$B$16,Paramètres!$A$1:$I$89,7,0))</f>
        <v>0.42400000000000004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39.041638750368193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39.041638750368193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66.837530402432094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>
        <f>FZ78*VLOOKUP('Données projet'!$B$17,Paramètres!$A$1:$I$89,3,0)*VLOOKUP('Données projet'!$B$17,Paramètres!$A$1:$I$89,5,0)</f>
        <v>0</v>
      </c>
      <c r="GB78" s="13" t="e">
        <f t="shared" si="103"/>
        <v>#NUM!</v>
      </c>
      <c r="GC78" s="20" t="e">
        <f t="shared" si="79"/>
        <v>#NUM!</v>
      </c>
      <c r="GD78" s="59" t="e">
        <f t="shared" si="80"/>
        <v>#NUM!</v>
      </c>
      <c r="GE78" s="59">
        <f ca="1">AVERAGE(OFFSET($GD$3,0,0,'Données projet'!$E$17+1,1))-AVERAGE(OFFSET($H$3,0,0,'Données projet'!$E$17+1,1))</f>
        <v>301.74744407733351</v>
      </c>
      <c r="GF78" s="59">
        <f t="shared" si="104"/>
        <v>292.46787700966991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97.76826240410584</v>
      </c>
      <c r="GM78" s="21">
        <f>EXP(-LN(2)/25)*GM77+(1-EXP(-LN(2)/25))/(LN(2)/25)*Calculateur!GH78*Calculateur!GJ78*VLOOKUP('Données projet'!$B$17,Paramètres!$A$1:$I$89,3,0)*0.475*44/12</f>
        <v>0</v>
      </c>
      <c r="GN78" s="21">
        <f>EXP(-LN(2)/2)*GN77+(1-EXP(-LN(2)/2))/(LN(2)/2)*GH78*GK78*VLOOKUP('Données projet'!$B$17,Paramètres!$A$1:$I$89,3,0)*0.475*44/12</f>
        <v>0</v>
      </c>
      <c r="GO78" s="21">
        <f t="shared" si="81"/>
        <v>97.76826240410584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66.837530402432094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>
        <f>VLOOKUP(A78,'Données projet'!$A$269:$I$289,2,0)</f>
        <v>375</v>
      </c>
      <c r="GS78" s="12">
        <f>VLOOKUP(A78,'Données projet'!$A$269:$I$289,9,0)</f>
        <v>4.8</v>
      </c>
      <c r="GT78" s="12">
        <f t="array" ref="GT78">INDEX(GS:GS,MIN(IF(ISNUMBER(GS78:GS274),ROW(GS78:GS274),"")))</f>
        <v>4.8</v>
      </c>
      <c r="GU78" s="12">
        <f>IF('Données projet'!$A$270&gt;35,GU77+GT78-HC77,IF(A78&lt;'Données projet'!$A$270,$GR$205^A78,IF(A78='Données projet'!$A$270,'Données projet'!$B$270,GU77+GT78-HC77)))</f>
        <v>374.99999999999972</v>
      </c>
      <c r="GV78" s="17">
        <f>GU78*VLOOKUP('Données projet'!$B$18,Paramètres!$A$1:$I$89,3,0)*VLOOKUP('Données projet'!$B$18,Paramètres!$A$1:$I$89,5,0)</f>
        <v>222.29999999999984</v>
      </c>
      <c r="GW78" s="13">
        <f t="shared" si="105"/>
        <v>54.614476371023891</v>
      </c>
      <c r="GX78" s="20">
        <f t="shared" si="82"/>
        <v>482.29271301286627</v>
      </c>
      <c r="GY78" s="59">
        <f t="shared" si="83"/>
        <v>764.03032448845056</v>
      </c>
      <c r="GZ78" s="59">
        <f ca="1">AVERAGE(OFFSET($GY$3,0,0,'Données projet'!$E$18+1,1))-AVERAGE(OFFSET($H$3,0,0,'Données projet'!$E$18+1,1))</f>
        <v>322.78672881269978</v>
      </c>
      <c r="HA78" s="59">
        <f t="shared" si="106"/>
        <v>313.08736327626434</v>
      </c>
      <c r="HB78" s="15">
        <f>IF(ISNA(VLOOKUP(A78,'Données projet'!$A$269:$I$289,3,0)),0,VLOOKUP(A78,'Données projet'!$A$269:$I$289,3,0))</f>
        <v>14</v>
      </c>
      <c r="HC78" s="15">
        <f>IF(ISNA(VLOOKUP(A78,'Données projet'!$A$269:$I$289,4,0)),0,VLOOKUP(A78,'Données projet'!$A$269:$I$289,4,0))</f>
        <v>14</v>
      </c>
      <c r="HD78" s="16">
        <f>IF(ISNA(VLOOKUP(A78,'Données projet'!$A$269:$I$289,5,0)),0%,VLOOKUP(A78,'Données projet'!$A$269:$I$289,5,0)*VLOOKUP('Données projet'!$B$18,Paramètres!$A$1:$I$89,7,0))</f>
        <v>0.48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>
        <f>EXP(-LN(2)/35)*HG77+(1-EXP(-LN(2)/35))/(LN(2)/35)*HC78*HD78*VLOOKUP('Données projet'!$B$18,Paramètres!$A$1:$I$89,3,0)*0.475*44/12</f>
        <v>24.543657730063526</v>
      </c>
      <c r="HH78" s="21">
        <f>EXP(-LN(2)/25)*HH77+(1-EXP(-LN(2)/25))/(LN(2)/25)*Calculateur!HC78*Calculateur!HE78*VLOOKUP('Données projet'!$B$18,Paramètres!$A$1:$I$89,3,0)*0.475*44/12</f>
        <v>0</v>
      </c>
      <c r="HI78" s="21">
        <f>EXP(-LN(2)/2)*HI77+(1-EXP(-LN(2)/2))/(LN(2)/2)*HC78*HF78*VLOOKUP('Données projet'!$B$18,Paramètres!$A$1:$I$89,3,0)*0.475*44/12</f>
        <v>0</v>
      </c>
      <c r="HJ78" s="22">
        <f t="shared" si="84"/>
        <v>24.543657730063526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2.3499999999999996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8.6166666666666654</v>
      </c>
      <c r="H79" s="67">
        <f t="shared" si="56"/>
        <v>222.20000000000002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66.892392179727068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7.2</v>
      </c>
      <c r="N79" s="13">
        <f>IF('Données projet'!$A$36&gt;35,N78+M79-V78,IF(A79&lt;'Données projet'!$A$36,$K$205^A79,IF(A79='Données projet'!$A$36,'Données projet'!$B$36,N78+M79-V78)))</f>
        <v>291.2</v>
      </c>
      <c r="O79" s="13">
        <f>N79*VLOOKUP('Données projet'!$B$9,Paramètres!$A$1:$I$89,3,0)*VLOOKUP('Données projet'!$B$9,Paramètres!$A$1:$I$89,5,0)</f>
        <v>263.47775999999999</v>
      </c>
      <c r="P79" s="13">
        <f t="shared" si="87"/>
        <v>63.46312159763346</v>
      </c>
      <c r="Q79" s="20">
        <f t="shared" si="54"/>
        <v>569.42203544921153</v>
      </c>
      <c r="R79" s="59">
        <f t="shared" si="55"/>
        <v>851.36080677487746</v>
      </c>
      <c r="S79" s="59">
        <f ca="1">AVERAGE(OFFSET($R$3,0,0,'Données projet'!$E$9+1,1))-AVERAGE(OFFSET($H$3,0,0,'Données projet'!$E$9+1,1))</f>
        <v>473.88815717313474</v>
      </c>
      <c r="T79" s="59">
        <f t="shared" si="88"/>
        <v>287.19790203552895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25.659794705014772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25.659794705014772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66.892392179727068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7.2</v>
      </c>
      <c r="AI79" s="13">
        <f>IF('Données projet'!$A$62&gt;35,AI78+AH79-AQ78,IF(A79&lt;'Données projet'!$A$62,$AF$205^A79,IF(A79='Données projet'!$A$62,'Données projet'!$B$62,AI78+AH79-AQ78)))</f>
        <v>291.2</v>
      </c>
      <c r="AJ79" s="13">
        <f>AI79*VLOOKUP('Données projet'!$B$10,Paramètres!$A$1:$I$89,3,0)*VLOOKUP('Données projet'!$B$10,Paramètres!$A$1:$I$89,5,0)</f>
        <v>245.30688000000001</v>
      </c>
      <c r="AK79" s="13">
        <f t="shared" si="89"/>
        <v>59.579874112906374</v>
      </c>
      <c r="AL79" s="20">
        <f t="shared" si="58"/>
        <v>531.01109674664531</v>
      </c>
      <c r="AM79" s="59">
        <f t="shared" si="59"/>
        <v>812.94986807231123</v>
      </c>
      <c r="AN79" s="59">
        <f ca="1">AVERAGE(OFFSET($AM$3,0,0,'Données projet'!$E$10+1,1))-AVERAGE(OFFSET($H$3,0,0,'Données projet'!$E$10+1,1))</f>
        <v>445.19118535527258</v>
      </c>
      <c r="AO79" s="59">
        <f t="shared" si="90"/>
        <v>270.93483242839363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23.890153690875827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23.890153690875827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66.892392179727068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7.2</v>
      </c>
      <c r="BD79" s="12">
        <f>IF('Données projet'!$A$88&gt;35,BD78+BC79-BL78,IF(A79&lt;'Données projet'!$A$88,$BA$205^A79,IF(A79='Données projet'!$A$88,'Données projet'!$B$88,BD78+BC79-BL78)))</f>
        <v>291.2</v>
      </c>
      <c r="BE79" s="13">
        <f>BD79*VLOOKUP('Données projet'!$B$11,Paramètres!$A$1:$I$89,3,0)*VLOOKUP('Données projet'!$B$11,Paramètres!$A$1:$I$89,5,0)</f>
        <v>295.27680000000004</v>
      </c>
      <c r="BF79" s="13">
        <f t="shared" si="91"/>
        <v>70.185386686980493</v>
      </c>
      <c r="BG79" s="20">
        <f t="shared" si="61"/>
        <v>636.51330847982445</v>
      </c>
      <c r="BH79" s="59">
        <f t="shared" si="62"/>
        <v>918.45207980549037</v>
      </c>
      <c r="BI79" s="59">
        <f ca="1">AVERAGE(OFFSET($BH$3,0,0,'Données projet'!$E$11+1,1))-AVERAGE(OFFSET($H$3,0,0,'Données projet'!$E$11+1,1))</f>
        <v>524.01140973345832</v>
      </c>
      <c r="BJ79" s="59">
        <f t="shared" si="92"/>
        <v>315.59942237999621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28.756666479757943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28.756666479757943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66.892392179727068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4</v>
      </c>
      <c r="BY79" s="12">
        <f>IF('Données projet'!$A$114&gt;35,BY78+BX79-CG78,IF(A79&lt;'Données projet'!$A$114,$BV$205^A79,IF(A79='Données projet'!$A$114,'Données projet'!$B$114,BY78+BX79-CG78)))</f>
        <v>364.99999999999972</v>
      </c>
      <c r="BZ79" s="13">
        <f>BY79*VLOOKUP('Données projet'!$B$12,Paramètres!$A$1:$I$89,3,0)*VLOOKUP('Données projet'!$B$12,Paramètres!$A$1:$I$89,5,0)</f>
        <v>244.84199999999981</v>
      </c>
      <c r="CA79" s="13">
        <f t="shared" si="93"/>
        <v>59.480096214206256</v>
      </c>
      <c r="CB79" s="20">
        <f t="shared" si="64"/>
        <v>530.02765090640889</v>
      </c>
      <c r="CC79" s="59">
        <f t="shared" si="65"/>
        <v>811.96642223207482</v>
      </c>
      <c r="CD79" s="59">
        <f ca="1">AVERAGE(OFFSET($CC$3,0,0,'Données projet'!$E$12+1,1))-AVERAGE(OFFSET($H$3,0,0,'Données projet'!$E$12+1,1))</f>
        <v>358.95222991910504</v>
      </c>
      <c r="CE79" s="59">
        <f t="shared" si="94"/>
        <v>347.37506646970905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24.051817900387849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24.051817900387849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66.892392179727068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4</v>
      </c>
      <c r="CT79" s="12">
        <f>IF('Données projet'!$A$140&gt;35,CT78+CS79-DB78,IF(A79&lt;'Données projet'!$A$140,$CQ$205^A79,IF(A79='Données projet'!$A$140,'Données projet'!$B$140,CT78+CS79-DB78)))</f>
        <v>364.99999999999972</v>
      </c>
      <c r="CU79" s="17">
        <f>CT79*VLOOKUP('Données projet'!$B$13,Paramètres!$A$1:$I$89,3,0)*VLOOKUP('Données projet'!$B$13,Paramètres!$A$1:$I$89,5,0)</f>
        <v>239.1479999999998</v>
      </c>
      <c r="CV79" s="13">
        <f t="shared" si="95"/>
        <v>58.256180607577733</v>
      </c>
      <c r="CW79" s="20">
        <f t="shared" si="67"/>
        <v>517.97894789153088</v>
      </c>
      <c r="CX79" s="59">
        <f t="shared" si="68"/>
        <v>799.9177192171968</v>
      </c>
      <c r="CY79" s="59">
        <f ca="1">AVERAGE(OFFSET($CX$3,0,0,'Données projet'!$E$13+1,1))-AVERAGE(OFFSET($H$3,0,0,'Données projet'!$E$13+1,1))</f>
        <v>351.7266381615546</v>
      </c>
      <c r="CZ79" s="59">
        <f t="shared" si="96"/>
        <v>340.52483243761799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27.225667907890728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27.225667907890728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66.892392179727068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10.4</v>
      </c>
      <c r="DO79" s="12">
        <f>IF('Données projet'!$A$166&gt;35,DO78+DN79-DW78,IF(A79&lt;'Données projet'!$A$166,$DL$205^A79,IF(A79='Données projet'!$A$166,'Données projet'!$B$166,DO78+DN79-DW78)))</f>
        <v>382.4</v>
      </c>
      <c r="DP79" s="17">
        <f>DO79*VLOOKUP('Données projet'!$B$14,Paramètres!$A$1:$I$89,3,0)*VLOOKUP('Données projet'!$B$14,Paramètres!$A$1:$I$89,5,0)</f>
        <v>328.0992</v>
      </c>
      <c r="DQ79" s="13">
        <f t="shared" si="97"/>
        <v>77.036090442258086</v>
      </c>
      <c r="DR79" s="20">
        <f t="shared" si="70"/>
        <v>705.61063085359956</v>
      </c>
      <c r="DS79" s="59">
        <f t="shared" si="71"/>
        <v>987.54940217926548</v>
      </c>
      <c r="DT79" s="59">
        <f ca="1">AVERAGE(OFFSET($DS$3,0,0,'Données projet'!$E$14+1,1))-AVERAGE(OFFSET($H$3,0,0,'Données projet'!$E$14+1,1))</f>
        <v>569.21675741362196</v>
      </c>
      <c r="DU79" s="59">
        <f t="shared" si="98"/>
        <v>321.12410801891679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37.489124681795353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37.489124681795353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66.892392179727068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4</v>
      </c>
      <c r="EJ79" s="12">
        <f>IF('Données projet'!$A$192&gt;35,EJ78+EI79-ER78,IF(A79&lt;'Données projet'!$A$192,$EG$205^A79,IF(A79='Données projet'!$A$192,'Données projet'!$B$192,EJ78+EI79-ER78)))</f>
        <v>364.99999999999972</v>
      </c>
      <c r="EK79" s="17">
        <f>EJ79*VLOOKUP('Données projet'!$B$15,Paramètres!$A$1:$I$89,3,0)*VLOOKUP('Données projet'!$B$15,Paramètres!$A$1:$I$89,5,0)</f>
        <v>290.39399999999978</v>
      </c>
      <c r="EL79" s="13">
        <f t="shared" si="99"/>
        <v>69.158878594433091</v>
      </c>
      <c r="EM79" s="20">
        <f t="shared" si="73"/>
        <v>626.22126355197054</v>
      </c>
      <c r="EN79" s="59">
        <f t="shared" si="74"/>
        <v>908.16003487763646</v>
      </c>
      <c r="EO79" s="59">
        <f ca="1">AVERAGE(OFFSET($EN$3,0,0,'Données projet'!$E$15+1,1))-AVERAGE(OFFSET($H$3,0,0,'Données projet'!$E$15+1,1))</f>
        <v>416.63597645452791</v>
      </c>
      <c r="EP79" s="59">
        <f t="shared" si="100"/>
        <v>402.05920382353497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40.748051137889604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40.748051137889604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66.892392179727068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3.6</v>
      </c>
      <c r="FE79" s="12">
        <f>IF('Données projet'!$A$218&gt;35,FE78+FD79-FM78,IF(A79&lt;'Données projet'!$A$218,$FB$205^A79,IF(A79='Données projet'!$A$218,'Données projet'!$B$218,FE78+FD79-FM78)))</f>
        <v>315.59999999999991</v>
      </c>
      <c r="FF79" s="17">
        <f>FE79*VLOOKUP('Données projet'!$B$16,Paramètres!$A$1:$I$89,3,0)*VLOOKUP('Données projet'!$B$16,Paramètres!$A$1:$I$89,5,0)</f>
        <v>275.70815999999996</v>
      </c>
      <c r="FG79" s="13">
        <f t="shared" si="101"/>
        <v>66.05920594467139</v>
      </c>
      <c r="FH79" s="20">
        <f t="shared" si="76"/>
        <v>595.24482902030275</v>
      </c>
      <c r="FI79" s="59">
        <f t="shared" si="77"/>
        <v>877.18360034596867</v>
      </c>
      <c r="FJ79" s="59">
        <f ca="1">AVERAGE(OFFSET($FI$3,0,0,'Données projet'!$E$16+1,1))-AVERAGE(OFFSET($H$3,0,0,'Données projet'!$E$16+1,1))</f>
        <v>395.57130469647603</v>
      </c>
      <c r="FK79" s="59">
        <f t="shared" si="102"/>
        <v>383.97542781562674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38.276056027521768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38.276056027521768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66.892392179727068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>
        <f>FZ79*VLOOKUP('Données projet'!$B$17,Paramètres!$A$1:$I$89,3,0)*VLOOKUP('Données projet'!$B$17,Paramètres!$A$1:$I$89,5,0)</f>
        <v>0</v>
      </c>
      <c r="GB79" s="13" t="e">
        <f t="shared" si="103"/>
        <v>#NUM!</v>
      </c>
      <c r="GC79" s="20" t="e">
        <f t="shared" si="79"/>
        <v>#NUM!</v>
      </c>
      <c r="GD79" s="59" t="e">
        <f t="shared" si="80"/>
        <v>#NUM!</v>
      </c>
      <c r="GE79" s="59">
        <f ca="1">AVERAGE(OFFSET($GD$3,0,0,'Données projet'!$E$17+1,1))-AVERAGE(OFFSET($H$3,0,0,'Données projet'!$E$17+1,1))</f>
        <v>301.74744407733351</v>
      </c>
      <c r="GF79" s="59">
        <f t="shared" si="104"/>
        <v>292.46787700966991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95.851086411113144</v>
      </c>
      <c r="GM79" s="21">
        <f>EXP(-LN(2)/25)*GM78+(1-EXP(-LN(2)/25))/(LN(2)/25)*Calculateur!GH79*Calculateur!GJ79*VLOOKUP('Données projet'!$B$17,Paramètres!$A$1:$I$89,3,0)*0.475*44/12</f>
        <v>0</v>
      </c>
      <c r="GN79" s="21">
        <f>EXP(-LN(2)/2)*GN78+(1-EXP(-LN(2)/2))/(LN(2)/2)*GH79*GK79*VLOOKUP('Données projet'!$B$17,Paramètres!$A$1:$I$89,3,0)*0.475*44/12</f>
        <v>0</v>
      </c>
      <c r="GO79" s="21">
        <f t="shared" si="81"/>
        <v>95.851086411113144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66.892392179727068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4</v>
      </c>
      <c r="GU79" s="12">
        <f>IF('Données projet'!$A$270&gt;35,GU78+GT79-HC78,IF(A79&lt;'Données projet'!$A$270,$GR$205^A79,IF(A79='Données projet'!$A$270,'Données projet'!$B$270,GU78+GT79-HC78)))</f>
        <v>364.99999999999972</v>
      </c>
      <c r="GV79" s="17">
        <f>GU79*VLOOKUP('Données projet'!$B$18,Paramètres!$A$1:$I$89,3,0)*VLOOKUP('Données projet'!$B$18,Paramètres!$A$1:$I$89,5,0)</f>
        <v>216.37199999999984</v>
      </c>
      <c r="GW79" s="13">
        <f t="shared" si="105"/>
        <v>53.325596354398591</v>
      </c>
      <c r="GX79" s="20">
        <f t="shared" si="82"/>
        <v>469.72331365057727</v>
      </c>
      <c r="GY79" s="59">
        <f t="shared" si="83"/>
        <v>751.66208497624325</v>
      </c>
      <c r="GZ79" s="59">
        <f ca="1">AVERAGE(OFFSET($GY$3,0,0,'Données projet'!$E$18+1,1))-AVERAGE(OFFSET($H$3,0,0,'Données projet'!$E$18+1,1))</f>
        <v>322.78672881269978</v>
      </c>
      <c r="HA79" s="59">
        <f t="shared" si="106"/>
        <v>313.08736327626434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24.062371572130015</v>
      </c>
      <c r="HH79" s="21">
        <f>EXP(-LN(2)/25)*HH78+(1-EXP(-LN(2)/25))/(LN(2)/25)*Calculateur!HC79*Calculateur!HE79*VLOOKUP('Données projet'!$B$18,Paramètres!$A$1:$I$89,3,0)*0.475*44/12</f>
        <v>0</v>
      </c>
      <c r="HI79" s="21">
        <f>EXP(-LN(2)/2)*HI78+(1-EXP(-LN(2)/2))/(LN(2)/2)*HC79*HF79*VLOOKUP('Données projet'!$B$18,Paramètres!$A$1:$I$89,3,0)*0.475*44/12</f>
        <v>0</v>
      </c>
      <c r="HJ79" s="22">
        <f t="shared" si="84"/>
        <v>24.062371572130015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2.3499999999999996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8.6166666666666654</v>
      </c>
      <c r="H80" s="67">
        <f t="shared" si="56"/>
        <v>222.20000000000002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66.946302227838544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7.2</v>
      </c>
      <c r="N80" s="13">
        <f>IF('Données projet'!$A$36&gt;35,N79+M80-V79,IF(A80&lt;'Données projet'!$A$36,$K$205^A80,IF(A80='Données projet'!$A$36,'Données projet'!$B$36,N79+M80-V79)))</f>
        <v>298.39999999999998</v>
      </c>
      <c r="O80" s="13">
        <f>N80*VLOOKUP('Données projet'!$B$9,Paramètres!$A$1:$I$89,3,0)*VLOOKUP('Données projet'!$B$9,Paramètres!$A$1:$I$89,5,0)</f>
        <v>269.99231999999995</v>
      </c>
      <c r="P80" s="13">
        <f t="shared" si="87"/>
        <v>64.847639395310239</v>
      </c>
      <c r="Q80" s="20">
        <f t="shared" si="54"/>
        <v>583.17959594683191</v>
      </c>
      <c r="R80" s="59">
        <f t="shared" si="55"/>
        <v>865.31603744890663</v>
      </c>
      <c r="S80" s="59">
        <f ca="1">AVERAGE(OFFSET($R$3,0,0,'Données projet'!$E$9+1,1))-AVERAGE(OFFSET($H$3,0,0,'Données projet'!$E$9+1,1))</f>
        <v>473.88815717313474</v>
      </c>
      <c r="T80" s="59">
        <f t="shared" si="88"/>
        <v>287.19790203552895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25.156621781778799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25.156621781778799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66.946302227838544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7.2</v>
      </c>
      <c r="AI80" s="13">
        <f>IF('Données projet'!$A$62&gt;35,AI79+AH80-AQ79,IF(A80&lt;'Données projet'!$A$62,$AF$205^A80,IF(A80='Données projet'!$A$62,'Données projet'!$B$62,AI79+AH80-AQ79)))</f>
        <v>298.39999999999998</v>
      </c>
      <c r="AJ80" s="13">
        <f>AI80*VLOOKUP('Données projet'!$B$10,Paramètres!$A$1:$I$89,3,0)*VLOOKUP('Données projet'!$B$10,Paramètres!$A$1:$I$89,5,0)</f>
        <v>251.37216000000001</v>
      </c>
      <c r="AK80" s="13">
        <f t="shared" si="89"/>
        <v>60.879674595707343</v>
      </c>
      <c r="AL80" s="20">
        <f t="shared" si="58"/>
        <v>543.83861192085692</v>
      </c>
      <c r="AM80" s="59">
        <f t="shared" si="59"/>
        <v>825.97505342293152</v>
      </c>
      <c r="AN80" s="59">
        <f ca="1">AVERAGE(OFFSET($AM$3,0,0,'Données projet'!$E$10+1,1))-AVERAGE(OFFSET($H$3,0,0,'Données projet'!$E$10+1,1))</f>
        <v>445.19118535527258</v>
      </c>
      <c r="AO80" s="59">
        <f t="shared" si="90"/>
        <v>270.93483242839363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23.421682348552682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23.421682348552682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66.946302227838544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7.2</v>
      </c>
      <c r="BD80" s="12">
        <f>IF('Données projet'!$A$88&gt;35,BD79+BC80-BL79,IF(A80&lt;'Données projet'!$A$88,$BA$205^A80,IF(A80='Données projet'!$A$88,'Données projet'!$B$88,BD79+BC80-BL79)))</f>
        <v>298.39999999999998</v>
      </c>
      <c r="BE80" s="13">
        <f>BD80*VLOOKUP('Données projet'!$B$11,Paramètres!$A$1:$I$89,3,0)*VLOOKUP('Données projet'!$B$11,Paramètres!$A$1:$I$89,5,0)</f>
        <v>302.57759999999996</v>
      </c>
      <c r="BF80" s="13">
        <f t="shared" si="91"/>
        <v>71.716558091076294</v>
      </c>
      <c r="BG80" s="20">
        <f t="shared" si="61"/>
        <v>651.89565867529109</v>
      </c>
      <c r="BH80" s="59">
        <f t="shared" si="62"/>
        <v>934.03210017736569</v>
      </c>
      <c r="BI80" s="59">
        <f ca="1">AVERAGE(OFFSET($BH$3,0,0,'Données projet'!$E$11+1,1))-AVERAGE(OFFSET($H$3,0,0,'Données projet'!$E$11+1,1))</f>
        <v>524.01140973345832</v>
      </c>
      <c r="BJ80" s="59">
        <f t="shared" si="92"/>
        <v>315.59942237999621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28.192765789924529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28.192765789924529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66.946302227838544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4</v>
      </c>
      <c r="BY80" s="12">
        <f>IF('Données projet'!$A$114&gt;35,BY79+BX80-CG79,IF(A80&lt;'Données projet'!$A$114,$BV$205^A80,IF(A80='Données projet'!$A$114,'Données projet'!$B$114,BY79+BX80-CG79)))</f>
        <v>368.99999999999972</v>
      </c>
      <c r="BZ80" s="13">
        <f>BY80*VLOOKUP('Données projet'!$B$12,Paramètres!$A$1:$I$89,3,0)*VLOOKUP('Données projet'!$B$12,Paramètres!$A$1:$I$89,5,0)</f>
        <v>247.52519999999981</v>
      </c>
      <c r="CA80" s="13">
        <f t="shared" si="93"/>
        <v>60.055693232205705</v>
      </c>
      <c r="CB80" s="20">
        <f t="shared" si="64"/>
        <v>535.70338904609127</v>
      </c>
      <c r="CC80" s="59">
        <f t="shared" si="65"/>
        <v>817.83983054816599</v>
      </c>
      <c r="CD80" s="59">
        <f ca="1">AVERAGE(OFFSET($CC$3,0,0,'Données projet'!$E$12+1,1))-AVERAGE(OFFSET($H$3,0,0,'Données projet'!$E$12+1,1))</f>
        <v>358.95222991910504</v>
      </c>
      <c r="CE80" s="59">
        <f t="shared" si="94"/>
        <v>347.37506646970905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23.580176421521603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23.580176421521603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66.946302227838544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4</v>
      </c>
      <c r="CT80" s="12">
        <f>IF('Données projet'!$A$140&gt;35,CT79+CS80-DB79,IF(A80&lt;'Données projet'!$A$140,$CQ$205^A80,IF(A80='Données projet'!$A$140,'Données projet'!$B$140,CT79+CS80-DB79)))</f>
        <v>368.99999999999972</v>
      </c>
      <c r="CU80" s="17">
        <f>CT80*VLOOKUP('Données projet'!$B$13,Paramètres!$A$1:$I$89,3,0)*VLOOKUP('Données projet'!$B$13,Paramètres!$A$1:$I$89,5,0)</f>
        <v>241.76879999999983</v>
      </c>
      <c r="CV80" s="13">
        <f t="shared" si="95"/>
        <v>58.819933627024824</v>
      </c>
      <c r="CW80" s="20">
        <f t="shared" si="67"/>
        <v>523.52537773373467</v>
      </c>
      <c r="CX80" s="59">
        <f t="shared" si="68"/>
        <v>805.66181923580939</v>
      </c>
      <c r="CY80" s="59">
        <f ca="1">AVERAGE(OFFSET($CX$3,0,0,'Données projet'!$E$13+1,1))-AVERAGE(OFFSET($H$3,0,0,'Données projet'!$E$13+1,1))</f>
        <v>351.7266381615546</v>
      </c>
      <c r="CZ80" s="59">
        <f t="shared" si="96"/>
        <v>340.52483243761799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26.691789166234706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26.691789166234706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66.946302227838544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10.4</v>
      </c>
      <c r="DO80" s="12">
        <f>IF('Données projet'!$A$166&gt;35,DO79+DN80-DW79,IF(A80&lt;'Données projet'!$A$166,$DL$205^A80,IF(A80='Données projet'!$A$166,'Données projet'!$B$166,DO79+DN80-DW79)))</f>
        <v>392.79999999999995</v>
      </c>
      <c r="DP80" s="17">
        <f>DO80*VLOOKUP('Données projet'!$B$14,Paramètres!$A$1:$I$89,3,0)*VLOOKUP('Données projet'!$B$14,Paramètres!$A$1:$I$89,5,0)</f>
        <v>337.0224</v>
      </c>
      <c r="DQ80" s="13">
        <f t="shared" si="97"/>
        <v>78.884440823098231</v>
      </c>
      <c r="DR80" s="20">
        <f t="shared" si="70"/>
        <v>724.37108110022939</v>
      </c>
      <c r="DS80" s="59">
        <f t="shared" si="71"/>
        <v>1006.5075226023041</v>
      </c>
      <c r="DT80" s="59">
        <f ca="1">AVERAGE(OFFSET($DS$3,0,0,'Données projet'!$E$14+1,1))-AVERAGE(OFFSET($H$3,0,0,'Données projet'!$E$14+1,1))</f>
        <v>569.21675741362196</v>
      </c>
      <c r="DU80" s="59">
        <f t="shared" si="98"/>
        <v>321.12410801891679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36.753985812893561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36.753985812893561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66.946302227838544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4</v>
      </c>
      <c r="EJ80" s="12">
        <f>IF('Données projet'!$A$192&gt;35,EJ79+EI80-ER79,IF(A80&lt;'Données projet'!$A$192,$EG$205^A80,IF(A80='Données projet'!$A$192,'Données projet'!$B$192,EJ79+EI80-ER79)))</f>
        <v>368.99999999999972</v>
      </c>
      <c r="EK80" s="17">
        <f>EJ80*VLOOKUP('Données projet'!$B$15,Paramètres!$A$1:$I$89,3,0)*VLOOKUP('Données projet'!$B$15,Paramètres!$A$1:$I$89,5,0)</f>
        <v>293.57639999999981</v>
      </c>
      <c r="EL80" s="13">
        <f t="shared" si="99"/>
        <v>69.828138511965548</v>
      </c>
      <c r="EM80" s="20">
        <f t="shared" si="73"/>
        <v>632.92957124167299</v>
      </c>
      <c r="EN80" s="59">
        <f t="shared" si="74"/>
        <v>915.06601274374771</v>
      </c>
      <c r="EO80" s="59">
        <f ca="1">AVERAGE(OFFSET($EN$3,0,0,'Données projet'!$E$15+1,1))-AVERAGE(OFFSET($H$3,0,0,'Données projet'!$E$15+1,1))</f>
        <v>416.63597645452791</v>
      </c>
      <c r="EP80" s="59">
        <f t="shared" si="100"/>
        <v>402.05920382353497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39.949006708932671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39.949006708932671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66.946302227838544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3.6</v>
      </c>
      <c r="FE80" s="12">
        <f>IF('Données projet'!$A$218&gt;35,FE79+FD80-FM79,IF(A80&lt;'Données projet'!$A$218,$FB$205^A80,IF(A80='Données projet'!$A$218,'Données projet'!$B$218,FE79+FD80-FM79)))</f>
        <v>319.19999999999993</v>
      </c>
      <c r="FF80" s="17">
        <f>FE80*VLOOKUP('Données projet'!$B$16,Paramètres!$A$1:$I$89,3,0)*VLOOKUP('Données projet'!$B$16,Paramètres!$A$1:$I$89,5,0)</f>
        <v>278.85311999999999</v>
      </c>
      <c r="FG80" s="13">
        <f t="shared" si="101"/>
        <v>66.724582302351905</v>
      </c>
      <c r="FH80" s="20">
        <f t="shared" si="76"/>
        <v>601.88116484326292</v>
      </c>
      <c r="FI80" s="59">
        <f t="shared" si="77"/>
        <v>884.01760634533753</v>
      </c>
      <c r="FJ80" s="59">
        <f ca="1">AVERAGE(OFFSET($FI$3,0,0,'Données projet'!$E$16+1,1))-AVERAGE(OFFSET($H$3,0,0,'Données projet'!$E$16+1,1))</f>
        <v>395.57130469647603</v>
      </c>
      <c r="FK80" s="59">
        <f t="shared" si="102"/>
        <v>383.97542781562674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37.525485914911009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37.525485914911009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66.946302227838544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>
        <f>FZ80*VLOOKUP('Données projet'!$B$17,Paramètres!$A$1:$I$89,3,0)*VLOOKUP('Données projet'!$B$17,Paramètres!$A$1:$I$89,5,0)</f>
        <v>0</v>
      </c>
      <c r="GB80" s="13" t="e">
        <f t="shared" si="103"/>
        <v>#NUM!</v>
      </c>
      <c r="GC80" s="20" t="e">
        <f t="shared" si="79"/>
        <v>#NUM!</v>
      </c>
      <c r="GD80" s="59" t="e">
        <f t="shared" si="80"/>
        <v>#NUM!</v>
      </c>
      <c r="GE80" s="59">
        <f ca="1">AVERAGE(OFFSET($GD$3,0,0,'Données projet'!$E$17+1,1))-AVERAGE(OFFSET($H$3,0,0,'Données projet'!$E$17+1,1))</f>
        <v>301.74744407733351</v>
      </c>
      <c r="GF80" s="59">
        <f t="shared" si="104"/>
        <v>292.46787700966991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93.971505069981148</v>
      </c>
      <c r="GM80" s="21">
        <f>EXP(-LN(2)/25)*GM79+(1-EXP(-LN(2)/25))/(LN(2)/25)*Calculateur!GH80*Calculateur!GJ80*VLOOKUP('Données projet'!$B$17,Paramètres!$A$1:$I$89,3,0)*0.475*44/12</f>
        <v>0</v>
      </c>
      <c r="GN80" s="21">
        <f>EXP(-LN(2)/2)*GN79+(1-EXP(-LN(2)/2))/(LN(2)/2)*GH80*GK80*VLOOKUP('Données projet'!$B$17,Paramètres!$A$1:$I$89,3,0)*0.475*44/12</f>
        <v>0</v>
      </c>
      <c r="GO80" s="21">
        <f t="shared" si="81"/>
        <v>93.971505069981148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66.946302227838544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4</v>
      </c>
      <c r="GU80" s="12">
        <f>IF('Données projet'!$A$270&gt;35,GU79+GT80-HC79,IF(A80&lt;'Données projet'!$A$270,$GR$205^A80,IF(A80='Données projet'!$A$270,'Données projet'!$B$270,GU79+GT80-HC79)))</f>
        <v>368.99999999999972</v>
      </c>
      <c r="GV80" s="17">
        <f>GU80*VLOOKUP('Données projet'!$B$18,Paramètres!$A$1:$I$89,3,0)*VLOOKUP('Données projet'!$B$18,Paramètres!$A$1:$I$89,5,0)</f>
        <v>218.74319999999983</v>
      </c>
      <c r="GW80" s="13">
        <f t="shared" si="105"/>
        <v>53.841635436347829</v>
      </c>
      <c r="GX80" s="20">
        <f t="shared" si="82"/>
        <v>474.75192171830537</v>
      </c>
      <c r="GY80" s="59">
        <f t="shared" si="83"/>
        <v>756.88836322038003</v>
      </c>
      <c r="GZ80" s="59">
        <f ca="1">AVERAGE(OFFSET($GY$3,0,0,'Données projet'!$E$18+1,1))-AVERAGE(OFFSET($H$3,0,0,'Données projet'!$E$18+1,1))</f>
        <v>322.78672881269978</v>
      </c>
      <c r="HA80" s="59">
        <f t="shared" si="106"/>
        <v>313.08736327626434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23.590523142198013</v>
      </c>
      <c r="HH80" s="21">
        <f>EXP(-LN(2)/25)*HH79+(1-EXP(-LN(2)/25))/(LN(2)/25)*Calculateur!HC80*Calculateur!HE80*VLOOKUP('Données projet'!$B$18,Paramètres!$A$1:$I$89,3,0)*0.475*44/12</f>
        <v>0</v>
      </c>
      <c r="HI80" s="21">
        <f>EXP(-LN(2)/2)*HI79+(1-EXP(-LN(2)/2))/(LN(2)/2)*HC80*HF80*VLOOKUP('Données projet'!$B$18,Paramètres!$A$1:$I$89,3,0)*0.475*44/12</f>
        <v>0</v>
      </c>
      <c r="HJ80" s="22">
        <f t="shared" si="84"/>
        <v>23.590523142198013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2.3499999999999996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8.6166666666666654</v>
      </c>
      <c r="H81" s="67">
        <f t="shared" si="56"/>
        <v>222.20000000000002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66.999277057140091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7.2</v>
      </c>
      <c r="N81" s="13">
        <f>IF('Données projet'!$A$36&gt;35,N80+M81-V80,IF(A81&lt;'Données projet'!$A$36,$K$205^A81,IF(A81='Données projet'!$A$36,'Données projet'!$B$36,N80+M81-V80)))</f>
        <v>305.59999999999997</v>
      </c>
      <c r="O81" s="13">
        <f>N81*VLOOKUP('Données projet'!$B$9,Paramètres!$A$1:$I$89,3,0)*VLOOKUP('Données projet'!$B$9,Paramètres!$A$1:$I$89,5,0)</f>
        <v>276.50687999999997</v>
      </c>
      <c r="P81" s="13">
        <f t="shared" si="87"/>
        <v>66.228273722513677</v>
      </c>
      <c r="Q81" s="20">
        <f t="shared" si="54"/>
        <v>596.93039273337797</v>
      </c>
      <c r="R81" s="59">
        <f t="shared" si="55"/>
        <v>879.26107527622503</v>
      </c>
      <c r="S81" s="59">
        <f ca="1">AVERAGE(OFFSET($R$3,0,0,'Données projet'!$E$9+1,1))-AVERAGE(OFFSET($H$3,0,0,'Données projet'!$E$9+1,1))</f>
        <v>473.88815717313474</v>
      </c>
      <c r="T81" s="59">
        <f t="shared" si="88"/>
        <v>287.19790203552895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24.663315772662308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24.663315772662308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66.999277057140091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7.2</v>
      </c>
      <c r="AI81" s="13">
        <f>IF('Données projet'!$A$62&gt;35,AI80+AH81-AQ80,IF(A81&lt;'Données projet'!$A$62,$AF$205^A81,IF(A81='Données projet'!$A$62,'Données projet'!$B$62,AI80+AH81-AQ80)))</f>
        <v>305.59999999999997</v>
      </c>
      <c r="AJ81" s="13">
        <f>AI81*VLOOKUP('Données projet'!$B$10,Paramètres!$A$1:$I$89,3,0)*VLOOKUP('Données projet'!$B$10,Paramètres!$A$1:$I$89,5,0)</f>
        <v>257.43744000000004</v>
      </c>
      <c r="AK81" s="13">
        <f t="shared" si="89"/>
        <v>62.175829233865038</v>
      </c>
      <c r="AL81" s="20">
        <f t="shared" si="58"/>
        <v>556.65977724898164</v>
      </c>
      <c r="AM81" s="59">
        <f t="shared" si="59"/>
        <v>838.9904597918287</v>
      </c>
      <c r="AN81" s="59">
        <f ca="1">AVERAGE(OFFSET($AM$3,0,0,'Données projet'!$E$10+1,1))-AVERAGE(OFFSET($H$3,0,0,'Données projet'!$E$10+1,1))</f>
        <v>445.19118535527258</v>
      </c>
      <c r="AO81" s="59">
        <f t="shared" si="90"/>
        <v>270.93483242839363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22.96239744351319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22.96239744351319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66.999277057140091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7.2</v>
      </c>
      <c r="BD81" s="12">
        <f>IF('Données projet'!$A$88&gt;35,BD80+BC81-BL80,IF(A81&lt;'Données projet'!$A$88,$BA$205^A81,IF(A81='Données projet'!$A$88,'Données projet'!$B$88,BD80+BC81-BL80)))</f>
        <v>305.59999999999997</v>
      </c>
      <c r="BE81" s="13">
        <f>BD81*VLOOKUP('Données projet'!$B$11,Paramètres!$A$1:$I$89,3,0)*VLOOKUP('Données projet'!$B$11,Paramètres!$A$1:$I$89,5,0)</f>
        <v>309.8784</v>
      </c>
      <c r="BF81" s="13">
        <f t="shared" si="91"/>
        <v>73.243434672131556</v>
      </c>
      <c r="BG81" s="20">
        <f t="shared" si="61"/>
        <v>667.27052872062904</v>
      </c>
      <c r="BH81" s="59">
        <f t="shared" si="62"/>
        <v>949.60121126347599</v>
      </c>
      <c r="BI81" s="59">
        <f ca="1">AVERAGE(OFFSET($BH$3,0,0,'Données projet'!$E$11+1,1))-AVERAGE(OFFSET($H$3,0,0,'Données projet'!$E$11+1,1))</f>
        <v>524.01140973345832</v>
      </c>
      <c r="BJ81" s="59">
        <f t="shared" si="92"/>
        <v>315.59942237999621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27.639922848673287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27.639922848673287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66.999277057140091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4</v>
      </c>
      <c r="BY81" s="12">
        <f>IF('Données projet'!$A$114&gt;35,BY80+BX81-CG80,IF(A81&lt;'Données projet'!$A$114,$BV$205^A81,IF(A81='Données projet'!$A$114,'Données projet'!$B$114,BY80+BX81-CG80)))</f>
        <v>372.99999999999972</v>
      </c>
      <c r="BZ81" s="13">
        <f>BY81*VLOOKUP('Données projet'!$B$12,Paramètres!$A$1:$I$89,3,0)*VLOOKUP('Données projet'!$B$12,Paramètres!$A$1:$I$89,5,0)</f>
        <v>250.20839999999981</v>
      </c>
      <c r="CA81" s="13">
        <f t="shared" si="93"/>
        <v>60.630564411420075</v>
      </c>
      <c r="CB81" s="20">
        <f t="shared" si="64"/>
        <v>541.37786301655638</v>
      </c>
      <c r="CC81" s="59">
        <f t="shared" si="65"/>
        <v>823.70854555940332</v>
      </c>
      <c r="CD81" s="59">
        <f ca="1">AVERAGE(OFFSET($CC$3,0,0,'Données projet'!$E$12+1,1))-AVERAGE(OFFSET($H$3,0,0,'Données projet'!$E$12+1,1))</f>
        <v>358.95222991910504</v>
      </c>
      <c r="CE81" s="59">
        <f t="shared" si="94"/>
        <v>347.37506646970905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23.11778354438303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23.11778354438303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66.999277057140091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4</v>
      </c>
      <c r="CT81" s="12">
        <f>IF('Données projet'!$A$140&gt;35,CT80+CS81-DB80,IF(A81&lt;'Données projet'!$A$140,$CQ$205^A81,IF(A81='Données projet'!$A$140,'Données projet'!$B$140,CT80+CS81-DB80)))</f>
        <v>372.99999999999972</v>
      </c>
      <c r="CU81" s="17">
        <f>CT81*VLOOKUP('Données projet'!$B$13,Paramètres!$A$1:$I$89,3,0)*VLOOKUP('Données projet'!$B$13,Paramètres!$A$1:$I$89,5,0)</f>
        <v>244.38959999999983</v>
      </c>
      <c r="CV81" s="13">
        <f t="shared" si="95"/>
        <v>59.382975743194187</v>
      </c>
      <c r="CW81" s="20">
        <f t="shared" si="67"/>
        <v>529.07056941939629</v>
      </c>
      <c r="CX81" s="59">
        <f t="shared" si="68"/>
        <v>811.40125196224335</v>
      </c>
      <c r="CY81" s="59">
        <f ca="1">AVERAGE(OFFSET($CX$3,0,0,'Données projet'!$E$13+1,1))-AVERAGE(OFFSET($H$3,0,0,'Données projet'!$E$13+1,1))</f>
        <v>351.7266381615546</v>
      </c>
      <c r="CZ81" s="59">
        <f t="shared" si="96"/>
        <v>340.52483243761799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26.168379461068682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26.168379461068682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66.999277057140091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10.4</v>
      </c>
      <c r="DO81" s="12">
        <f>IF('Données projet'!$A$166&gt;35,DO80+DN81-DW80,IF(A81&lt;'Données projet'!$A$166,$DL$205^A81,IF(A81='Données projet'!$A$166,'Données projet'!$B$166,DO80+DN81-DW80)))</f>
        <v>403.19999999999993</v>
      </c>
      <c r="DP81" s="17">
        <f>DO81*VLOOKUP('Données projet'!$B$14,Paramètres!$A$1:$I$89,3,0)*VLOOKUP('Données projet'!$B$14,Paramètres!$A$1:$I$89,5,0)</f>
        <v>345.94560000000001</v>
      </c>
      <c r="DQ81" s="13">
        <f t="shared" si="97"/>
        <v>80.727102887907222</v>
      </c>
      <c r="DR81" s="20">
        <f t="shared" si="70"/>
        <v>743.12162419643846</v>
      </c>
      <c r="DS81" s="59">
        <f t="shared" si="71"/>
        <v>1025.4523067392854</v>
      </c>
      <c r="DT81" s="59">
        <f ca="1">AVERAGE(OFFSET($DS$3,0,0,'Données projet'!$E$14+1,1))-AVERAGE(OFFSET($H$3,0,0,'Données projet'!$E$14+1,1))</f>
        <v>569.21675741362196</v>
      </c>
      <c r="DU81" s="59">
        <f t="shared" si="98"/>
        <v>321.12410801891679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36.033262568820497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36.033262568820497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66.999277057140091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4</v>
      </c>
      <c r="EJ81" s="12">
        <f>IF('Données projet'!$A$192&gt;35,EJ80+EI81-ER80,IF(A81&lt;'Données projet'!$A$192,$EG$205^A81,IF(A81='Données projet'!$A$192,'Données projet'!$B$192,EJ80+EI81-ER80)))</f>
        <v>372.99999999999972</v>
      </c>
      <c r="EK81" s="17">
        <f>EJ81*VLOOKUP('Données projet'!$B$15,Paramètres!$A$1:$I$89,3,0)*VLOOKUP('Données projet'!$B$15,Paramètres!$A$1:$I$89,5,0)</f>
        <v>296.75879999999978</v>
      </c>
      <c r="EL81" s="13">
        <f t="shared" si="99"/>
        <v>70.496554480015604</v>
      </c>
      <c r="EM81" s="20">
        <f t="shared" si="73"/>
        <v>639.63640905269347</v>
      </c>
      <c r="EN81" s="59">
        <f t="shared" si="74"/>
        <v>921.96709159554052</v>
      </c>
      <c r="EO81" s="59">
        <f ca="1">AVERAGE(OFFSET($EN$3,0,0,'Données projet'!$E$15+1,1))-AVERAGE(OFFSET($H$3,0,0,'Données projet'!$E$15+1,1))</f>
        <v>416.63597645452791</v>
      </c>
      <c r="EP81" s="59">
        <f t="shared" si="100"/>
        <v>402.05920382353497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39.165631053858604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39.165631053858604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66.999277057140091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3.6</v>
      </c>
      <c r="FE81" s="12">
        <f>IF('Données projet'!$A$218&gt;35,FE80+FD81-FM80,IF(A81&lt;'Données projet'!$A$218,$FB$205^A81,IF(A81='Données projet'!$A$218,'Données projet'!$B$218,FE80+FD81-FM80)))</f>
        <v>322.79999999999995</v>
      </c>
      <c r="FF81" s="17">
        <f>FE81*VLOOKUP('Données projet'!$B$16,Paramètres!$A$1:$I$89,3,0)*VLOOKUP('Données projet'!$B$16,Paramètres!$A$1:$I$89,5,0)</f>
        <v>281.99808000000002</v>
      </c>
      <c r="FG81" s="13">
        <f t="shared" si="101"/>
        <v>67.389085719488818</v>
      </c>
      <c r="FH81" s="20">
        <f t="shared" si="76"/>
        <v>608.51598029477634</v>
      </c>
      <c r="FI81" s="59">
        <f t="shared" si="77"/>
        <v>890.8466628376234</v>
      </c>
      <c r="FJ81" s="59">
        <f ca="1">AVERAGE(OFFSET($FI$3,0,0,'Données projet'!$E$16+1,1))-AVERAGE(OFFSET($H$3,0,0,'Données projet'!$E$16+1,1))</f>
        <v>395.57130469647603</v>
      </c>
      <c r="FK81" s="59">
        <f t="shared" si="102"/>
        <v>383.97542781562674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36.789634024405984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36.789634024405984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66.999277057140091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>
        <f>FZ81*VLOOKUP('Données projet'!$B$17,Paramètres!$A$1:$I$89,3,0)*VLOOKUP('Données projet'!$B$17,Paramètres!$A$1:$I$89,5,0)</f>
        <v>0</v>
      </c>
      <c r="GB81" s="13" t="e">
        <f t="shared" si="103"/>
        <v>#NUM!</v>
      </c>
      <c r="GC81" s="20" t="e">
        <f t="shared" si="79"/>
        <v>#NUM!</v>
      </c>
      <c r="GD81" s="59" t="e">
        <f t="shared" si="80"/>
        <v>#NUM!</v>
      </c>
      <c r="GE81" s="59">
        <f ca="1">AVERAGE(OFFSET($GD$3,0,0,'Données projet'!$E$17+1,1))-AVERAGE(OFFSET($H$3,0,0,'Données projet'!$E$17+1,1))</f>
        <v>301.74744407733351</v>
      </c>
      <c r="GF81" s="59">
        <f t="shared" si="104"/>
        <v>292.46787700966991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92.128781172517336</v>
      </c>
      <c r="GM81" s="21">
        <f>EXP(-LN(2)/25)*GM80+(1-EXP(-LN(2)/25))/(LN(2)/25)*Calculateur!GH81*Calculateur!GJ81*VLOOKUP('Données projet'!$B$17,Paramètres!$A$1:$I$89,3,0)*0.475*44/12</f>
        <v>0</v>
      </c>
      <c r="GN81" s="21">
        <f>EXP(-LN(2)/2)*GN80+(1-EXP(-LN(2)/2))/(LN(2)/2)*GH81*GK81*VLOOKUP('Données projet'!$B$17,Paramètres!$A$1:$I$89,3,0)*0.475*44/12</f>
        <v>0</v>
      </c>
      <c r="GO81" s="21">
        <f t="shared" si="81"/>
        <v>92.128781172517336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66.999277057140091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4</v>
      </c>
      <c r="GU81" s="12">
        <f>IF('Données projet'!$A$270&gt;35,GU80+GT81-HC80,IF(A81&lt;'Données projet'!$A$270,$GR$205^A81,IF(A81='Données projet'!$A$270,'Données projet'!$B$270,GU80+GT81-HC80)))</f>
        <v>372.99999999999972</v>
      </c>
      <c r="GV81" s="17">
        <f>GU81*VLOOKUP('Données projet'!$B$18,Paramètres!$A$1:$I$89,3,0)*VLOOKUP('Données projet'!$B$18,Paramètres!$A$1:$I$89,5,0)</f>
        <v>221.11439999999985</v>
      </c>
      <c r="GW81" s="13">
        <f t="shared" si="105"/>
        <v>54.357023783202031</v>
      </c>
      <c r="GX81" s="20">
        <f t="shared" si="82"/>
        <v>479.77939642240989</v>
      </c>
      <c r="GY81" s="59">
        <f t="shared" si="83"/>
        <v>762.11007896525689</v>
      </c>
      <c r="GZ81" s="59">
        <f ca="1">AVERAGE(OFFSET($GY$3,0,0,'Données projet'!$E$18+1,1))-AVERAGE(OFFSET($H$3,0,0,'Données projet'!$E$18+1,1))</f>
        <v>322.78672881269978</v>
      </c>
      <c r="HA81" s="59">
        <f t="shared" si="106"/>
        <v>313.08736327626434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projet'!$B$18,Paramètres!$A$1:$I$89,3,0)*0.475*44/12</f>
        <v>23.127927372177851</v>
      </c>
      <c r="HH81" s="21">
        <f>EXP(-LN(2)/25)*HH80+(1-EXP(-LN(2)/25))/(LN(2)/25)*Calculateur!HC81*Calculateur!HE81*VLOOKUP('Données projet'!$B$18,Paramètres!$A$1:$I$89,3,0)*0.475*44/12</f>
        <v>0</v>
      </c>
      <c r="HI81" s="21">
        <f>EXP(-LN(2)/2)*HI80+(1-EXP(-LN(2)/2))/(LN(2)/2)*HC81*HF81*VLOOKUP('Données projet'!$B$18,Paramètres!$A$1:$I$89,3,0)*0.475*44/12</f>
        <v>0</v>
      </c>
      <c r="HJ81" s="22">
        <f t="shared" si="84"/>
        <v>23.127927372177851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2.3499999999999996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8.6166666666666654</v>
      </c>
      <c r="H82" s="67">
        <f t="shared" si="56"/>
        <v>222.20000000000002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67.051332891587236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7.2</v>
      </c>
      <c r="N82" s="13">
        <f>IF('Données projet'!$A$36&gt;35,N81+M82-V81,IF(A82&lt;'Données projet'!$A$36,$K$205^A82,IF(A82='Données projet'!$A$36,'Données projet'!$B$36,N81+M82-V81)))</f>
        <v>312.79999999999995</v>
      </c>
      <c r="O82" s="13">
        <f>N82*VLOOKUP('Données projet'!$B$9,Paramètres!$A$1:$I$89,3,0)*VLOOKUP('Données projet'!$B$9,Paramètres!$A$1:$I$89,5,0)</f>
        <v>283.02143999999993</v>
      </c>
      <c r="P82" s="13">
        <f t="shared" si="87"/>
        <v>67.605126603830598</v>
      </c>
      <c r="Q82" s="20">
        <f t="shared" si="54"/>
        <v>610.67460350167141</v>
      </c>
      <c r="R82" s="59">
        <f t="shared" si="55"/>
        <v>893.19615743749137</v>
      </c>
      <c r="S82" s="59">
        <f ca="1">AVERAGE(OFFSET($R$3,0,0,'Données projet'!$E$9+1,1))-AVERAGE(OFFSET($H$3,0,0,'Données projet'!$E$9+1,1))</f>
        <v>473.88815717313474</v>
      </c>
      <c r="T82" s="59">
        <f t="shared" si="88"/>
        <v>287.19790203552895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24.179683193497635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24.179683193497635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67.051332891587236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7.2</v>
      </c>
      <c r="AI82" s="13">
        <f>IF('Données projet'!$A$62&gt;35,AI81+AH82-AQ81,IF(A82&lt;'Données projet'!$A$62,$AF$205^A82,IF(A82='Données projet'!$A$62,'Données projet'!$B$62,AI81+AH82-AQ81)))</f>
        <v>312.79999999999995</v>
      </c>
      <c r="AJ82" s="13">
        <f>AI82*VLOOKUP('Données projet'!$B$10,Paramètres!$A$1:$I$89,3,0)*VLOOKUP('Données projet'!$B$10,Paramètres!$A$1:$I$89,5,0)</f>
        <v>263.50271999999995</v>
      </c>
      <c r="AK82" s="13">
        <f t="shared" si="89"/>
        <v>63.468433809179686</v>
      </c>
      <c r="AL82" s="20">
        <f t="shared" si="58"/>
        <v>569.47475955098787</v>
      </c>
      <c r="AM82" s="59">
        <f t="shared" si="59"/>
        <v>851.99631348680782</v>
      </c>
      <c r="AN82" s="59">
        <f ca="1">AVERAGE(OFFSET($AM$3,0,0,'Données projet'!$E$10+1,1))-AVERAGE(OFFSET($H$3,0,0,'Données projet'!$E$10+1,1))</f>
        <v>445.19118535527258</v>
      </c>
      <c r="AO82" s="59">
        <f t="shared" si="90"/>
        <v>270.93483242839363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22.512118835325392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22.512118835325392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67.051332891587236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7.2</v>
      </c>
      <c r="BD82" s="12">
        <f>IF('Données projet'!$A$88&gt;35,BD81+BC82-BL81,IF(A82&lt;'Données projet'!$A$88,$BA$205^A82,IF(A82='Données projet'!$A$88,'Données projet'!$B$88,BD81+BC82-BL81)))</f>
        <v>312.79999999999995</v>
      </c>
      <c r="BE82" s="13">
        <f>BD82*VLOOKUP('Données projet'!$B$11,Paramètres!$A$1:$I$89,3,0)*VLOOKUP('Données projet'!$B$11,Paramètres!$A$1:$I$89,5,0)</f>
        <v>317.17919999999998</v>
      </c>
      <c r="BF82" s="13">
        <f t="shared" si="91"/>
        <v>74.766129261581426</v>
      </c>
      <c r="BG82" s="20">
        <f t="shared" si="61"/>
        <v>682.63811513058749</v>
      </c>
      <c r="BH82" s="59">
        <f t="shared" si="62"/>
        <v>965.15966906640733</v>
      </c>
      <c r="BI82" s="59">
        <f ca="1">AVERAGE(OFFSET($BH$3,0,0,'Données projet'!$E$11+1,1))-AVERAGE(OFFSET($H$3,0,0,'Données projet'!$E$11+1,1))</f>
        <v>524.01140973345832</v>
      </c>
      <c r="BJ82" s="59">
        <f t="shared" si="92"/>
        <v>315.59942237999621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27.097920820299084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27.097920820299084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67.051332891587236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4</v>
      </c>
      <c r="BY82" s="12">
        <f>IF('Données projet'!$A$114&gt;35,BY81+BX82-CG81,IF(A82&lt;'Données projet'!$A$114,$BV$205^A82,IF(A82='Données projet'!$A$114,'Données projet'!$B$114,BY81+BX82-CG81)))</f>
        <v>376.99999999999972</v>
      </c>
      <c r="BZ82" s="13">
        <f>BY82*VLOOKUP('Données projet'!$B$12,Paramètres!$A$1:$I$89,3,0)*VLOOKUP('Données projet'!$B$12,Paramètres!$A$1:$I$89,5,0)</f>
        <v>252.89159999999981</v>
      </c>
      <c r="CA82" s="13">
        <f t="shared" si="93"/>
        <v>61.204718436590262</v>
      </c>
      <c r="CB82" s="20">
        <f t="shared" si="64"/>
        <v>547.05108794372779</v>
      </c>
      <c r="CC82" s="59">
        <f t="shared" si="65"/>
        <v>829.57264187954775</v>
      </c>
      <c r="CD82" s="59">
        <f ca="1">AVERAGE(OFFSET($CC$3,0,0,'Données projet'!$E$12+1,1))-AVERAGE(OFFSET($H$3,0,0,'Données projet'!$E$12+1,1))</f>
        <v>358.95222991910504</v>
      </c>
      <c r="CE82" s="59">
        <f t="shared" si="94"/>
        <v>347.37506646970905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22.664457909533336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22.664457909533336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67.051332891587236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4</v>
      </c>
      <c r="CT82" s="12">
        <f>IF('Données projet'!$A$140&gt;35,CT81+CS82-DB81,IF(A82&lt;'Données projet'!$A$140,$CQ$205^A82,IF(A82='Données projet'!$A$140,'Données projet'!$B$140,CT81+CS82-DB81)))</f>
        <v>376.99999999999972</v>
      </c>
      <c r="CU82" s="17">
        <f>CT82*VLOOKUP('Données projet'!$B$13,Paramètres!$A$1:$I$89,3,0)*VLOOKUP('Données projet'!$B$13,Paramètres!$A$1:$I$89,5,0)</f>
        <v>247.01039999999981</v>
      </c>
      <c r="CV82" s="13">
        <f t="shared" si="95"/>
        <v>59.945315462121762</v>
      </c>
      <c r="CW82" s="20">
        <f t="shared" si="67"/>
        <v>534.61453776319513</v>
      </c>
      <c r="CX82" s="59">
        <f t="shared" si="68"/>
        <v>817.13609169901497</v>
      </c>
      <c r="CY82" s="59">
        <f ca="1">AVERAGE(OFFSET($CX$3,0,0,'Données projet'!$E$13+1,1))-AVERAGE(OFFSET($H$3,0,0,'Données projet'!$E$13+1,1))</f>
        <v>351.7266381615546</v>
      </c>
      <c r="CZ82" s="59">
        <f t="shared" si="96"/>
        <v>340.52483243761799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25.655233500972564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25.655233500972564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67.051332891587236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10.4</v>
      </c>
      <c r="DO82" s="12">
        <f>IF('Données projet'!$A$166&gt;35,DO81+DN82-DW81,IF(A82&lt;'Données projet'!$A$166,$DL$205^A82,IF(A82='Données projet'!$A$166,'Données projet'!$B$166,DO81+DN82-DW81)))</f>
        <v>413.59999999999991</v>
      </c>
      <c r="DP82" s="17">
        <f>DO82*VLOOKUP('Données projet'!$B$14,Paramètres!$A$1:$I$89,3,0)*VLOOKUP('Données projet'!$B$14,Paramètres!$A$1:$I$89,5,0)</f>
        <v>354.86879999999996</v>
      </c>
      <c r="DQ82" s="13">
        <f t="shared" si="97"/>
        <v>82.564240228675203</v>
      </c>
      <c r="DR82" s="20">
        <f t="shared" si="70"/>
        <v>761.86254506494254</v>
      </c>
      <c r="DS82" s="59">
        <f t="shared" si="71"/>
        <v>1044.3840990007625</v>
      </c>
      <c r="DT82" s="59">
        <f ca="1">AVERAGE(OFFSET($DS$3,0,0,'Données projet'!$E$14+1,1))-AVERAGE(OFFSET($H$3,0,0,'Données projet'!$E$14+1,1))</f>
        <v>569.21675741362196</v>
      </c>
      <c r="DU82" s="59">
        <f t="shared" si="98"/>
        <v>321.12410801891679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35.326672267965932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35.326672267965932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67.051332891587236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4</v>
      </c>
      <c r="EJ82" s="12">
        <f>IF('Données projet'!$A$192&gt;35,EJ81+EI82-ER81,IF(A82&lt;'Données projet'!$A$192,$EG$205^A82,IF(A82='Données projet'!$A$192,'Données projet'!$B$192,EJ81+EI82-ER81)))</f>
        <v>376.99999999999972</v>
      </c>
      <c r="EK82" s="17">
        <f>EJ82*VLOOKUP('Données projet'!$B$15,Paramètres!$A$1:$I$89,3,0)*VLOOKUP('Données projet'!$B$15,Paramètres!$A$1:$I$89,5,0)</f>
        <v>299.94119999999981</v>
      </c>
      <c r="EL82" s="13">
        <f t="shared" si="99"/>
        <v>71.164136596531506</v>
      </c>
      <c r="EM82" s="20">
        <f t="shared" si="73"/>
        <v>646.34179457229197</v>
      </c>
      <c r="EN82" s="59">
        <f t="shared" si="74"/>
        <v>928.86334850811181</v>
      </c>
      <c r="EO82" s="59">
        <f ca="1">AVERAGE(OFFSET($EN$3,0,0,'Données projet'!$E$15+1,1))-AVERAGE(OFFSET($H$3,0,0,'Données projet'!$E$15+1,1))</f>
        <v>416.63597645452791</v>
      </c>
      <c r="EP82" s="59">
        <f t="shared" si="100"/>
        <v>402.05920382353497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38.39761691756857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38.39761691756857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67.051332891587236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3.6</v>
      </c>
      <c r="FE82" s="12">
        <f>IF('Données projet'!$A$218&gt;35,FE81+FD82-FM81,IF(A82&lt;'Données projet'!$A$218,$FB$205^A82,IF(A82='Données projet'!$A$218,'Données projet'!$B$218,FE81+FD82-FM81)))</f>
        <v>326.39999999999998</v>
      </c>
      <c r="FF82" s="17">
        <f>FE82*VLOOKUP('Données projet'!$B$16,Paramètres!$A$1:$I$89,3,0)*VLOOKUP('Données projet'!$B$16,Paramètres!$A$1:$I$89,5,0)</f>
        <v>285.14303999999998</v>
      </c>
      <c r="FG82" s="13">
        <f t="shared" si="101"/>
        <v>68.052727058079924</v>
      </c>
      <c r="FH82" s="20">
        <f t="shared" si="76"/>
        <v>615.14929429282256</v>
      </c>
      <c r="FI82" s="59">
        <f t="shared" si="77"/>
        <v>897.6708482286424</v>
      </c>
      <c r="FJ82" s="59">
        <f ca="1">AVERAGE(OFFSET($FI$3,0,0,'Données projet'!$E$16+1,1))-AVERAGE(OFFSET($H$3,0,0,'Données projet'!$E$16+1,1))</f>
        <v>395.57130469647603</v>
      </c>
      <c r="FK82" s="59">
        <f t="shared" si="102"/>
        <v>383.97542781562674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36.068211740648422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36.068211740648422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67.051332891587236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>
        <f>FZ82*VLOOKUP('Données projet'!$B$17,Paramètres!$A$1:$I$89,3,0)*VLOOKUP('Données projet'!$B$17,Paramètres!$A$1:$I$89,5,0)</f>
        <v>0</v>
      </c>
      <c r="GB82" s="13" t="e">
        <f t="shared" si="103"/>
        <v>#NUM!</v>
      </c>
      <c r="GC82" s="20" t="e">
        <f t="shared" si="79"/>
        <v>#NUM!</v>
      </c>
      <c r="GD82" s="59" t="e">
        <f t="shared" si="80"/>
        <v>#NUM!</v>
      </c>
      <c r="GE82" s="59">
        <f ca="1">AVERAGE(OFFSET($GD$3,0,0,'Données projet'!$E$17+1,1))-AVERAGE(OFFSET($H$3,0,0,'Données projet'!$E$17+1,1))</f>
        <v>301.74744407733351</v>
      </c>
      <c r="GF82" s="59">
        <f t="shared" si="104"/>
        <v>292.46787700966991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90.322191966732191</v>
      </c>
      <c r="GM82" s="21">
        <f>EXP(-LN(2)/25)*GM81+(1-EXP(-LN(2)/25))/(LN(2)/25)*Calculateur!GH82*Calculateur!GJ82*VLOOKUP('Données projet'!$B$17,Paramètres!$A$1:$I$89,3,0)*0.475*44/12</f>
        <v>0</v>
      </c>
      <c r="GN82" s="21">
        <f>EXP(-LN(2)/2)*GN81+(1-EXP(-LN(2)/2))/(LN(2)/2)*GH82*GK82*VLOOKUP('Données projet'!$B$17,Paramètres!$A$1:$I$89,3,0)*0.475*44/12</f>
        <v>0</v>
      </c>
      <c r="GO82" s="21">
        <f t="shared" si="81"/>
        <v>90.322191966732191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67.051332891587236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4</v>
      </c>
      <c r="GU82" s="12">
        <f>IF('Données projet'!$A$270&gt;35,GU81+GT82-HC81,IF(A82&lt;'Données projet'!$A$270,$GR$205^A82,IF(A82='Données projet'!$A$270,'Données projet'!$B$270,GU81+GT82-HC81)))</f>
        <v>376.99999999999972</v>
      </c>
      <c r="GV82" s="17">
        <f>GU82*VLOOKUP('Données projet'!$B$18,Paramètres!$A$1:$I$89,3,0)*VLOOKUP('Données projet'!$B$18,Paramètres!$A$1:$I$89,5,0)</f>
        <v>223.48559999999986</v>
      </c>
      <c r="GW82" s="13">
        <f t="shared" si="105"/>
        <v>54.87176918107793</v>
      </c>
      <c r="GX82" s="20">
        <f t="shared" si="82"/>
        <v>484.80575132371041</v>
      </c>
      <c r="GY82" s="59">
        <f t="shared" si="83"/>
        <v>767.32730525953025</v>
      </c>
      <c r="GZ82" s="59">
        <f ca="1">AVERAGE(OFFSET($GY$3,0,0,'Données projet'!$E$18+1,1))-AVERAGE(OFFSET($H$3,0,0,'Données projet'!$E$18+1,1))</f>
        <v>322.78672881269978</v>
      </c>
      <c r="HA82" s="59">
        <f t="shared" si="106"/>
        <v>313.08736327626434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22.674402823052226</v>
      </c>
      <c r="HH82" s="21">
        <f>EXP(-LN(2)/25)*HH81+(1-EXP(-LN(2)/25))/(LN(2)/25)*Calculateur!HC82*Calculateur!HE82*VLOOKUP('Données projet'!$B$18,Paramètres!$A$1:$I$89,3,0)*0.475*44/12</f>
        <v>0</v>
      </c>
      <c r="HI82" s="21">
        <f>EXP(-LN(2)/2)*HI81+(1-EXP(-LN(2)/2))/(LN(2)/2)*HC82*HF82*VLOOKUP('Données projet'!$B$18,Paramètres!$A$1:$I$89,3,0)*0.475*44/12</f>
        <v>0</v>
      </c>
      <c r="HJ82" s="22">
        <f t="shared" si="84"/>
        <v>22.674402823052226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2.3499999999999996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8.6166666666666654</v>
      </c>
      <c r="H83" s="67">
        <f t="shared" si="56"/>
        <v>222.20000000000002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67.102485673686118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320</v>
      </c>
      <c r="L83" s="12">
        <f>VLOOKUP(A83,'Données projet'!$A$35:$I$55,9,0)</f>
        <v>7.2</v>
      </c>
      <c r="M83" s="12">
        <f t="array" ref="M83">INDEX(L:L,MIN(IF(ISNUMBER(L83:L279),ROW(L83:L279),"")))</f>
        <v>7.2</v>
      </c>
      <c r="N83" s="13">
        <f>IF('Données projet'!$A$36&gt;35,N82+M83-V82,IF(A83&lt;'Données projet'!$A$36,$K$205^A83,IF(A83='Données projet'!$A$36,'Données projet'!$B$36,N82+M83-V82)))</f>
        <v>319.99999999999994</v>
      </c>
      <c r="O83" s="13">
        <f>N83*VLOOKUP('Données projet'!$B$9,Paramètres!$A$1:$I$89,3,0)*VLOOKUP('Données projet'!$B$9,Paramètres!$A$1:$I$89,5,0)</f>
        <v>289.53599999999994</v>
      </c>
      <c r="P83" s="13">
        <f t="shared" si="87"/>
        <v>68.97829509904436</v>
      </c>
      <c r="Q83" s="20">
        <f t="shared" si="54"/>
        <v>624.41239729750214</v>
      </c>
      <c r="R83" s="59">
        <f t="shared" si="55"/>
        <v>907.12151143435131</v>
      </c>
      <c r="S83" s="59">
        <f ca="1">AVERAGE(OFFSET($R$3,0,0,'Données projet'!$E$9+1,1))-AVERAGE(OFFSET($H$3,0,0,'Données projet'!$E$9+1,1))</f>
        <v>473.88815717313474</v>
      </c>
      <c r="T83" s="59">
        <f t="shared" si="88"/>
        <v>287.19790203552895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28</v>
      </c>
      <c r="W83" s="16">
        <f>IF(ISNA(VLOOKUP(A83,'Données projet'!$A$35:$I$55,5,0)),0%,VLOOKUP(A83,'Données projet'!$A$35:$I$55,5,0)*VLOOKUP('Données projet'!$B$9,Paramètres!$A$1:$I$89,7,0))</f>
        <v>0.25800000000000001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30.931192980299443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30.931192980299443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67.102485673686118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320</v>
      </c>
      <c r="AG83" s="12">
        <f>VLOOKUP(A83,'Données projet'!$A$61:$I$81,9,0)</f>
        <v>7.2</v>
      </c>
      <c r="AH83" s="12">
        <f t="array" ref="AH83">INDEX(AG:AG,MIN(IF(ISNUMBER(AG83:AG279),ROW(AG83:AG279),"")))</f>
        <v>7.2</v>
      </c>
      <c r="AI83" s="13">
        <f>IF('Données projet'!$A$62&gt;35,AI82+AH83-AQ82,IF(A83&lt;'Données projet'!$A$62,$AF$205^A83,IF(A83='Données projet'!$A$62,'Données projet'!$B$62,AI82+AH83-AQ82)))</f>
        <v>319.99999999999994</v>
      </c>
      <c r="AJ83" s="13">
        <f>AI83*VLOOKUP('Données projet'!$B$10,Paramètres!$A$1:$I$89,3,0)*VLOOKUP('Données projet'!$B$10,Paramètres!$A$1:$I$89,5,0)</f>
        <v>269.56799999999998</v>
      </c>
      <c r="AK83" s="13">
        <f t="shared" si="89"/>
        <v>64.757579442439862</v>
      </c>
      <c r="AL83" s="20">
        <f t="shared" si="58"/>
        <v>582.2837175289161</v>
      </c>
      <c r="AM83" s="59">
        <f t="shared" si="59"/>
        <v>864.99283166576515</v>
      </c>
      <c r="AN83" s="59">
        <f ca="1">AVERAGE(OFFSET($AM$3,0,0,'Données projet'!$E$10+1,1))-AVERAGE(OFFSET($H$3,0,0,'Données projet'!$E$10+1,1))</f>
        <v>445.19118535527258</v>
      </c>
      <c r="AO83" s="59">
        <f t="shared" si="90"/>
        <v>270.93483242839363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28</v>
      </c>
      <c r="AR83" s="16">
        <f>IF(ISNA(VLOOKUP(A83,'Données projet'!$A$61:$I$81,5,0)),0%,VLOOKUP(A83,'Données projet'!$A$61:$I$81,5,0)*VLOOKUP('Données projet'!$B$10,Paramètres!$A$1:$I$89,7,0))</f>
        <v>0.25800000000000001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28.798007257520183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28.798007257520183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67.102485673686118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320</v>
      </c>
      <c r="BB83" s="12">
        <f>VLOOKUP(A83,'Données projet'!$A$87:$I$107,9,0)</f>
        <v>7.2</v>
      </c>
      <c r="BC83" s="12">
        <f t="array" ref="BC83">INDEX(BB:BB,MIN(IF(ISNUMBER(BB83:BB279),ROW(BB83:BB279),"")))</f>
        <v>7.2</v>
      </c>
      <c r="BD83" s="12">
        <f>IF('Données projet'!$A$88&gt;35,BD82+BC83-BL82,IF(A83&lt;'Données projet'!$A$88,$BA$205^A83,IF(A83='Données projet'!$A$88,'Données projet'!$B$88,BD82+BC83-BL82)))</f>
        <v>319.99999999999994</v>
      </c>
      <c r="BE83" s="13">
        <f>BD83*VLOOKUP('Données projet'!$B$11,Paramètres!$A$1:$I$89,3,0)*VLOOKUP('Données projet'!$B$11,Paramètres!$A$1:$I$89,5,0)</f>
        <v>324.47999999999996</v>
      </c>
      <c r="BF83" s="13">
        <f t="shared" si="91"/>
        <v>76.284749200165507</v>
      </c>
      <c r="BG83" s="20">
        <f t="shared" si="61"/>
        <v>697.99860485695478</v>
      </c>
      <c r="BH83" s="59">
        <f t="shared" si="62"/>
        <v>980.70771899380384</v>
      </c>
      <c r="BI83" s="59">
        <f ca="1">AVERAGE(OFFSET($BH$3,0,0,'Données projet'!$E$11+1,1))-AVERAGE(OFFSET($H$3,0,0,'Données projet'!$E$11+1,1))</f>
        <v>524.01140973345832</v>
      </c>
      <c r="BJ83" s="59">
        <f t="shared" si="92"/>
        <v>315.59942237999621</v>
      </c>
      <c r="BK83" s="15">
        <f>IF(ISNA(VLOOKUP(A83,'Données projet'!$A$87:$I$107,3,0)),0,VLOOKUP(A83,'Données projet'!$A$87:$I$107,3,0))</f>
        <v>13</v>
      </c>
      <c r="BL83" s="21">
        <f>IF(ISNA(VLOOKUP(A83,'Données projet'!$A$87:$I$107,4,0)),0,VLOOKUP(A83,'Données projet'!$A$87:$I$107,4,0))</f>
        <v>28</v>
      </c>
      <c r="BM83" s="16">
        <f>IF(ISNA(VLOOKUP(A83,'Données projet'!$A$87:$I$107,5,0)),0%,VLOOKUP(A83,'Données projet'!$A$87:$I$107,5,0)*VLOOKUP('Données projet'!$B$11,Paramètres!$A$1:$I$89,7,0))</f>
        <v>0.25800000000000001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34.664267995163186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34.664267995163186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67.102485673686118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381</v>
      </c>
      <c r="BW83" s="12">
        <f>VLOOKUP(A83,'Données projet'!$A$113:$I$133,9,0)</f>
        <v>4</v>
      </c>
      <c r="BX83" s="12">
        <f t="array" ref="BX83">INDEX(BW:BW,MIN(IF(ISNUMBER(BW83:BW279),ROW(BW83:BW279),"")))</f>
        <v>4</v>
      </c>
      <c r="BY83" s="12">
        <f>IF('Données projet'!$A$114&gt;35,BY82+BX83-CG82,IF(A83&lt;'Données projet'!$A$114,$BV$205^A83,IF(A83='Données projet'!$A$114,'Données projet'!$B$114,BY82+BX83-CG82)))</f>
        <v>380.99999999999972</v>
      </c>
      <c r="BZ83" s="13">
        <f>BY83*VLOOKUP('Données projet'!$B$12,Paramètres!$A$1:$I$89,3,0)*VLOOKUP('Données projet'!$B$12,Paramètres!$A$1:$I$89,5,0)</f>
        <v>255.57479999999981</v>
      </c>
      <c r="CA83" s="13">
        <f t="shared" si="93"/>
        <v>61.778163797549141</v>
      </c>
      <c r="CB83" s="20">
        <f t="shared" si="64"/>
        <v>552.72307861406443</v>
      </c>
      <c r="CC83" s="59">
        <f t="shared" si="65"/>
        <v>835.4321927509136</v>
      </c>
      <c r="CD83" s="59">
        <f ca="1">AVERAGE(OFFSET($CC$3,0,0,'Données projet'!$E$12+1,1))-AVERAGE(OFFSET($H$3,0,0,'Données projet'!$E$12+1,1))</f>
        <v>358.95222991910504</v>
      </c>
      <c r="CE83" s="59">
        <f t="shared" si="94"/>
        <v>347.37506646970905</v>
      </c>
      <c r="CF83" s="15">
        <f>IF(ISNA(VLOOKUP(A83,'Données projet'!$A$113:$I$133,3,0)),0,VLOOKUP(A83,'Données projet'!$A$113:$I$133,3,0))</f>
        <v>15</v>
      </c>
      <c r="CG83" s="15">
        <f>IF(ISNA(VLOOKUP(A83,'Données projet'!$A$113:$I$133,4,0)),0,VLOOKUP(A83,'Données projet'!$A$113:$I$133,4,0))</f>
        <v>381</v>
      </c>
      <c r="CH83" s="16">
        <f>IF(ISNA(VLOOKUP(A83,'Données projet'!$A$113:$I$133,5,0)),0%,VLOOKUP(A83,'Données projet'!$A$113:$I$133,5,0)*VLOOKUP('Données projet'!$B$12,Paramètres!$A$1:$I$89,7,0))</f>
        <v>0.42400000000000004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142.01289908362622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142.01289908362622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67.102485673686118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381</v>
      </c>
      <c r="CR83" s="12">
        <f>VLOOKUP(A83,'Données projet'!$A$139:$I$159,9,0)</f>
        <v>4</v>
      </c>
      <c r="CS83" s="12">
        <f t="array" ref="CS83">INDEX(CR:CR,MIN(IF(ISNUMBER(CR83:CR279),ROW(CR83:CR279),"")))</f>
        <v>4</v>
      </c>
      <c r="CT83" s="12">
        <f>IF('Données projet'!$A$140&gt;35,CT82+CS83-DB82,IF(A83&lt;'Données projet'!$A$140,$CQ$205^A83,IF(A83='Données projet'!$A$140,'Données projet'!$B$140,CT82+CS83-DB82)))</f>
        <v>380.99999999999972</v>
      </c>
      <c r="CU83" s="17">
        <f>CT83*VLOOKUP('Données projet'!$B$13,Paramètres!$A$1:$I$89,3,0)*VLOOKUP('Données projet'!$B$13,Paramètres!$A$1:$I$89,5,0)</f>
        <v>249.63119999999981</v>
      </c>
      <c r="CV83" s="13">
        <f t="shared" si="95"/>
        <v>60.50696109894605</v>
      </c>
      <c r="CW83" s="20">
        <f t="shared" si="67"/>
        <v>540.15729724733058</v>
      </c>
      <c r="CX83" s="59">
        <f t="shared" si="68"/>
        <v>822.86641138417963</v>
      </c>
      <c r="CY83" s="59">
        <f ca="1">AVERAGE(OFFSET($CX$3,0,0,'Données projet'!$E$13+1,1))-AVERAGE(OFFSET($H$3,0,0,'Données projet'!$E$13+1,1))</f>
        <v>351.7266381615546</v>
      </c>
      <c r="CZ83" s="59">
        <f t="shared" si="96"/>
        <v>340.52483243761799</v>
      </c>
      <c r="DA83" s="15">
        <f>IF(ISNA(VLOOKUP(A83,'Données projet'!$A$139:$I$159,3,0)),0,VLOOKUP(A83,'Données projet'!$A$139:$I$159,3,0))</f>
        <v>15</v>
      </c>
      <c r="DB83" s="15">
        <f>IF(ISNA(VLOOKUP(A83,'Données projet'!$A$139:$I$159,4,0)),0,VLOOKUP(A83,'Données projet'!$A$139:$I$159,4,0))</f>
        <v>381</v>
      </c>
      <c r="DC83" s="16">
        <f>IF(ISNA(VLOOKUP(A83,'Données projet'!$A$139:$I$159,5,0)),0%,VLOOKUP(A83,'Données projet'!$A$139:$I$159,5,0)*VLOOKUP('Données projet'!$B$13,Paramètres!$A$1:$I$89,7,0))</f>
        <v>0.34400000000000003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120.08235472826524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120.08235472826524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67.102485673686118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424</v>
      </c>
      <c r="DM83" s="12">
        <f>VLOOKUP(A83,'Données projet'!$A$165:$I$185,9,0)</f>
        <v>10.4</v>
      </c>
      <c r="DN83" s="12">
        <f t="array" ref="DN83">INDEX(DM:DM,MIN(IF(ISNUMBER(DM83:DM279),ROW(DM83:DM279),"")))</f>
        <v>10.4</v>
      </c>
      <c r="DO83" s="12">
        <f>IF('Données projet'!$A$166&gt;35,DO82+DN83-DW82,IF(A83&lt;'Données projet'!$A$166,$DL$205^A83,IF(A83='Données projet'!$A$166,'Données projet'!$B$166,DO82+DN83-DW82)))</f>
        <v>423.99999999999989</v>
      </c>
      <c r="DP83" s="17">
        <f>DO83*VLOOKUP('Données projet'!$B$14,Paramètres!$A$1:$I$89,3,0)*VLOOKUP('Données projet'!$B$14,Paramètres!$A$1:$I$89,5,0)</f>
        <v>363.79199999999997</v>
      </c>
      <c r="DQ83" s="13">
        <f t="shared" si="97"/>
        <v>84.396007741478684</v>
      </c>
      <c r="DR83" s="20">
        <f t="shared" si="70"/>
        <v>780.59411348307538</v>
      </c>
      <c r="DS83" s="59">
        <f t="shared" si="71"/>
        <v>1063.3032276199244</v>
      </c>
      <c r="DT83" s="59">
        <f ca="1">AVERAGE(OFFSET($DS$3,0,0,'Données projet'!$E$14+1,1))-AVERAGE(OFFSET($H$3,0,0,'Données projet'!$E$14+1,1))</f>
        <v>569.21675741362196</v>
      </c>
      <c r="DU83" s="59">
        <f t="shared" si="98"/>
        <v>321.12410801891679</v>
      </c>
      <c r="DV83" s="15">
        <f>IF(ISNA(VLOOKUP(A83,'Données projet'!$A$165:$I$185,3,0)),0,VLOOKUP(A83,'Données projet'!$A$165:$I$185,3,0))</f>
        <v>13</v>
      </c>
      <c r="DW83" s="15">
        <f>IF(ISNA(VLOOKUP(A83,'Données projet'!$A$165:$I$185,4,0)),0,VLOOKUP(A83,'Données projet'!$A$165:$I$185,4,0))</f>
        <v>34</v>
      </c>
      <c r="DX83" s="16">
        <f>IF(ISNA(VLOOKUP(A83,'Données projet'!$A$165:$I$185,5,0)),0%,VLOOKUP(A83,'Données projet'!$A$165:$I$185,5,0)*VLOOKUP('Données projet'!$B$14,Paramètres!$A$1:$I$89,7,0))</f>
        <v>0.318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44.889050419865406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44.889050419865406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67.102485673686118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381</v>
      </c>
      <c r="EH83" s="12">
        <f>VLOOKUP(A83,'Données projet'!$A$191:$I$211,9,0)</f>
        <v>4</v>
      </c>
      <c r="EI83" s="12">
        <f t="array" ref="EI83">INDEX(EH:EH,MIN(IF(ISNUMBER(EH83:EH279),ROW(EH83:EH279),"")))</f>
        <v>4</v>
      </c>
      <c r="EJ83" s="12">
        <f>IF('Données projet'!$A$192&gt;35,EJ82+EI83-ER82,IF(A83&lt;'Données projet'!$A$192,$EG$205^A83,IF(A83='Données projet'!$A$192,'Données projet'!$B$192,EJ82+EI83-ER82)))</f>
        <v>380.99999999999972</v>
      </c>
      <c r="EK83" s="17">
        <f>EJ83*VLOOKUP('Données projet'!$B$15,Paramètres!$A$1:$I$89,3,0)*VLOOKUP('Données projet'!$B$15,Paramètres!$A$1:$I$89,5,0)</f>
        <v>303.12359999999978</v>
      </c>
      <c r="EL83" s="13">
        <f t="shared" si="99"/>
        <v>71.830894732837621</v>
      </c>
      <c r="EM83" s="20">
        <f t="shared" si="73"/>
        <v>653.0457449930251</v>
      </c>
      <c r="EN83" s="59">
        <f t="shared" si="74"/>
        <v>935.75485912987415</v>
      </c>
      <c r="EO83" s="59">
        <f ca="1">AVERAGE(OFFSET($EN$3,0,0,'Données projet'!$E$15+1,1))-AVERAGE(OFFSET($H$3,0,0,'Données projet'!$E$15+1,1))</f>
        <v>416.63597645452791</v>
      </c>
      <c r="EP83" s="59">
        <f t="shared" si="100"/>
        <v>402.05920382353497</v>
      </c>
      <c r="EQ83" s="15">
        <f>IF(ISNA(VLOOKUP(A83,'Données projet'!$A$191:$I$211,3,0)),0,VLOOKUP(A83,'Données projet'!$A$191:$I$211,3,0))</f>
        <v>15</v>
      </c>
      <c r="ER83" s="15">
        <f>IF(ISNA(VLOOKUP(A83,'Données projet'!$A$191:$I$211,4,0)),0,VLOOKUP(A83,'Données projet'!$A$191:$I$211,4,0))</f>
        <v>381</v>
      </c>
      <c r="ES83" s="16">
        <f>IF(ISNA(VLOOKUP(A83,'Données projet'!$A$191:$I$211,5,0)),0%,VLOOKUP(A83,'Données projet'!$A$191:$I$211,5,0)*VLOOKUP('Données projet'!$B$15,Paramètres!$A$1:$I$89,7,0))</f>
        <v>0.42400000000000004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179.7245873923039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179.7245873923039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67.102485673686118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330</v>
      </c>
      <c r="FC83" s="12">
        <f>VLOOKUP(A83,'Données projet'!$A$217:$I$237,9,0)</f>
        <v>3.6</v>
      </c>
      <c r="FD83" s="12">
        <f t="array" ref="FD83">INDEX(FC:FC,MIN(IF(ISNUMBER(FC83:FC279),ROW(FC83:FC279),"")))</f>
        <v>3.6</v>
      </c>
      <c r="FE83" s="12">
        <f>IF('Données projet'!$A$218&gt;35,FE82+FD83-FM82,IF(A83&lt;'Données projet'!$A$218,$FB$205^A83,IF(A83='Données projet'!$A$218,'Données projet'!$B$218,FE82+FD83-FM82)))</f>
        <v>330</v>
      </c>
      <c r="FF83" s="17">
        <f>FE83*VLOOKUP('Données projet'!$B$16,Paramètres!$A$1:$I$89,3,0)*VLOOKUP('Données projet'!$B$16,Paramètres!$A$1:$I$89,5,0)</f>
        <v>288.28800000000001</v>
      </c>
      <c r="FG83" s="13">
        <f t="shared" si="101"/>
        <v>68.715516926722444</v>
      </c>
      <c r="FH83" s="20">
        <f t="shared" si="76"/>
        <v>621.78112531404156</v>
      </c>
      <c r="FI83" s="59">
        <f t="shared" si="77"/>
        <v>904.49023945089061</v>
      </c>
      <c r="FJ83" s="59">
        <f ca="1">AVERAGE(OFFSET($FI$3,0,0,'Données projet'!$E$16+1,1))-AVERAGE(OFFSET($H$3,0,0,'Données projet'!$E$16+1,1))</f>
        <v>395.57130469647603</v>
      </c>
      <c r="FK83" s="59">
        <f t="shared" si="102"/>
        <v>383.97542781562674</v>
      </c>
      <c r="FL83" s="15">
        <f>IF(ISNA(VLOOKUP(A83,'Données projet'!$A$217:$I$237,3,0)),0,VLOOKUP(A83,'Données projet'!$A$217:$I$237,3,0))</f>
        <v>15</v>
      </c>
      <c r="FM83" s="15">
        <f>IF(ISNA(VLOOKUP(A83,'Données projet'!$A$217:$I$237,4,0)),0,VLOOKUP(A83,'Données projet'!$A$217:$I$237,4,0))</f>
        <v>330</v>
      </c>
      <c r="FN83" s="16">
        <f>IF(ISNA(VLOOKUP(A83,'Données projet'!$A$217:$I$237,5,0)),0%,VLOOKUP(A83,'Données projet'!$A$217:$I$237,5,0)*VLOOKUP('Données projet'!$B$16,Paramètres!$A$1:$I$89,7,0))</f>
        <v>0.42400000000000004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170.48712629236439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170.48712629236439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67.102485673686118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>
        <f>FZ83*VLOOKUP('Données projet'!$B$17,Paramètres!$A$1:$I$89,3,0)*VLOOKUP('Données projet'!$B$17,Paramètres!$A$1:$I$89,5,0)</f>
        <v>0</v>
      </c>
      <c r="GB83" s="13" t="e">
        <f t="shared" si="103"/>
        <v>#NUM!</v>
      </c>
      <c r="GC83" s="20" t="e">
        <f t="shared" si="79"/>
        <v>#NUM!</v>
      </c>
      <c r="GD83" s="59" t="e">
        <f t="shared" si="80"/>
        <v>#NUM!</v>
      </c>
      <c r="GE83" s="59">
        <f ca="1">AVERAGE(OFFSET($GD$3,0,0,'Données projet'!$E$17+1,1))-AVERAGE(OFFSET($H$3,0,0,'Données projet'!$E$17+1,1))</f>
        <v>301.74744407733351</v>
      </c>
      <c r="GF83" s="59">
        <f t="shared" si="104"/>
        <v>292.46787700966991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88.551028873361872</v>
      </c>
      <c r="GM83" s="21">
        <f>EXP(-LN(2)/25)*GM82+(1-EXP(-LN(2)/25))/(LN(2)/25)*Calculateur!GH83*Calculateur!GJ83*VLOOKUP('Données projet'!$B$17,Paramètres!$A$1:$I$89,3,0)*0.475*44/12</f>
        <v>0</v>
      </c>
      <c r="GN83" s="21">
        <f>EXP(-LN(2)/2)*GN82+(1-EXP(-LN(2)/2))/(LN(2)/2)*GH83*GK83*VLOOKUP('Données projet'!$B$17,Paramètres!$A$1:$I$89,3,0)*0.475*44/12</f>
        <v>0</v>
      </c>
      <c r="GO83" s="21">
        <f t="shared" si="81"/>
        <v>88.551028873361872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67.102485673686118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>
        <f>VLOOKUP(A83,'Données projet'!$A$269:$I$289,2,0)</f>
        <v>381</v>
      </c>
      <c r="GS83" s="12">
        <f>VLOOKUP(A83,'Données projet'!$A$269:$I$289,9,0)</f>
        <v>4</v>
      </c>
      <c r="GT83" s="12">
        <f t="array" ref="GT83">INDEX(GS:GS,MIN(IF(ISNUMBER(GS83:GS279),ROW(GS83:GS279),"")))</f>
        <v>4</v>
      </c>
      <c r="GU83" s="12">
        <f>IF('Données projet'!$A$270&gt;35,GU82+GT83-HC82,IF(A83&lt;'Données projet'!$A$270,$GR$205^A83,IF(A83='Données projet'!$A$270,'Données projet'!$B$270,GU82+GT83-HC82)))</f>
        <v>380.99999999999972</v>
      </c>
      <c r="GV83" s="17">
        <f>GU83*VLOOKUP('Données projet'!$B$18,Paramètres!$A$1:$I$89,3,0)*VLOOKUP('Données projet'!$B$18,Paramètres!$A$1:$I$89,5,0)</f>
        <v>225.85679999999982</v>
      </c>
      <c r="GW83" s="13">
        <f t="shared" si="105"/>
        <v>55.385879241351994</v>
      </c>
      <c r="GX83" s="20">
        <f t="shared" si="82"/>
        <v>489.8309996786877</v>
      </c>
      <c r="GY83" s="59">
        <f t="shared" si="83"/>
        <v>772.54011381553687</v>
      </c>
      <c r="GZ83" s="59">
        <f ca="1">AVERAGE(OFFSET($GY$3,0,0,'Données projet'!$E$18+1,1))-AVERAGE(OFFSET($H$3,0,0,'Données projet'!$E$18+1,1))</f>
        <v>322.78672881269978</v>
      </c>
      <c r="HA83" s="59">
        <f t="shared" si="106"/>
        <v>313.08736327626434</v>
      </c>
      <c r="HB83" s="15">
        <f>IF(ISNA(VLOOKUP(A83,'Données projet'!$A$269:$I$289,3,0)),0,VLOOKUP(A83,'Données projet'!$A$269:$I$289,3,0))</f>
        <v>15</v>
      </c>
      <c r="HC83" s="15">
        <f>IF(ISNA(VLOOKUP(A83,'Données projet'!$A$269:$I$289,4,0)),0,VLOOKUP(A83,'Données projet'!$A$269:$I$289,4,0))</f>
        <v>381</v>
      </c>
      <c r="HD83" s="16">
        <f>IF(ISNA(VLOOKUP(A83,'Données projet'!$A$269:$I$289,5,0)),0%,VLOOKUP(A83,'Données projet'!$A$269:$I$289,5,0)*VLOOKUP('Données projet'!$B$18,Paramètres!$A$1:$I$89,7,0))</f>
        <v>0.48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>
        <f>EXP(-LN(2)/35)*HG82+(1-EXP(-LN(2)/35))/(LN(2)/35)*HC83*HD83*VLOOKUP('Données projet'!$B$18,Paramètres!$A$1:$I$89,3,0)*0.475*44/12</f>
        <v>142.07521277343915</v>
      </c>
      <c r="HH83" s="21">
        <f>EXP(-LN(2)/25)*HH82+(1-EXP(-LN(2)/25))/(LN(2)/25)*Calculateur!HC83*Calculateur!HE83*VLOOKUP('Données projet'!$B$18,Paramètres!$A$1:$I$89,3,0)*0.475*44/12</f>
        <v>0</v>
      </c>
      <c r="HI83" s="21">
        <f>EXP(-LN(2)/2)*HI82+(1-EXP(-LN(2)/2))/(LN(2)/2)*HC83*HF83*VLOOKUP('Données projet'!$B$18,Paramètres!$A$1:$I$89,3,0)*0.475*44/12</f>
        <v>0</v>
      </c>
      <c r="HJ83" s="22">
        <f t="shared" si="84"/>
        <v>142.07521277343915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2.3499999999999996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8.6166666666666654</v>
      </c>
      <c r="H84" s="67">
        <f t="shared" si="56"/>
        <v>222.20000000000002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67.152751069376095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6.6</v>
      </c>
      <c r="N84" s="13">
        <f>IF('Données projet'!$A$36&gt;35,N83+M84-V83,IF(A84&lt;'Données projet'!$A$36,$K$205^A84,IF(A84='Données projet'!$A$36,'Données projet'!$B$36,N83+M84-V83)))</f>
        <v>298.59999999999997</v>
      </c>
      <c r="O84" s="13">
        <f>N84*VLOOKUP('Données projet'!$B$9,Paramètres!$A$1:$I$89,3,0)*VLOOKUP('Données projet'!$B$9,Paramètres!$A$1:$I$89,5,0)</f>
        <v>270.17327999999992</v>
      </c>
      <c r="P84" s="13">
        <f t="shared" si="87"/>
        <v>64.886042303882988</v>
      </c>
      <c r="Q84" s="20">
        <f t="shared" si="54"/>
        <v>583.56165301259614</v>
      </c>
      <c r="R84" s="59">
        <f t="shared" si="55"/>
        <v>866.45507360030842</v>
      </c>
      <c r="S84" s="59">
        <f ca="1">AVERAGE(OFFSET($R$3,0,0,'Données projet'!$E$9+1,1))-AVERAGE(OFFSET($H$3,0,0,'Données projet'!$E$9+1,1))</f>
        <v>473.88815717313474</v>
      </c>
      <c r="T84" s="59">
        <f t="shared" si="88"/>
        <v>287.19790203552895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30.324651152120609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30.324651152120609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67.152751069376095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6.6</v>
      </c>
      <c r="AI84" s="13">
        <f>IF('Données projet'!$A$62&gt;35,AI83+AH84-AQ83,IF(A84&lt;'Données projet'!$A$62,$AF$205^A84,IF(A84='Données projet'!$A$62,'Données projet'!$B$62,AI83+AH84-AQ83)))</f>
        <v>298.59999999999997</v>
      </c>
      <c r="AJ84" s="13">
        <f>AI84*VLOOKUP('Données projet'!$B$10,Paramètres!$A$1:$I$89,3,0)*VLOOKUP('Données projet'!$B$10,Paramètres!$A$1:$I$89,5,0)</f>
        <v>251.54064</v>
      </c>
      <c r="AK84" s="13">
        <f t="shared" si="89"/>
        <v>60.915727667172064</v>
      </c>
      <c r="AL84" s="20">
        <f t="shared" si="58"/>
        <v>544.19484035365804</v>
      </c>
      <c r="AM84" s="59">
        <f t="shared" si="59"/>
        <v>827.08826094137044</v>
      </c>
      <c r="AN84" s="59">
        <f ca="1">AVERAGE(OFFSET($AM$3,0,0,'Données projet'!$E$10+1,1))-AVERAGE(OFFSET($H$3,0,0,'Données projet'!$E$10+1,1))</f>
        <v>445.19118535527258</v>
      </c>
      <c r="AO84" s="59">
        <f t="shared" si="90"/>
        <v>270.93483242839363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28.233295900250234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28.233295900250234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67.152751069376095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6.6</v>
      </c>
      <c r="BD84" s="12">
        <f>IF('Données projet'!$A$88&gt;35,BD83+BC84-BL83,IF(A84&lt;'Données projet'!$A$88,$BA$205^A84,IF(A84='Données projet'!$A$88,'Données projet'!$B$88,BD83+BC84-BL83)))</f>
        <v>298.59999999999997</v>
      </c>
      <c r="BE84" s="13">
        <f>BD84*VLOOKUP('Données projet'!$B$11,Paramètres!$A$1:$I$89,3,0)*VLOOKUP('Données projet'!$B$11,Paramètres!$A$1:$I$89,5,0)</f>
        <v>302.78039999999999</v>
      </c>
      <c r="BF84" s="13">
        <f t="shared" si="91"/>
        <v>71.75902878776165</v>
      </c>
      <c r="BG84" s="20">
        <f t="shared" si="61"/>
        <v>652.32283847201813</v>
      </c>
      <c r="BH84" s="59">
        <f t="shared" si="62"/>
        <v>935.21625905973042</v>
      </c>
      <c r="BI84" s="59">
        <f ca="1">AVERAGE(OFFSET($BH$3,0,0,'Données projet'!$E$11+1,1))-AVERAGE(OFFSET($H$3,0,0,'Données projet'!$E$11+1,1))</f>
        <v>524.01140973345832</v>
      </c>
      <c r="BJ84" s="59">
        <f t="shared" si="92"/>
        <v>315.59942237999621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33.984522842893803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33.984522842893803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67.152751069376095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-2.8421709430404007E-13</v>
      </c>
      <c r="BZ84" s="13">
        <f>BY84*VLOOKUP('Données projet'!$B$12,Paramètres!$A$1:$I$89,3,0)*VLOOKUP('Données projet'!$B$12,Paramètres!$A$1:$I$89,5,0)</f>
        <v>-1.9065282685915009E-13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358.95222991910504</v>
      </c>
      <c r="CE84" s="59">
        <f t="shared" si="94"/>
        <v>347.37506646970905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139.22811275191179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139.22811275191179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67.152751069376095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-2.8421709430404007E-13</v>
      </c>
      <c r="CU84" s="17">
        <f>CT84*VLOOKUP('Données projet'!$B$13,Paramètres!$A$1:$I$89,3,0)*VLOOKUP('Données projet'!$B$13,Paramètres!$A$1:$I$89,5,0)</f>
        <v>-1.8621904018800707E-13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351.7266381615546</v>
      </c>
      <c r="CZ84" s="59">
        <f t="shared" si="96"/>
        <v>340.52483243761799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117.7276129950482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117.7276129950482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67.152751069376095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9.6</v>
      </c>
      <c r="DO84" s="12">
        <f>IF('Données projet'!$A$166&gt;35,DO83+DN84-DW83,IF(A84&lt;'Données projet'!$A$166,$DL$205^A84,IF(A84='Données projet'!$A$166,'Données projet'!$B$166,DO83+DN84-DW83)))</f>
        <v>399.59999999999991</v>
      </c>
      <c r="DP84" s="17">
        <f>DO84*VLOOKUP('Données projet'!$B$14,Paramètres!$A$1:$I$89,3,0)*VLOOKUP('Données projet'!$B$14,Paramètres!$A$1:$I$89,5,0)</f>
        <v>342.85679999999996</v>
      </c>
      <c r="DQ84" s="13">
        <f t="shared" si="97"/>
        <v>80.089891653777826</v>
      </c>
      <c r="DR84" s="20">
        <f t="shared" si="70"/>
        <v>736.63215463032964</v>
      </c>
      <c r="DS84" s="59">
        <f t="shared" si="71"/>
        <v>1019.5255752180419</v>
      </c>
      <c r="DT84" s="59">
        <f ca="1">AVERAGE(OFFSET($DS$3,0,0,'Données projet'!$E$14+1,1))-AVERAGE(OFFSET($H$3,0,0,'Données projet'!$E$14+1,1))</f>
        <v>569.21675741362196</v>
      </c>
      <c r="DU84" s="59">
        <f t="shared" si="98"/>
        <v>321.12410801891679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44.00880352074909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44.00880352074909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67.152751069376095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-2.8421709430404007E-13</v>
      </c>
      <c r="EK84" s="17">
        <f>EJ84*VLOOKUP('Données projet'!$B$15,Paramètres!$A$1:$I$89,3,0)*VLOOKUP('Données projet'!$B$15,Paramètres!$A$1:$I$89,5,0)</f>
        <v>-2.2612312022829427E-13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416.63597645452791</v>
      </c>
      <c r="EP84" s="59">
        <f t="shared" si="100"/>
        <v>402.05920382353497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176.20029785471493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176.20029785471493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67.152751069376095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>
        <f>FE84*VLOOKUP('Données projet'!$B$16,Paramètres!$A$1:$I$89,3,0)*VLOOKUP('Données projet'!$B$16,Paramètres!$A$1:$I$89,5,0)</f>
        <v>0</v>
      </c>
      <c r="FG84" s="13" t="e">
        <f t="shared" si="101"/>
        <v>#NUM!</v>
      </c>
      <c r="FH84" s="20" t="e">
        <f t="shared" si="76"/>
        <v>#NUM!</v>
      </c>
      <c r="FI84" s="59" t="e">
        <f t="shared" si="77"/>
        <v>#NUM!</v>
      </c>
      <c r="FJ84" s="59">
        <f ca="1">AVERAGE(OFFSET($FI$3,0,0,'Données projet'!$E$16+1,1))-AVERAGE(OFFSET($H$3,0,0,'Données projet'!$E$16+1,1))</f>
        <v>395.57130469647603</v>
      </c>
      <c r="FK84" s="59">
        <f t="shared" si="102"/>
        <v>383.97542781562674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167.14397773265031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167.14397773265031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67.152751069376095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>
        <f>FZ84*VLOOKUP('Données projet'!$B$17,Paramètres!$A$1:$I$89,3,0)*VLOOKUP('Données projet'!$B$17,Paramètres!$A$1:$I$89,5,0)</f>
        <v>0</v>
      </c>
      <c r="GB84" s="13" t="e">
        <f t="shared" si="103"/>
        <v>#NUM!</v>
      </c>
      <c r="GC84" s="20" t="e">
        <f t="shared" si="79"/>
        <v>#NUM!</v>
      </c>
      <c r="GD84" s="59" t="e">
        <f t="shared" si="80"/>
        <v>#NUM!</v>
      </c>
      <c r="GE84" s="59">
        <f ca="1">AVERAGE(OFFSET($GD$3,0,0,'Données projet'!$E$17+1,1))-AVERAGE(OFFSET($H$3,0,0,'Données projet'!$E$17+1,1))</f>
        <v>301.74744407733351</v>
      </c>
      <c r="GF84" s="59">
        <f t="shared" si="104"/>
        <v>292.46787700966991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86.814597207949731</v>
      </c>
      <c r="GM84" s="21">
        <f>EXP(-LN(2)/25)*GM83+(1-EXP(-LN(2)/25))/(LN(2)/25)*Calculateur!GH84*Calculateur!GJ84*VLOOKUP('Données projet'!$B$17,Paramètres!$A$1:$I$89,3,0)*0.475*44/12</f>
        <v>0</v>
      </c>
      <c r="GN84" s="21">
        <f>EXP(-LN(2)/2)*GN83+(1-EXP(-LN(2)/2))/(LN(2)/2)*GH84*GK84*VLOOKUP('Données projet'!$B$17,Paramètres!$A$1:$I$89,3,0)*0.475*44/12</f>
        <v>0</v>
      </c>
      <c r="GO84" s="21">
        <f t="shared" si="81"/>
        <v>86.814597207949731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67.152751069376095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-2.8421709430404007E-13</v>
      </c>
      <c r="GV84" s="17">
        <f>GU84*VLOOKUP('Données projet'!$B$18,Paramètres!$A$1:$I$89,3,0)*VLOOKUP('Données projet'!$B$18,Paramètres!$A$1:$I$89,5,0)</f>
        <v>-1.6848389350343495E-13</v>
      </c>
      <c r="GW84" s="13" t="e">
        <f t="shared" si="105"/>
        <v>#NUM!</v>
      </c>
      <c r="GX84" s="20" t="e">
        <f t="shared" si="82"/>
        <v>#NUM!</v>
      </c>
      <c r="GY84" s="59" t="e">
        <f t="shared" si="83"/>
        <v>#NUM!</v>
      </c>
      <c r="GZ84" s="59">
        <f ca="1">AVERAGE(OFFSET($GY$3,0,0,'Données projet'!$E$18+1,1))-AVERAGE(OFFSET($H$3,0,0,'Données projet'!$E$18+1,1))</f>
        <v>322.78672881269978</v>
      </c>
      <c r="HA84" s="59">
        <f t="shared" si="106"/>
        <v>313.08736327626434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139.28920450827511</v>
      </c>
      <c r="HH84" s="21">
        <f>EXP(-LN(2)/25)*HH83+(1-EXP(-LN(2)/25))/(LN(2)/25)*Calculateur!HC84*Calculateur!HE84*VLOOKUP('Données projet'!$B$18,Paramètres!$A$1:$I$89,3,0)*0.475*44/12</f>
        <v>0</v>
      </c>
      <c r="HI84" s="21">
        <f>EXP(-LN(2)/2)*HI83+(1-EXP(-LN(2)/2))/(LN(2)/2)*HC84*HF84*VLOOKUP('Données projet'!$B$18,Paramètres!$A$1:$I$89,3,0)*0.475*44/12</f>
        <v>0</v>
      </c>
      <c r="HJ84" s="22">
        <f t="shared" si="84"/>
        <v>139.28920450827511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2.3499999999999996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8.6166666666666654</v>
      </c>
      <c r="H85" s="67">
        <f t="shared" si="56"/>
        <v>222.20000000000002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67.202144472827428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6.6</v>
      </c>
      <c r="N85" s="13">
        <f>IF('Données projet'!$A$36&gt;35,N84+M85-V84,IF(A85&lt;'Données projet'!$A$36,$K$205^A85,IF(A85='Données projet'!$A$36,'Données projet'!$B$36,N84+M85-V84)))</f>
        <v>305.2</v>
      </c>
      <c r="O85" s="13">
        <f>N85*VLOOKUP('Données projet'!$B$9,Paramètres!$A$1:$I$89,3,0)*VLOOKUP('Données projet'!$B$9,Paramètres!$A$1:$I$89,5,0)</f>
        <v>276.14495999999997</v>
      </c>
      <c r="P85" s="13">
        <f t="shared" si="87"/>
        <v>66.151671938851194</v>
      </c>
      <c r="Q85" s="20">
        <f t="shared" si="54"/>
        <v>596.16663396016577</v>
      </c>
      <c r="R85" s="59">
        <f t="shared" si="55"/>
        <v>879.24116369386638</v>
      </c>
      <c r="S85" s="59">
        <f ca="1">AVERAGE(OFFSET($R$3,0,0,'Données projet'!$E$9+1,1))-AVERAGE(OFFSET($H$3,0,0,'Données projet'!$E$9+1,1))</f>
        <v>473.88815717313474</v>
      </c>
      <c r="T85" s="59">
        <f t="shared" si="88"/>
        <v>287.19790203552895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29.730003239238378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29.730003239238378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67.202144472827428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6.6</v>
      </c>
      <c r="AI85" s="13">
        <f>IF('Données projet'!$A$62&gt;35,AI84+AH85-AQ84,IF(A85&lt;'Données projet'!$A$62,$AF$205^A85,IF(A85='Données projet'!$A$62,'Données projet'!$B$62,AI84+AH85-AQ84)))</f>
        <v>305.2</v>
      </c>
      <c r="AJ85" s="13">
        <f>AI85*VLOOKUP('Données projet'!$B$10,Paramètres!$A$1:$I$89,3,0)*VLOOKUP('Données projet'!$B$10,Paramètres!$A$1:$I$89,5,0)</f>
        <v>257.10048</v>
      </c>
      <c r="AK85" s="13">
        <f t="shared" si="89"/>
        <v>62.103914639805659</v>
      </c>
      <c r="AL85" s="20">
        <f t="shared" si="58"/>
        <v>555.94765399766152</v>
      </c>
      <c r="AM85" s="59">
        <f t="shared" si="59"/>
        <v>839.02218373136202</v>
      </c>
      <c r="AN85" s="59">
        <f ca="1">AVERAGE(OFFSET($AM$3,0,0,'Données projet'!$E$10+1,1))-AVERAGE(OFFSET($H$3,0,0,'Données projet'!$E$10+1,1))</f>
        <v>445.19118535527258</v>
      </c>
      <c r="AO85" s="59">
        <f t="shared" si="90"/>
        <v>270.93483242839363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27.679658188256433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27.679658188256433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67.202144472827428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6.6</v>
      </c>
      <c r="BD85" s="12">
        <f>IF('Données projet'!$A$88&gt;35,BD84+BC85-BL84,IF(A85&lt;'Données projet'!$A$88,$BA$205^A85,IF(A85='Données projet'!$A$88,'Données projet'!$B$88,BD84+BC85-BL84)))</f>
        <v>305.2</v>
      </c>
      <c r="BE85" s="13">
        <f>BD85*VLOOKUP('Données projet'!$B$11,Paramètres!$A$1:$I$89,3,0)*VLOOKUP('Données projet'!$B$11,Paramètres!$A$1:$I$89,5,0)</f>
        <v>309.47280000000001</v>
      </c>
      <c r="BF85" s="13">
        <f t="shared" si="91"/>
        <v>73.15871892427802</v>
      </c>
      <c r="BG85" s="20">
        <f t="shared" si="61"/>
        <v>666.41656212645091</v>
      </c>
      <c r="BH85" s="59">
        <f t="shared" si="62"/>
        <v>949.49109186015153</v>
      </c>
      <c r="BI85" s="59">
        <f ca="1">AVERAGE(OFFSET($BH$3,0,0,'Données projet'!$E$11+1,1))-AVERAGE(OFFSET($H$3,0,0,'Données projet'!$E$11+1,1))</f>
        <v>524.01140973345832</v>
      </c>
      <c r="BJ85" s="59">
        <f t="shared" si="92"/>
        <v>315.59942237999621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33.318107078456819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33.318107078456819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67.202144472827428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-2.8421709430404007E-13</v>
      </c>
      <c r="BZ85" s="13">
        <f>BY85*VLOOKUP('Données projet'!$B$12,Paramètres!$A$1:$I$89,3,0)*VLOOKUP('Données projet'!$B$12,Paramètres!$A$1:$I$89,5,0)</f>
        <v>-1.9065282685915009E-13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358.95222991910504</v>
      </c>
      <c r="CE85" s="59">
        <f t="shared" si="94"/>
        <v>347.37506646970905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136.49793438161035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136.49793438161035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67.202144472827428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-2.8421709430404007E-13</v>
      </c>
      <c r="CU85" s="17">
        <f>CT85*VLOOKUP('Données projet'!$B$13,Paramètres!$A$1:$I$89,3,0)*VLOOKUP('Données projet'!$B$13,Paramètres!$A$1:$I$89,5,0)</f>
        <v>-1.8621904018800707E-13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351.7266381615546</v>
      </c>
      <c r="CZ85" s="59">
        <f t="shared" si="96"/>
        <v>340.52483243761799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115.41904631096891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115.41904631096891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67.202144472827428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9.6</v>
      </c>
      <c r="DO85" s="12">
        <f>IF('Données projet'!$A$166&gt;35,DO84+DN85-DW84,IF(A85&lt;'Données projet'!$A$166,$DL$205^A85,IF(A85='Données projet'!$A$166,'Données projet'!$B$166,DO84+DN85-DW84)))</f>
        <v>409.19999999999993</v>
      </c>
      <c r="DP85" s="17">
        <f>DO85*VLOOKUP('Données projet'!$B$14,Paramètres!$A$1:$I$89,3,0)*VLOOKUP('Données projet'!$B$14,Paramètres!$A$1:$I$89,5,0)</f>
        <v>351.09359999999998</v>
      </c>
      <c r="DQ85" s="13">
        <f t="shared" si="97"/>
        <v>81.787653933539033</v>
      </c>
      <c r="DR85" s="20">
        <f t="shared" si="70"/>
        <v>753.93485060091371</v>
      </c>
      <c r="DS85" s="59">
        <f t="shared" si="71"/>
        <v>1037.0093803346142</v>
      </c>
      <c r="DT85" s="59">
        <f ca="1">AVERAGE(OFFSET($DS$3,0,0,'Données projet'!$E$14+1,1))-AVERAGE(OFFSET($H$3,0,0,'Données projet'!$E$14+1,1))</f>
        <v>569.21675741362196</v>
      </c>
      <c r="DU85" s="59">
        <f t="shared" si="98"/>
        <v>321.12410801891679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43.145817726426849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43.145817726426849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67.202144472827428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-2.8421709430404007E-13</v>
      </c>
      <c r="EK85" s="17">
        <f>EJ85*VLOOKUP('Données projet'!$B$15,Paramètres!$A$1:$I$89,3,0)*VLOOKUP('Données projet'!$B$15,Paramètres!$A$1:$I$89,5,0)</f>
        <v>-2.2612312022829427E-13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416.63597645452791</v>
      </c>
      <c r="EP85" s="59">
        <f t="shared" si="100"/>
        <v>402.05920382353497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172.74511748535372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172.74511748535372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67.202144472827428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>
        <f>FE85*VLOOKUP('Données projet'!$B$16,Paramètres!$A$1:$I$89,3,0)*VLOOKUP('Données projet'!$B$16,Paramètres!$A$1:$I$89,5,0)</f>
        <v>0</v>
      </c>
      <c r="FG85" s="13" t="e">
        <f t="shared" si="101"/>
        <v>#NUM!</v>
      </c>
      <c r="FH85" s="20" t="e">
        <f t="shared" si="76"/>
        <v>#NUM!</v>
      </c>
      <c r="FI85" s="59" t="e">
        <f t="shared" si="77"/>
        <v>#NUM!</v>
      </c>
      <c r="FJ85" s="59">
        <f ca="1">AVERAGE(OFFSET($FI$3,0,0,'Données projet'!$E$16+1,1))-AVERAGE(OFFSET($H$3,0,0,'Données projet'!$E$16+1,1))</f>
        <v>395.57130469647603</v>
      </c>
      <c r="FK85" s="59">
        <f t="shared" si="102"/>
        <v>383.97542781562674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163.86638627707296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163.86638627707296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67.202144472827428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>
        <f>FZ85*VLOOKUP('Données projet'!$B$17,Paramètres!$A$1:$I$89,3,0)*VLOOKUP('Données projet'!$B$17,Paramètres!$A$1:$I$89,5,0)</f>
        <v>0</v>
      </c>
      <c r="GB85" s="13" t="e">
        <f t="shared" si="103"/>
        <v>#NUM!</v>
      </c>
      <c r="GC85" s="20" t="e">
        <f t="shared" si="79"/>
        <v>#NUM!</v>
      </c>
      <c r="GD85" s="59" t="e">
        <f t="shared" si="80"/>
        <v>#NUM!</v>
      </c>
      <c r="GE85" s="59">
        <f ca="1">AVERAGE(OFFSET($GD$3,0,0,'Données projet'!$E$17+1,1))-AVERAGE(OFFSET($H$3,0,0,'Données projet'!$E$17+1,1))</f>
        <v>301.74744407733351</v>
      </c>
      <c r="GF85" s="59">
        <f t="shared" si="104"/>
        <v>292.46787700966991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85.112215908377593</v>
      </c>
      <c r="GM85" s="21">
        <f>EXP(-LN(2)/25)*GM84+(1-EXP(-LN(2)/25))/(LN(2)/25)*Calculateur!GH85*Calculateur!GJ85*VLOOKUP('Données projet'!$B$17,Paramètres!$A$1:$I$89,3,0)*0.475*44/12</f>
        <v>0</v>
      </c>
      <c r="GN85" s="21">
        <f>EXP(-LN(2)/2)*GN84+(1-EXP(-LN(2)/2))/(LN(2)/2)*GH85*GK85*VLOOKUP('Données projet'!$B$17,Paramètres!$A$1:$I$89,3,0)*0.475*44/12</f>
        <v>0</v>
      </c>
      <c r="GO85" s="21">
        <f t="shared" si="81"/>
        <v>85.112215908377593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67.202144472827428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-2.8421709430404007E-13</v>
      </c>
      <c r="GV85" s="17">
        <f>GU85*VLOOKUP('Données projet'!$B$18,Paramètres!$A$1:$I$89,3,0)*VLOOKUP('Données projet'!$B$18,Paramètres!$A$1:$I$89,5,0)</f>
        <v>-1.6848389350343495E-13</v>
      </c>
      <c r="GW85" s="13" t="e">
        <f t="shared" si="105"/>
        <v>#NUM!</v>
      </c>
      <c r="GX85" s="20" t="e">
        <f t="shared" si="82"/>
        <v>#NUM!</v>
      </c>
      <c r="GY85" s="59" t="e">
        <f t="shared" si="83"/>
        <v>#NUM!</v>
      </c>
      <c r="GZ85" s="59">
        <f ca="1">AVERAGE(OFFSET($GY$3,0,0,'Données projet'!$E$18+1,1))-AVERAGE(OFFSET($H$3,0,0,'Données projet'!$E$18+1,1))</f>
        <v>322.78672881269978</v>
      </c>
      <c r="HA85" s="59">
        <f t="shared" si="106"/>
        <v>313.08736327626434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136.55782816589368</v>
      </c>
      <c r="HH85" s="21">
        <f>EXP(-LN(2)/25)*HH84+(1-EXP(-LN(2)/25))/(LN(2)/25)*Calculateur!HC85*Calculateur!HE85*VLOOKUP('Données projet'!$B$18,Paramètres!$A$1:$I$89,3,0)*0.475*44/12</f>
        <v>0</v>
      </c>
      <c r="HI85" s="21">
        <f>EXP(-LN(2)/2)*HI84+(1-EXP(-LN(2)/2))/(LN(2)/2)*HC85*HF85*VLOOKUP('Données projet'!$B$18,Paramètres!$A$1:$I$89,3,0)*0.475*44/12</f>
        <v>0</v>
      </c>
      <c r="HJ85" s="22">
        <f t="shared" si="84"/>
        <v>136.55782816589368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2.3499999999999996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8.6166666666666654</v>
      </c>
      <c r="H86" s="67">
        <f t="shared" si="56"/>
        <v>222.20000000000002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67.25068101115599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6.6</v>
      </c>
      <c r="N86" s="13">
        <f>IF('Données projet'!$A$36&gt;35,N85+M86-V85,IF(A86&lt;'Données projet'!$A$36,$K$205^A86,IF(A86='Données projet'!$A$36,'Données projet'!$B$36,N85+M86-V85)))</f>
        <v>311.8</v>
      </c>
      <c r="O86" s="13">
        <f>N86*VLOOKUP('Données projet'!$B$9,Paramètres!$A$1:$I$89,3,0)*VLOOKUP('Données projet'!$B$9,Paramètres!$A$1:$I$89,5,0)</f>
        <v>282.11664000000002</v>
      </c>
      <c r="P86" s="13">
        <f t="shared" si="87"/>
        <v>67.414119514142243</v>
      </c>
      <c r="Q86" s="20">
        <f t="shared" si="54"/>
        <v>608.76607282046439</v>
      </c>
      <c r="R86" s="59">
        <f t="shared" si="55"/>
        <v>892.01856986136977</v>
      </c>
      <c r="S86" s="59">
        <f ca="1">AVERAGE(OFFSET($R$3,0,0,'Données projet'!$E$9+1,1))-AVERAGE(OFFSET($H$3,0,0,'Données projet'!$E$9+1,1))</f>
        <v>473.88815717313474</v>
      </c>
      <c r="T86" s="59">
        <f t="shared" si="88"/>
        <v>287.19790203552895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29.147016009228356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29.147016009228356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67.25068101115599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6.6</v>
      </c>
      <c r="AI86" s="13">
        <f>IF('Données projet'!$A$62&gt;35,AI85+AH86-AQ85,IF(A86&lt;'Données projet'!$A$62,$AF$205^A86,IF(A86='Données projet'!$A$62,'Données projet'!$B$62,AI85+AH86-AQ85)))</f>
        <v>311.8</v>
      </c>
      <c r="AJ86" s="13">
        <f>AI86*VLOOKUP('Données projet'!$B$10,Paramètres!$A$1:$I$89,3,0)*VLOOKUP('Données projet'!$B$10,Paramètres!$A$1:$I$89,5,0)</f>
        <v>262.66032000000001</v>
      </c>
      <c r="AK86" s="13">
        <f t="shared" si="89"/>
        <v>63.289114259938891</v>
      </c>
      <c r="AL86" s="20">
        <f t="shared" si="58"/>
        <v>567.69526466939362</v>
      </c>
      <c r="AM86" s="59">
        <f t="shared" si="59"/>
        <v>850.94776171029889</v>
      </c>
      <c r="AN86" s="59">
        <f ca="1">AVERAGE(OFFSET($AM$3,0,0,'Données projet'!$E$10+1,1))-AVERAGE(OFFSET($H$3,0,0,'Données projet'!$E$10+1,1))</f>
        <v>445.19118535527258</v>
      </c>
      <c r="AO86" s="59">
        <f t="shared" si="90"/>
        <v>270.93483242839363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27.136876974109168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27.136876974109168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67.25068101115599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6.6</v>
      </c>
      <c r="BD86" s="12">
        <f>IF('Données projet'!$A$88&gt;35,BD85+BC86-BL85,IF(A86&lt;'Données projet'!$A$88,$BA$205^A86,IF(A86='Données projet'!$A$88,'Données projet'!$B$88,BD85+BC86-BL85)))</f>
        <v>311.8</v>
      </c>
      <c r="BE86" s="13">
        <f>BD86*VLOOKUP('Données projet'!$B$11,Paramètres!$A$1:$I$89,3,0)*VLOOKUP('Données projet'!$B$11,Paramètres!$A$1:$I$89,5,0)</f>
        <v>316.16520000000003</v>
      </c>
      <c r="BF86" s="13">
        <f t="shared" si="91"/>
        <v>74.554889944758472</v>
      </c>
      <c r="BG86" s="20">
        <f t="shared" si="61"/>
        <v>680.50415665378762</v>
      </c>
      <c r="BH86" s="59">
        <f t="shared" si="62"/>
        <v>963.75665369469289</v>
      </c>
      <c r="BI86" s="59">
        <f ca="1">AVERAGE(OFFSET($BH$3,0,0,'Données projet'!$E$11+1,1))-AVERAGE(OFFSET($H$3,0,0,'Données projet'!$E$11+1,1))</f>
        <v>524.01140973345832</v>
      </c>
      <c r="BJ86" s="59">
        <f t="shared" si="92"/>
        <v>315.59942237999621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32.664759320686962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32.664759320686962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67.25068101115599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-2.8421709430404007E-13</v>
      </c>
      <c r="BZ86" s="13">
        <f>BY86*VLOOKUP('Données projet'!$B$12,Paramètres!$A$1:$I$89,3,0)*VLOOKUP('Données projet'!$B$12,Paramètres!$A$1:$I$89,5,0)</f>
        <v>-1.9065282685915009E-13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358.95222991910504</v>
      </c>
      <c r="CE86" s="59">
        <f t="shared" si="94"/>
        <v>347.37506646970905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133.82129314390613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133.82129314390613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67.25068101115599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-2.8421709430404007E-13</v>
      </c>
      <c r="CU86" s="17">
        <f>CT86*VLOOKUP('Données projet'!$B$13,Paramètres!$A$1:$I$89,3,0)*VLOOKUP('Données projet'!$B$13,Paramètres!$A$1:$I$89,5,0)</f>
        <v>-1.8621904018800707E-13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351.7266381615546</v>
      </c>
      <c r="CZ86" s="59">
        <f t="shared" si="96"/>
        <v>340.52483243761799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113.15574921147777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113.15574921147777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67.25068101115599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9.6</v>
      </c>
      <c r="DO86" s="12">
        <f>IF('Données projet'!$A$166&gt;35,DO85+DN86-DW85,IF(A86&lt;'Données projet'!$A$166,$DL$205^A86,IF(A86='Données projet'!$A$166,'Données projet'!$B$166,DO85+DN86-DW85)))</f>
        <v>418.79999999999995</v>
      </c>
      <c r="DP86" s="17">
        <f>DO86*VLOOKUP('Données projet'!$B$14,Paramètres!$A$1:$I$89,3,0)*VLOOKUP('Données projet'!$B$14,Paramètres!$A$1:$I$89,5,0)</f>
        <v>359.3304</v>
      </c>
      <c r="DQ86" s="13">
        <f t="shared" si="97"/>
        <v>83.48078585362731</v>
      </c>
      <c r="DR86" s="20">
        <f t="shared" si="70"/>
        <v>771.22948202840087</v>
      </c>
      <c r="DS86" s="59">
        <f t="shared" si="71"/>
        <v>1054.4819790693061</v>
      </c>
      <c r="DT86" s="59">
        <f ca="1">AVERAGE(OFFSET($DS$3,0,0,'Données projet'!$E$14+1,1))-AVERAGE(OFFSET($H$3,0,0,'Données projet'!$E$14+1,1))</f>
        <v>569.21675741362196</v>
      </c>
      <c r="DU86" s="59">
        <f t="shared" si="98"/>
        <v>321.12410801891679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42.299754557161904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42.299754557161904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67.25068101115599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-2.8421709430404007E-13</v>
      </c>
      <c r="EK86" s="17">
        <f>EJ86*VLOOKUP('Données projet'!$B$15,Paramètres!$A$1:$I$89,3,0)*VLOOKUP('Données projet'!$B$15,Paramètres!$A$1:$I$89,5,0)</f>
        <v>-2.2612312022829427E-13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416.63597645452791</v>
      </c>
      <c r="EP86" s="59">
        <f t="shared" si="100"/>
        <v>402.05920382353497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169.35769109558376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169.35769109558376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67.25068101115599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>
        <f>FE86*VLOOKUP('Données projet'!$B$16,Paramètres!$A$1:$I$89,3,0)*VLOOKUP('Données projet'!$B$16,Paramètres!$A$1:$I$89,5,0)</f>
        <v>0</v>
      </c>
      <c r="FG86" s="13" t="e">
        <f t="shared" si="101"/>
        <v>#NUM!</v>
      </c>
      <c r="FH86" s="20" t="e">
        <f t="shared" si="76"/>
        <v>#NUM!</v>
      </c>
      <c r="FI86" s="59" t="e">
        <f t="shared" si="77"/>
        <v>#NUM!</v>
      </c>
      <c r="FJ86" s="59">
        <f ca="1">AVERAGE(OFFSET($FI$3,0,0,'Données projet'!$E$16+1,1))-AVERAGE(OFFSET($H$3,0,0,'Données projet'!$E$16+1,1))</f>
        <v>395.57130469647603</v>
      </c>
      <c r="FK86" s="59">
        <f t="shared" si="102"/>
        <v>383.97542781562674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160.65306639080609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160.65306639080609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67.25068101115599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>
        <f>FZ86*VLOOKUP('Données projet'!$B$17,Paramètres!$A$1:$I$89,3,0)*VLOOKUP('Données projet'!$B$17,Paramètres!$A$1:$I$89,5,0)</f>
        <v>0</v>
      </c>
      <c r="GB86" s="13" t="e">
        <f t="shared" si="103"/>
        <v>#NUM!</v>
      </c>
      <c r="GC86" s="20" t="e">
        <f t="shared" si="79"/>
        <v>#NUM!</v>
      </c>
      <c r="GD86" s="59" t="e">
        <f t="shared" si="80"/>
        <v>#NUM!</v>
      </c>
      <c r="GE86" s="59">
        <f ca="1">AVERAGE(OFFSET($GD$3,0,0,'Données projet'!$E$17+1,1))-AVERAGE(OFFSET($H$3,0,0,'Données projet'!$E$17+1,1))</f>
        <v>301.74744407733351</v>
      </c>
      <c r="GF86" s="59">
        <f t="shared" si="104"/>
        <v>292.46787700966991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83.443217267739996</v>
      </c>
      <c r="GM86" s="21">
        <f>EXP(-LN(2)/25)*GM85+(1-EXP(-LN(2)/25))/(LN(2)/25)*Calculateur!GH86*Calculateur!GJ86*VLOOKUP('Données projet'!$B$17,Paramètres!$A$1:$I$89,3,0)*0.475*44/12</f>
        <v>0</v>
      </c>
      <c r="GN86" s="21">
        <f>EXP(-LN(2)/2)*GN85+(1-EXP(-LN(2)/2))/(LN(2)/2)*GH86*GK86*VLOOKUP('Données projet'!$B$17,Paramètres!$A$1:$I$89,3,0)*0.475*44/12</f>
        <v>0</v>
      </c>
      <c r="GO86" s="21">
        <f t="shared" si="81"/>
        <v>83.443217267739996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67.25068101115599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-2.8421709430404007E-13</v>
      </c>
      <c r="GV86" s="17">
        <f>GU86*VLOOKUP('Données projet'!$B$18,Paramètres!$A$1:$I$89,3,0)*VLOOKUP('Données projet'!$B$18,Paramètres!$A$1:$I$89,5,0)</f>
        <v>-1.6848389350343495E-13</v>
      </c>
      <c r="GW86" s="13" t="e">
        <f t="shared" si="105"/>
        <v>#NUM!</v>
      </c>
      <c r="GX86" s="20" t="e">
        <f t="shared" si="82"/>
        <v>#NUM!</v>
      </c>
      <c r="GY86" s="59" t="e">
        <f t="shared" si="83"/>
        <v>#NUM!</v>
      </c>
      <c r="GZ86" s="59">
        <f ca="1">AVERAGE(OFFSET($GY$3,0,0,'Données projet'!$E$18+1,1))-AVERAGE(OFFSET($H$3,0,0,'Données projet'!$E$18+1,1))</f>
        <v>322.78672881269978</v>
      </c>
      <c r="HA86" s="59">
        <f t="shared" si="106"/>
        <v>313.08736327626434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133.88001244761128</v>
      </c>
      <c r="HH86" s="21">
        <f>EXP(-LN(2)/25)*HH85+(1-EXP(-LN(2)/25))/(LN(2)/25)*Calculateur!HC86*Calculateur!HE86*VLOOKUP('Données projet'!$B$18,Paramètres!$A$1:$I$89,3,0)*0.475*44/12</f>
        <v>0</v>
      </c>
      <c r="HI86" s="21">
        <f>EXP(-LN(2)/2)*HI85+(1-EXP(-LN(2)/2))/(LN(2)/2)*HC86*HF86*VLOOKUP('Données projet'!$B$18,Paramètres!$A$1:$I$89,3,0)*0.475*44/12</f>
        <v>0</v>
      </c>
      <c r="HJ86" s="22">
        <f t="shared" si="84"/>
        <v>133.88001244761128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2.3499999999999996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8.6166666666666654</v>
      </c>
      <c r="H87" s="67">
        <f t="shared" si="56"/>
        <v>222.20000000000002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67.29837554905599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6.6</v>
      </c>
      <c r="N87" s="13">
        <f>IF('Données projet'!$A$36&gt;35,N86+M87-V86,IF(A87&lt;'Données projet'!$A$36,$K$205^A87,IF(A87='Données projet'!$A$36,'Données projet'!$B$36,N86+M87-V86)))</f>
        <v>318.40000000000003</v>
      </c>
      <c r="O87" s="13">
        <f>N87*VLOOKUP('Données projet'!$B$9,Paramètres!$A$1:$I$89,3,0)*VLOOKUP('Données projet'!$B$9,Paramètres!$A$1:$I$89,5,0)</f>
        <v>288.08832000000001</v>
      </c>
      <c r="P87" s="13">
        <f t="shared" si="87"/>
        <v>68.673460144735557</v>
      </c>
      <c r="Q87" s="20">
        <f t="shared" si="54"/>
        <v>621.36010041874772</v>
      </c>
      <c r="R87" s="59">
        <f t="shared" si="55"/>
        <v>904.78747743195299</v>
      </c>
      <c r="S87" s="59">
        <f ca="1">AVERAGE(OFFSET($R$3,0,0,'Données projet'!$E$9+1,1))-AVERAGE(OFFSET($H$3,0,0,'Données projet'!$E$9+1,1))</f>
        <v>473.88815717313474</v>
      </c>
      <c r="T87" s="59">
        <f t="shared" si="88"/>
        <v>287.19790203552895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28.57546080321173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28.57546080321173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67.29837554905599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6.6</v>
      </c>
      <c r="AI87" s="13">
        <f>IF('Données projet'!$A$62&gt;35,AI86+AH87-AQ86,IF(A87&lt;'Données projet'!$A$62,$AF$205^A87,IF(A87='Données projet'!$A$62,'Données projet'!$B$62,AI86+AH87-AQ86)))</f>
        <v>318.40000000000003</v>
      </c>
      <c r="AJ87" s="13">
        <f>AI87*VLOOKUP('Données projet'!$B$10,Paramètres!$A$1:$I$89,3,0)*VLOOKUP('Données projet'!$B$10,Paramètres!$A$1:$I$89,5,0)</f>
        <v>268.22016000000008</v>
      </c>
      <c r="AK87" s="13">
        <f t="shared" si="89"/>
        <v>64.471397046337728</v>
      </c>
      <c r="AL87" s="20">
        <f t="shared" si="58"/>
        <v>579.43779518903841</v>
      </c>
      <c r="AM87" s="59">
        <f t="shared" si="59"/>
        <v>862.86517220224368</v>
      </c>
      <c r="AN87" s="59">
        <f ca="1">AVERAGE(OFFSET($AM$3,0,0,'Données projet'!$E$10+1,1))-AVERAGE(OFFSET($H$3,0,0,'Données projet'!$E$10+1,1))</f>
        <v>445.19118535527258</v>
      </c>
      <c r="AO87" s="59">
        <f t="shared" si="90"/>
        <v>270.93483242839363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26.604739368507481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26.604739368507481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67.29837554905599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6.6</v>
      </c>
      <c r="BD87" s="12">
        <f>IF('Données projet'!$A$88&gt;35,BD86+BC87-BL86,IF(A87&lt;'Données projet'!$A$88,$BA$205^A87,IF(A87='Données projet'!$A$88,'Données projet'!$B$88,BD86+BC87-BL86)))</f>
        <v>318.40000000000003</v>
      </c>
      <c r="BE87" s="13">
        <f>BD87*VLOOKUP('Données projet'!$B$11,Paramètres!$A$1:$I$89,3,0)*VLOOKUP('Données projet'!$B$11,Paramètres!$A$1:$I$89,5,0)</f>
        <v>322.85760000000005</v>
      </c>
      <c r="BF87" s="13">
        <f t="shared" si="91"/>
        <v>75.947624920658441</v>
      </c>
      <c r="BG87" s="20">
        <f t="shared" si="61"/>
        <v>694.58576673681353</v>
      </c>
      <c r="BH87" s="59">
        <f t="shared" si="62"/>
        <v>978.0131437500188</v>
      </c>
      <c r="BI87" s="59">
        <f ca="1">AVERAGE(OFFSET($BH$3,0,0,'Données projet'!$E$11+1,1))-AVERAGE(OFFSET($H$3,0,0,'Données projet'!$E$11+1,1))</f>
        <v>524.01140973345832</v>
      </c>
      <c r="BJ87" s="59">
        <f t="shared" si="92"/>
        <v>315.59942237999621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32.024223313944191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32.024223313944191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67.29837554905599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-2.8421709430404007E-13</v>
      </c>
      <c r="BZ87" s="13">
        <f>BY87*VLOOKUP('Données projet'!$B$12,Paramètres!$A$1:$I$89,3,0)*VLOOKUP('Données projet'!$B$12,Paramètres!$A$1:$I$89,5,0)</f>
        <v>-1.9065282685915009E-13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358.95222991910504</v>
      </c>
      <c r="CE87" s="59">
        <f t="shared" si="94"/>
        <v>347.37506646970905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131.19713920828335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131.19713920828335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67.29837554905599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-2.8421709430404007E-13</v>
      </c>
      <c r="CU87" s="17">
        <f>CT87*VLOOKUP('Données projet'!$B$13,Paramètres!$A$1:$I$89,3,0)*VLOOKUP('Données projet'!$B$13,Paramètres!$A$1:$I$89,5,0)</f>
        <v>-1.8621904018800707E-13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351.7266381615546</v>
      </c>
      <c r="CZ87" s="59">
        <f t="shared" si="96"/>
        <v>340.52483243761799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110.93683398763272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110.93683398763272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67.29837554905599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9.6</v>
      </c>
      <c r="DO87" s="12">
        <f>IF('Données projet'!$A$166&gt;35,DO86+DN87-DW86,IF(A87&lt;'Données projet'!$A$166,$DL$205^A87,IF(A87='Données projet'!$A$166,'Données projet'!$B$166,DO86+DN87-DW86)))</f>
        <v>428.4</v>
      </c>
      <c r="DP87" s="17">
        <f>DO87*VLOOKUP('Données projet'!$B$14,Paramètres!$A$1:$I$89,3,0)*VLOOKUP('Données projet'!$B$14,Paramètres!$A$1:$I$89,5,0)</f>
        <v>367.56720000000001</v>
      </c>
      <c r="DQ87" s="13">
        <f t="shared" si="97"/>
        <v>85.169405771799362</v>
      </c>
      <c r="DR87" s="20">
        <f t="shared" si="70"/>
        <v>788.5162550525506</v>
      </c>
      <c r="DS87" s="59">
        <f t="shared" si="71"/>
        <v>1071.943632065756</v>
      </c>
      <c r="DT87" s="59">
        <f ca="1">AVERAGE(OFFSET($DS$3,0,0,'Données projet'!$E$14+1,1))-AVERAGE(OFFSET($H$3,0,0,'Données projet'!$E$14+1,1))</f>
        <v>569.21675741362196</v>
      </c>
      <c r="DU87" s="59">
        <f t="shared" si="98"/>
        <v>321.12410801891679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41.470282170598672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41.470282170598672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67.29837554905599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-2.8421709430404007E-13</v>
      </c>
      <c r="EK87" s="17">
        <f>EJ87*VLOOKUP('Données projet'!$B$15,Paramètres!$A$1:$I$89,3,0)*VLOOKUP('Données projet'!$B$15,Paramètres!$A$1:$I$89,5,0)</f>
        <v>-2.2612312022829427E-13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416.63597645452791</v>
      </c>
      <c r="EP87" s="59">
        <f t="shared" si="100"/>
        <v>402.05920382353497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166.03669007119109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166.03669007119109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67.29837554905599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>
        <f>FE87*VLOOKUP('Données projet'!$B$16,Paramètres!$A$1:$I$89,3,0)*VLOOKUP('Données projet'!$B$16,Paramètres!$A$1:$I$89,5,0)</f>
        <v>0</v>
      </c>
      <c r="FG87" s="13" t="e">
        <f t="shared" si="101"/>
        <v>#NUM!</v>
      </c>
      <c r="FH87" s="20" t="e">
        <f t="shared" si="76"/>
        <v>#NUM!</v>
      </c>
      <c r="FI87" s="59" t="e">
        <f t="shared" si="77"/>
        <v>#NUM!</v>
      </c>
      <c r="FJ87" s="59">
        <f ca="1">AVERAGE(OFFSET($FI$3,0,0,'Données projet'!$E$16+1,1))-AVERAGE(OFFSET($H$3,0,0,'Données projet'!$E$16+1,1))</f>
        <v>395.57130469647603</v>
      </c>
      <c r="FK87" s="59">
        <f t="shared" si="102"/>
        <v>383.97542781562674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157.50275774757731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157.50275774757731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67.29837554905599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>
        <f>FZ87*VLOOKUP('Données projet'!$B$17,Paramètres!$A$1:$I$89,3,0)*VLOOKUP('Données projet'!$B$17,Paramètres!$A$1:$I$89,5,0)</f>
        <v>0</v>
      </c>
      <c r="GB87" s="13" t="e">
        <f t="shared" si="103"/>
        <v>#NUM!</v>
      </c>
      <c r="GC87" s="20" t="e">
        <f t="shared" si="79"/>
        <v>#NUM!</v>
      </c>
      <c r="GD87" s="59" t="e">
        <f t="shared" si="80"/>
        <v>#NUM!</v>
      </c>
      <c r="GE87" s="59">
        <f ca="1">AVERAGE(OFFSET($GD$3,0,0,'Données projet'!$E$17+1,1))-AVERAGE(OFFSET($H$3,0,0,'Données projet'!$E$17+1,1))</f>
        <v>301.74744407733351</v>
      </c>
      <c r="GF87" s="59">
        <f t="shared" si="104"/>
        <v>292.46787700966991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81.806946672456647</v>
      </c>
      <c r="GM87" s="21">
        <f>EXP(-LN(2)/25)*GM86+(1-EXP(-LN(2)/25))/(LN(2)/25)*Calculateur!GH87*Calculateur!GJ87*VLOOKUP('Données projet'!$B$17,Paramètres!$A$1:$I$89,3,0)*0.475*44/12</f>
        <v>0</v>
      </c>
      <c r="GN87" s="21">
        <f>EXP(-LN(2)/2)*GN86+(1-EXP(-LN(2)/2))/(LN(2)/2)*GH87*GK87*VLOOKUP('Données projet'!$B$17,Paramètres!$A$1:$I$89,3,0)*0.475*44/12</f>
        <v>0</v>
      </c>
      <c r="GO87" s="21">
        <f t="shared" si="81"/>
        <v>81.806946672456647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67.29837554905599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-2.8421709430404007E-13</v>
      </c>
      <c r="GV87" s="17">
        <f>GU87*VLOOKUP('Données projet'!$B$18,Paramètres!$A$1:$I$89,3,0)*VLOOKUP('Données projet'!$B$18,Paramètres!$A$1:$I$89,5,0)</f>
        <v>-1.6848389350343495E-13</v>
      </c>
      <c r="GW87" s="13" t="e">
        <f t="shared" si="105"/>
        <v>#NUM!</v>
      </c>
      <c r="GX87" s="20" t="e">
        <f t="shared" si="82"/>
        <v>#NUM!</v>
      </c>
      <c r="GY87" s="59" t="e">
        <f t="shared" si="83"/>
        <v>#NUM!</v>
      </c>
      <c r="GZ87" s="59">
        <f ca="1">AVERAGE(OFFSET($GY$3,0,0,'Données projet'!$E$18+1,1))-AVERAGE(OFFSET($H$3,0,0,'Données projet'!$E$18+1,1))</f>
        <v>322.78672881269978</v>
      </c>
      <c r="HA87" s="59">
        <f t="shared" si="106"/>
        <v>313.08736327626434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131.25470706225809</v>
      </c>
      <c r="HH87" s="21">
        <f>EXP(-LN(2)/25)*HH86+(1-EXP(-LN(2)/25))/(LN(2)/25)*Calculateur!HC87*Calculateur!HE87*VLOOKUP('Données projet'!$B$18,Paramètres!$A$1:$I$89,3,0)*0.475*44/12</f>
        <v>0</v>
      </c>
      <c r="HI87" s="21">
        <f>EXP(-LN(2)/2)*HI86+(1-EXP(-LN(2)/2))/(LN(2)/2)*HC87*HF87*VLOOKUP('Données projet'!$B$18,Paramètres!$A$1:$I$89,3,0)*0.475*44/12</f>
        <v>0</v>
      </c>
      <c r="HJ87" s="22">
        <f t="shared" si="84"/>
        <v>131.25470706225809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2.3499999999999996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8.6166666666666654</v>
      </c>
      <c r="H88" s="67">
        <f t="shared" si="56"/>
        <v>222.20000000000002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67.345242693352446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6.6</v>
      </c>
      <c r="N88" s="13">
        <f>IF('Données projet'!$A$36&gt;35,N87+M88-V87,IF(A88&lt;'Données projet'!$A$36,$K$205^A88,IF(A88='Données projet'!$A$36,'Données projet'!$B$36,N87+M88-V87)))</f>
        <v>325.00000000000006</v>
      </c>
      <c r="O88" s="13">
        <f>N88*VLOOKUP('Données projet'!$B$9,Paramètres!$A$1:$I$89,3,0)*VLOOKUP('Données projet'!$B$9,Paramètres!$A$1:$I$89,5,0)</f>
        <v>294.06000000000006</v>
      </c>
      <c r="P88" s="13">
        <f t="shared" si="87"/>
        <v>69.929765653573369</v>
      </c>
      <c r="Q88" s="20">
        <f t="shared" si="54"/>
        <v>633.94884184664033</v>
      </c>
      <c r="R88" s="59">
        <f t="shared" si="55"/>
        <v>917.5480650555993</v>
      </c>
      <c r="S88" s="59">
        <f ca="1">AVERAGE(OFFSET($R$3,0,0,'Données projet'!$E$9+1,1))-AVERAGE(OFFSET($H$3,0,0,'Données projet'!$E$9+1,1))</f>
        <v>473.88815717313474</v>
      </c>
      <c r="T88" s="59">
        <f t="shared" si="88"/>
        <v>287.19790203552895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28.015113446170837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28.015113446170837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67.345242693352446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6.6</v>
      </c>
      <c r="AI88" s="13">
        <f>IF('Données projet'!$A$62&gt;35,AI87+AH88-AQ87,IF(A88&lt;'Données projet'!$A$62,$AF$205^A88,IF(A88='Données projet'!$A$62,'Données projet'!$B$62,AI87+AH88-AQ87)))</f>
        <v>325.00000000000006</v>
      </c>
      <c r="AJ88" s="13">
        <f>AI88*VLOOKUP('Données projet'!$B$10,Paramètres!$A$1:$I$89,3,0)*VLOOKUP('Données projet'!$B$10,Paramètres!$A$1:$I$89,5,0)</f>
        <v>273.78000000000003</v>
      </c>
      <c r="AK88" s="13">
        <f t="shared" si="89"/>
        <v>65.650830427167435</v>
      </c>
      <c r="AL88" s="20">
        <f t="shared" si="58"/>
        <v>591.17536299398319</v>
      </c>
      <c r="AM88" s="59">
        <f t="shared" si="59"/>
        <v>874.77458620294215</v>
      </c>
      <c r="AN88" s="59">
        <f ca="1">AVERAGE(OFFSET($AM$3,0,0,'Données projet'!$E$10+1,1))-AVERAGE(OFFSET($H$3,0,0,'Données projet'!$E$10+1,1))</f>
        <v>445.19118535527258</v>
      </c>
      <c r="AO88" s="59">
        <f t="shared" si="90"/>
        <v>270.93483242839363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26.083036656779754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26.083036656779754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67.345242693352446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6.6</v>
      </c>
      <c r="BD88" s="12">
        <f>IF('Données projet'!$A$88&gt;35,BD87+BC88-BL87,IF(A88&lt;'Données projet'!$A$88,$BA$205^A88,IF(A88='Données projet'!$A$88,'Données projet'!$B$88,BD87+BC88-BL87)))</f>
        <v>325.00000000000006</v>
      </c>
      <c r="BE88" s="13">
        <f>BD88*VLOOKUP('Données projet'!$B$11,Paramètres!$A$1:$I$89,3,0)*VLOOKUP('Données projet'!$B$11,Paramètres!$A$1:$I$89,5,0)</f>
        <v>329.55000000000013</v>
      </c>
      <c r="BF88" s="13">
        <f t="shared" si="91"/>
        <v>77.337003282690645</v>
      </c>
      <c r="BG88" s="20">
        <f t="shared" si="61"/>
        <v>708.661530717353</v>
      </c>
      <c r="BH88" s="59">
        <f t="shared" si="62"/>
        <v>992.26075392631196</v>
      </c>
      <c r="BI88" s="59">
        <f ca="1">AVERAGE(OFFSET($BH$3,0,0,'Données projet'!$E$11+1,1))-AVERAGE(OFFSET($H$3,0,0,'Données projet'!$E$11+1,1))</f>
        <v>524.01140973345832</v>
      </c>
      <c r="BJ88" s="59">
        <f t="shared" si="92"/>
        <v>315.59942237999621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31.396247827605258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31.396247827605258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67.345242693352446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-2.8421709430404007E-13</v>
      </c>
      <c r="BZ88" s="13">
        <f>BY88*VLOOKUP('Données projet'!$B$12,Paramètres!$A$1:$I$89,3,0)*VLOOKUP('Données projet'!$B$12,Paramètres!$A$1:$I$89,5,0)</f>
        <v>-1.9065282685915009E-13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358.95222991910504</v>
      </c>
      <c r="CE88" s="59">
        <f t="shared" si="94"/>
        <v>347.37506646970905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128.62444333076226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128.62444333076226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67.345242693352446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-2.8421709430404007E-13</v>
      </c>
      <c r="CU88" s="17">
        <f>CT88*VLOOKUP('Données projet'!$B$13,Paramètres!$A$1:$I$89,3,0)*VLOOKUP('Données projet'!$B$13,Paramètres!$A$1:$I$89,5,0)</f>
        <v>-1.8621904018800707E-13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351.7266381615546</v>
      </c>
      <c r="CZ88" s="59">
        <f t="shared" si="96"/>
        <v>340.52483243761799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108.76143033792263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108.76143033792263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67.345242693352446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>
        <f>VLOOKUP(A88,'Données projet'!$A$165:$I$185,2,0)</f>
        <v>438</v>
      </c>
      <c r="DM88" s="12">
        <f>VLOOKUP(A88,'Données projet'!$A$165:$I$185,9,0)</f>
        <v>9.6</v>
      </c>
      <c r="DN88" s="12">
        <f t="array" ref="DN88">INDEX(DM:DM,MIN(IF(ISNUMBER(DM88:DM284),ROW(DM88:DM284),"")))</f>
        <v>9.6</v>
      </c>
      <c r="DO88" s="12">
        <f>IF('Données projet'!$A$166&gt;35,DO87+DN88-DW87,IF(A88&lt;'Données projet'!$A$166,$DL$205^A88,IF(A88='Données projet'!$A$166,'Données projet'!$B$166,DO87+DN88-DW87)))</f>
        <v>438</v>
      </c>
      <c r="DP88" s="17">
        <f>DO88*VLOOKUP('Données projet'!$B$14,Paramètres!$A$1:$I$89,3,0)*VLOOKUP('Données projet'!$B$14,Paramètres!$A$1:$I$89,5,0)</f>
        <v>375.80400000000003</v>
      </c>
      <c r="DQ88" s="13">
        <f t="shared" si="97"/>
        <v>86.853626438441253</v>
      </c>
      <c r="DR88" s="20">
        <f t="shared" si="70"/>
        <v>805.79536604695193</v>
      </c>
      <c r="DS88" s="59">
        <f t="shared" si="71"/>
        <v>1089.3945892559109</v>
      </c>
      <c r="DT88" s="59">
        <f ca="1">AVERAGE(OFFSET($DS$3,0,0,'Données projet'!$E$14+1,1))-AVERAGE(OFFSET($H$3,0,0,'Données projet'!$E$14+1,1))</f>
        <v>569.21675741362196</v>
      </c>
      <c r="DU88" s="59">
        <f t="shared" si="98"/>
        <v>321.12410801891679</v>
      </c>
      <c r="DV88" s="15">
        <f>IF(ISNA(VLOOKUP(A88,'Données projet'!$A$165:$I$185,3,0)),0,VLOOKUP(A88,'Données projet'!$A$165:$I$185,3,0))</f>
        <v>14</v>
      </c>
      <c r="DW88" s="15">
        <f>IF(ISNA(VLOOKUP(A88,'Données projet'!$A$165:$I$185,4,0)),0,VLOOKUP(A88,'Données projet'!$A$165:$I$185,4,0))</f>
        <v>33</v>
      </c>
      <c r="DX88" s="16">
        <f>IF(ISNA(VLOOKUP(A88,'Données projet'!$A$165:$I$185,5,0)),0%,VLOOKUP(A88,'Données projet'!$A$165:$I$185,5,0)*VLOOKUP('Données projet'!$B$14,Paramètres!$A$1:$I$89,7,0))</f>
        <v>0.318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50.610566919306258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50.610566919306258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67.345242693352446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-2.8421709430404007E-13</v>
      </c>
      <c r="EK88" s="17">
        <f>EJ88*VLOOKUP('Données projet'!$B$15,Paramètres!$A$1:$I$89,3,0)*VLOOKUP('Données projet'!$B$15,Paramètres!$A$1:$I$89,5,0)</f>
        <v>-2.2612312022829427E-13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416.63597645452791</v>
      </c>
      <c r="EP88" s="59">
        <f t="shared" si="100"/>
        <v>402.05920382353497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162.78081185127616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162.78081185127616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67.345242693352446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>
        <f>FE88*VLOOKUP('Données projet'!$B$16,Paramètres!$A$1:$I$89,3,0)*VLOOKUP('Données projet'!$B$16,Paramètres!$A$1:$I$89,5,0)</f>
        <v>0</v>
      </c>
      <c r="FG88" s="13" t="e">
        <f t="shared" si="101"/>
        <v>#NUM!</v>
      </c>
      <c r="FH88" s="20" t="e">
        <f t="shared" si="76"/>
        <v>#NUM!</v>
      </c>
      <c r="FI88" s="59" t="e">
        <f t="shared" si="77"/>
        <v>#NUM!</v>
      </c>
      <c r="FJ88" s="59">
        <f ca="1">AVERAGE(OFFSET($FI$3,0,0,'Données projet'!$E$16+1,1))-AVERAGE(OFFSET($H$3,0,0,'Données projet'!$E$16+1,1))</f>
        <v>395.57130469647603</v>
      </c>
      <c r="FK88" s="59">
        <f t="shared" si="102"/>
        <v>383.97542781562674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154.41422473534368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154.41422473534368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67.345242693352446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>
        <f>FZ88*VLOOKUP('Données projet'!$B$17,Paramètres!$A$1:$I$89,3,0)*VLOOKUP('Données projet'!$B$17,Paramètres!$A$1:$I$89,5,0)</f>
        <v>0</v>
      </c>
      <c r="GB88" s="13" t="e">
        <f t="shared" si="103"/>
        <v>#NUM!</v>
      </c>
      <c r="GC88" s="20" t="e">
        <f t="shared" si="79"/>
        <v>#NUM!</v>
      </c>
      <c r="GD88" s="59" t="e">
        <f t="shared" si="80"/>
        <v>#NUM!</v>
      </c>
      <c r="GE88" s="59">
        <f ca="1">AVERAGE(OFFSET($GD$3,0,0,'Données projet'!$E$17+1,1))-AVERAGE(OFFSET($H$3,0,0,'Données projet'!$E$17+1,1))</f>
        <v>301.74744407733351</v>
      </c>
      <c r="GF88" s="59">
        <f t="shared" si="104"/>
        <v>292.46787700966991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80.202762345520298</v>
      </c>
      <c r="GM88" s="21">
        <f>EXP(-LN(2)/25)*GM87+(1-EXP(-LN(2)/25))/(LN(2)/25)*Calculateur!GH88*Calculateur!GJ88*VLOOKUP('Données projet'!$B$17,Paramètres!$A$1:$I$89,3,0)*0.475*44/12</f>
        <v>0</v>
      </c>
      <c r="GN88" s="21">
        <f>EXP(-LN(2)/2)*GN87+(1-EXP(-LN(2)/2))/(LN(2)/2)*GH88*GK88*VLOOKUP('Données projet'!$B$17,Paramètres!$A$1:$I$89,3,0)*0.475*44/12</f>
        <v>0</v>
      </c>
      <c r="GO88" s="21">
        <f t="shared" si="81"/>
        <v>80.202762345520298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67.345242693352446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-2.8421709430404007E-13</v>
      </c>
      <c r="GV88" s="17">
        <f>GU88*VLOOKUP('Données projet'!$B$18,Paramètres!$A$1:$I$89,3,0)*VLOOKUP('Données projet'!$B$18,Paramètres!$A$1:$I$89,5,0)</f>
        <v>-1.6848389350343495E-13</v>
      </c>
      <c r="GW88" s="13" t="e">
        <f t="shared" si="105"/>
        <v>#NUM!</v>
      </c>
      <c r="GX88" s="20" t="e">
        <f t="shared" si="82"/>
        <v>#NUM!</v>
      </c>
      <c r="GY88" s="59" t="e">
        <f t="shared" si="83"/>
        <v>#NUM!</v>
      </c>
      <c r="GZ88" s="59">
        <f ca="1">AVERAGE(OFFSET($GY$3,0,0,'Données projet'!$E$18+1,1))-AVERAGE(OFFSET($H$3,0,0,'Données projet'!$E$18+1,1))</f>
        <v>322.78672881269978</v>
      </c>
      <c r="HA88" s="59">
        <f t="shared" si="106"/>
        <v>313.08736327626434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projet'!$B$18,Paramètres!$A$1:$I$89,3,0)*0.475*44/12</f>
        <v>128.68088231423351</v>
      </c>
      <c r="HH88" s="21">
        <f>EXP(-LN(2)/25)*HH87+(1-EXP(-LN(2)/25))/(LN(2)/25)*Calculateur!HC88*Calculateur!HE88*VLOOKUP('Données projet'!$B$18,Paramètres!$A$1:$I$89,3,0)*0.475*44/12</f>
        <v>0</v>
      </c>
      <c r="HI88" s="21">
        <f>EXP(-LN(2)/2)*HI87+(1-EXP(-LN(2)/2))/(LN(2)/2)*HC88*HF88*VLOOKUP('Données projet'!$B$18,Paramètres!$A$1:$I$89,3,0)*0.475*44/12</f>
        <v>0</v>
      </c>
      <c r="HJ88" s="22">
        <f t="shared" si="84"/>
        <v>128.68088231423351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2.3499999999999996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8.6166666666666654</v>
      </c>
      <c r="H89" s="67">
        <f t="shared" si="56"/>
        <v>222.20000000000002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67.391296797474595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6.6</v>
      </c>
      <c r="N89" s="13">
        <f>IF('Données projet'!$A$36&gt;35,N88+M89-V88,IF(A89&lt;'Données projet'!$A$36,$K$205^A89,IF(A89='Données projet'!$A$36,'Données projet'!$B$36,N88+M89-V88)))</f>
        <v>331.60000000000008</v>
      </c>
      <c r="O89" s="13">
        <f>N89*VLOOKUP('Données projet'!$B$9,Paramètres!$A$1:$I$89,3,0)*VLOOKUP('Données projet'!$B$9,Paramètres!$A$1:$I$89,5,0)</f>
        <v>300.03168000000005</v>
      </c>
      <c r="P89" s="13">
        <f t="shared" si="87"/>
        <v>71.183104779714938</v>
      </c>
      <c r="Q89" s="20">
        <f t="shared" si="54"/>
        <v>646.53241682467024</v>
      </c>
      <c r="R89" s="59">
        <f t="shared" si="55"/>
        <v>930.30050508207705</v>
      </c>
      <c r="S89" s="59">
        <f ca="1">AVERAGE(OFFSET($R$3,0,0,'Données projet'!$E$9+1,1))-AVERAGE(OFFSET($H$3,0,0,'Données projet'!$E$9+1,1))</f>
        <v>473.88815717313474</v>
      </c>
      <c r="T89" s="59">
        <f t="shared" si="88"/>
        <v>287.19790203552895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27.465754159023376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27.465754159023376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67.391296797474595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6.6</v>
      </c>
      <c r="AI89" s="13">
        <f>IF('Données projet'!$A$62&gt;35,AI88+AH89-AQ88,IF(A89&lt;'Données projet'!$A$62,$AF$205^A89,IF(A89='Données projet'!$A$62,'Données projet'!$B$62,AI88+AH89-AQ88)))</f>
        <v>331.60000000000008</v>
      </c>
      <c r="AJ89" s="13">
        <f>AI89*VLOOKUP('Données projet'!$B$10,Paramètres!$A$1:$I$89,3,0)*VLOOKUP('Données projet'!$B$10,Paramètres!$A$1:$I$89,5,0)</f>
        <v>279.33984000000009</v>
      </c>
      <c r="AK89" s="13">
        <f t="shared" si="89"/>
        <v>66.827478935410426</v>
      </c>
      <c r="AL89" s="20">
        <f t="shared" si="58"/>
        <v>602.90808047917335</v>
      </c>
      <c r="AM89" s="59">
        <f t="shared" si="59"/>
        <v>886.67616873658017</v>
      </c>
      <c r="AN89" s="59">
        <f ca="1">AVERAGE(OFFSET($AM$3,0,0,'Données projet'!$E$10+1,1))-AVERAGE(OFFSET($H$3,0,0,'Données projet'!$E$10+1,1))</f>
        <v>445.19118535527258</v>
      </c>
      <c r="AO89" s="59">
        <f t="shared" si="90"/>
        <v>270.93483242839363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25.571564217021773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25.571564217021773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67.391296797474595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6.6</v>
      </c>
      <c r="BD89" s="12">
        <f>IF('Données projet'!$A$88&gt;35,BD88+BC89-BL88,IF(A89&lt;'Données projet'!$A$88,$BA$205^A89,IF(A89='Données projet'!$A$88,'Données projet'!$B$88,BD88+BC89-BL88)))</f>
        <v>331.60000000000008</v>
      </c>
      <c r="BE89" s="13">
        <f>BD89*VLOOKUP('Données projet'!$B$11,Paramètres!$A$1:$I$89,3,0)*VLOOKUP('Données projet'!$B$11,Paramètres!$A$1:$I$89,5,0)</f>
        <v>336.24240000000009</v>
      </c>
      <c r="BF89" s="13">
        <f t="shared" si="91"/>
        <v>78.723101051027399</v>
      </c>
      <c r="BG89" s="20">
        <f t="shared" si="61"/>
        <v>722.73158099720615</v>
      </c>
      <c r="BH89" s="59">
        <f t="shared" si="62"/>
        <v>1006.4996692546131</v>
      </c>
      <c r="BI89" s="59">
        <f ca="1">AVERAGE(OFFSET($BH$3,0,0,'Données projet'!$E$11+1,1))-AVERAGE(OFFSET($H$3,0,0,'Données projet'!$E$11+1,1))</f>
        <v>524.01140973345832</v>
      </c>
      <c r="BJ89" s="59">
        <f t="shared" si="92"/>
        <v>315.59942237999621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30.780586557526206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30.780586557526206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67.391296797474595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-2.8421709430404007E-13</v>
      </c>
      <c r="BZ89" s="13">
        <f>BY89*VLOOKUP('Données projet'!$B$12,Paramètres!$A$1:$I$89,3,0)*VLOOKUP('Données projet'!$B$12,Paramètres!$A$1:$I$89,5,0)</f>
        <v>-1.9065282685915009E-13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358.95222991910504</v>
      </c>
      <c r="CE89" s="59">
        <f t="shared" si="94"/>
        <v>347.37506646970905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126.10219645020985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126.10219645020985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67.391296797474595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-2.8421709430404007E-13</v>
      </c>
      <c r="CU89" s="17">
        <f>CT89*VLOOKUP('Données projet'!$B$13,Paramètres!$A$1:$I$89,3,0)*VLOOKUP('Données projet'!$B$13,Paramètres!$A$1:$I$89,5,0)</f>
        <v>-1.8621904018800707E-13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351.7266381615546</v>
      </c>
      <c r="CZ89" s="59">
        <f t="shared" si="96"/>
        <v>340.52483243761799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106.62868502691815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106.62868502691815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67.391296797474595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9.1999999999999993</v>
      </c>
      <c r="DO89" s="12">
        <f>IF('Données projet'!$A$166&gt;35,DO88+DN89-DW88,IF(A89&lt;'Données projet'!$A$166,$DL$205^A89,IF(A89='Données projet'!$A$166,'Données projet'!$B$166,DO88+DN89-DW88)))</f>
        <v>414.2</v>
      </c>
      <c r="DP89" s="17">
        <f>DO89*VLOOKUP('Données projet'!$B$14,Paramètres!$A$1:$I$89,3,0)*VLOOKUP('Données projet'!$B$14,Paramètres!$A$1:$I$89,5,0)</f>
        <v>355.3836</v>
      </c>
      <c r="DQ89" s="13">
        <f t="shared" si="97"/>
        <v>82.670063642426967</v>
      </c>
      <c r="DR89" s="20">
        <f t="shared" si="70"/>
        <v>762.94346417722682</v>
      </c>
      <c r="DS89" s="59">
        <f t="shared" si="71"/>
        <v>1046.7115524346336</v>
      </c>
      <c r="DT89" s="59">
        <f ca="1">AVERAGE(OFFSET($DS$3,0,0,'Données projet'!$E$14+1,1))-AVERAGE(OFFSET($H$3,0,0,'Données projet'!$E$14+1,1))</f>
        <v>569.21675741362196</v>
      </c>
      <c r="DU89" s="59">
        <f t="shared" si="98"/>
        <v>321.12410801891679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49.618124571416381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49.618124571416381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67.391296797474595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-2.8421709430404007E-13</v>
      </c>
      <c r="EK89" s="17">
        <f>EJ89*VLOOKUP('Données projet'!$B$15,Paramètres!$A$1:$I$89,3,0)*VLOOKUP('Données projet'!$B$15,Paramètres!$A$1:$I$89,5,0)</f>
        <v>-2.2612312022829427E-13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416.63597645452791</v>
      </c>
      <c r="EP89" s="59">
        <f t="shared" si="100"/>
        <v>402.05920382353497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159.58877941736412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159.58877941736412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67.391296797474595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>
        <f>FE89*VLOOKUP('Données projet'!$B$16,Paramètres!$A$1:$I$89,3,0)*VLOOKUP('Données projet'!$B$16,Paramètres!$A$1:$I$89,5,0)</f>
        <v>0</v>
      </c>
      <c r="FG89" s="13" t="e">
        <f t="shared" si="101"/>
        <v>#NUM!</v>
      </c>
      <c r="FH89" s="20" t="e">
        <f t="shared" si="76"/>
        <v>#NUM!</v>
      </c>
      <c r="FI89" s="59" t="e">
        <f t="shared" si="77"/>
        <v>#NUM!</v>
      </c>
      <c r="FJ89" s="59">
        <f ca="1">AVERAGE(OFFSET($FI$3,0,0,'Données projet'!$E$16+1,1))-AVERAGE(OFFSET($H$3,0,0,'Données projet'!$E$16+1,1))</f>
        <v>395.57130469647603</v>
      </c>
      <c r="FK89" s="59">
        <f t="shared" si="102"/>
        <v>383.97542781562674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151.38625597166083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151.38625597166083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67.391296797474595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>
        <f>FZ89*VLOOKUP('Données projet'!$B$17,Paramètres!$A$1:$I$89,3,0)*VLOOKUP('Données projet'!$B$17,Paramètres!$A$1:$I$89,5,0)</f>
        <v>0</v>
      </c>
      <c r="GB89" s="13" t="e">
        <f t="shared" si="103"/>
        <v>#NUM!</v>
      </c>
      <c r="GC89" s="20" t="e">
        <f t="shared" si="79"/>
        <v>#NUM!</v>
      </c>
      <c r="GD89" s="59" t="e">
        <f t="shared" si="80"/>
        <v>#NUM!</v>
      </c>
      <c r="GE89" s="59">
        <f ca="1">AVERAGE(OFFSET($GD$3,0,0,'Données projet'!$E$17+1,1))-AVERAGE(OFFSET($H$3,0,0,'Données projet'!$E$17+1,1))</f>
        <v>301.74744407733351</v>
      </c>
      <c r="GF89" s="59">
        <f t="shared" si="104"/>
        <v>292.46787700966991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78.630035094779345</v>
      </c>
      <c r="GM89" s="21">
        <f>EXP(-LN(2)/25)*GM88+(1-EXP(-LN(2)/25))/(LN(2)/25)*Calculateur!GH89*Calculateur!GJ89*VLOOKUP('Données projet'!$B$17,Paramètres!$A$1:$I$89,3,0)*0.475*44/12</f>
        <v>0</v>
      </c>
      <c r="GN89" s="21">
        <f>EXP(-LN(2)/2)*GN88+(1-EXP(-LN(2)/2))/(LN(2)/2)*GH89*GK89*VLOOKUP('Données projet'!$B$17,Paramètres!$A$1:$I$89,3,0)*0.475*44/12</f>
        <v>0</v>
      </c>
      <c r="GO89" s="21">
        <f t="shared" si="81"/>
        <v>78.630035094779345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67.391296797474595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-2.8421709430404007E-13</v>
      </c>
      <c r="GV89" s="17">
        <f>GU89*VLOOKUP('Données projet'!$B$18,Paramètres!$A$1:$I$89,3,0)*VLOOKUP('Données projet'!$B$18,Paramètres!$A$1:$I$89,5,0)</f>
        <v>-1.6848389350343495E-13</v>
      </c>
      <c r="GW89" s="13" t="e">
        <f t="shared" si="105"/>
        <v>#NUM!</v>
      </c>
      <c r="GX89" s="20" t="e">
        <f t="shared" si="82"/>
        <v>#NUM!</v>
      </c>
      <c r="GY89" s="59" t="e">
        <f t="shared" si="83"/>
        <v>#NUM!</v>
      </c>
      <c r="GZ89" s="59">
        <f ca="1">AVERAGE(OFFSET($GY$3,0,0,'Données projet'!$E$18+1,1))-AVERAGE(OFFSET($H$3,0,0,'Données projet'!$E$18+1,1))</f>
        <v>322.78672881269978</v>
      </c>
      <c r="HA89" s="59">
        <f t="shared" si="106"/>
        <v>313.08736327626434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126.1575286996396</v>
      </c>
      <c r="HH89" s="21">
        <f>EXP(-LN(2)/25)*HH88+(1-EXP(-LN(2)/25))/(LN(2)/25)*Calculateur!HC89*Calculateur!HE89*VLOOKUP('Données projet'!$B$18,Paramètres!$A$1:$I$89,3,0)*0.475*44/12</f>
        <v>0</v>
      </c>
      <c r="HI89" s="21">
        <f>EXP(-LN(2)/2)*HI88+(1-EXP(-LN(2)/2))/(LN(2)/2)*HC89*HF89*VLOOKUP('Données projet'!$B$18,Paramètres!$A$1:$I$89,3,0)*0.475*44/12</f>
        <v>0</v>
      </c>
      <c r="HJ89" s="22">
        <f t="shared" si="84"/>
        <v>126.1575286996396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2.3499999999999996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8.6166666666666654</v>
      </c>
      <c r="H90" s="67">
        <f t="shared" si="56"/>
        <v>222.20000000000002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67.436551965851777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6.6</v>
      </c>
      <c r="N90" s="13">
        <f>IF('Données projet'!$A$36&gt;35,N89+M90-V89,IF(A90&lt;'Données projet'!$A$36,$K$205^A90,IF(A90='Données projet'!$A$36,'Données projet'!$B$36,N89+M90-V89)))</f>
        <v>338.2000000000001</v>
      </c>
      <c r="O90" s="13">
        <f>N90*VLOOKUP('Données projet'!$B$9,Paramètres!$A$1:$I$89,3,0)*VLOOKUP('Données projet'!$B$9,Paramètres!$A$1:$I$89,5,0)</f>
        <v>306.00336000000004</v>
      </c>
      <c r="P90" s="13">
        <f t="shared" si="87"/>
        <v>72.433543369450447</v>
      </c>
      <c r="Q90" s="20">
        <f t="shared" si="54"/>
        <v>659.11094003512619</v>
      </c>
      <c r="R90" s="59">
        <f t="shared" si="55"/>
        <v>943.04496390991608</v>
      </c>
      <c r="S90" s="59">
        <f ca="1">AVERAGE(OFFSET($R$3,0,0,'Données projet'!$E$9+1,1))-AVERAGE(OFFSET($H$3,0,0,'Données projet'!$E$9+1,1))</f>
        <v>473.88815717313474</v>
      </c>
      <c r="T90" s="59">
        <f t="shared" si="88"/>
        <v>287.19790203552895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26.927167472420798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26.927167472420798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67.436551965851777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6.6</v>
      </c>
      <c r="AI90" s="13">
        <f>IF('Données projet'!$A$62&gt;35,AI89+AH90-AQ89,IF(A90&lt;'Données projet'!$A$62,$AF$205^A90,IF(A90='Données projet'!$A$62,'Données projet'!$B$62,AI89+AH90-AQ89)))</f>
        <v>338.2000000000001</v>
      </c>
      <c r="AJ90" s="13">
        <f>AI90*VLOOKUP('Données projet'!$B$10,Paramètres!$A$1:$I$89,3,0)*VLOOKUP('Données projet'!$B$10,Paramètres!$A$1:$I$89,5,0)</f>
        <v>284.8996800000001</v>
      </c>
      <c r="AK90" s="13">
        <f t="shared" si="89"/>
        <v>68.001404388285408</v>
      </c>
      <c r="AL90" s="20">
        <f t="shared" si="58"/>
        <v>614.63605530959728</v>
      </c>
      <c r="AM90" s="59">
        <f t="shared" si="59"/>
        <v>898.57007918438717</v>
      </c>
      <c r="AN90" s="59">
        <f ca="1">AVERAGE(OFFSET($AM$3,0,0,'Données projet'!$E$10+1,1))-AVERAGE(OFFSET($H$3,0,0,'Données projet'!$E$10+1,1))</f>
        <v>445.19118535527258</v>
      </c>
      <c r="AO90" s="59">
        <f t="shared" si="90"/>
        <v>270.93483242839363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25.070121439840062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25.070121439840062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67.436551965851777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6.6</v>
      </c>
      <c r="BD90" s="12">
        <f>IF('Données projet'!$A$88&gt;35,BD89+BC90-BL89,IF(A90&lt;'Données projet'!$A$88,$BA$205^A90,IF(A90='Données projet'!$A$88,'Données projet'!$B$88,BD89+BC90-BL89)))</f>
        <v>338.2000000000001</v>
      </c>
      <c r="BE90" s="13">
        <f>BD90*VLOOKUP('Données projet'!$B$11,Paramètres!$A$1:$I$89,3,0)*VLOOKUP('Données projet'!$B$11,Paramètres!$A$1:$I$89,5,0)</f>
        <v>342.93480000000011</v>
      </c>
      <c r="BF90" s="13">
        <f t="shared" si="91"/>
        <v>80.105991046658843</v>
      </c>
      <c r="BG90" s="20">
        <f t="shared" si="61"/>
        <v>736.79604440626429</v>
      </c>
      <c r="BH90" s="59">
        <f t="shared" si="62"/>
        <v>1020.7300682810542</v>
      </c>
      <c r="BI90" s="59">
        <f ca="1">AVERAGE(OFFSET($BH$3,0,0,'Données projet'!$E$11+1,1))-AVERAGE(OFFSET($H$3,0,0,'Données projet'!$E$11+1,1))</f>
        <v>524.01140973345832</v>
      </c>
      <c r="BJ90" s="59">
        <f t="shared" si="92"/>
        <v>315.59942237999621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30.176998029437108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30.176998029437108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67.436551965851777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-2.8421709430404007E-13</v>
      </c>
      <c r="BZ90" s="13">
        <f>BY90*VLOOKUP('Données projet'!$B$12,Paramètres!$A$1:$I$89,3,0)*VLOOKUP('Données projet'!$B$12,Paramètres!$A$1:$I$89,5,0)</f>
        <v>-1.9065282685915009E-13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358.95222991910504</v>
      </c>
      <c r="CE90" s="59">
        <f t="shared" si="94"/>
        <v>347.37506646970905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123.62940929256636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123.62940929256636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67.436551965851777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-2.8421709430404007E-13</v>
      </c>
      <c r="CU90" s="17">
        <f>CT90*VLOOKUP('Données projet'!$B$13,Paramètres!$A$1:$I$89,3,0)*VLOOKUP('Données projet'!$B$13,Paramètres!$A$1:$I$89,5,0)</f>
        <v>-1.8621904018800707E-13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351.7266381615546</v>
      </c>
      <c r="CZ90" s="59">
        <f t="shared" si="96"/>
        <v>340.52483243761799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104.53776155061627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104.53776155061627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67.436551965851777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9.1999999999999993</v>
      </c>
      <c r="DO90" s="12">
        <f>IF('Données projet'!$A$166&gt;35,DO89+DN90-DW89,IF(A90&lt;'Données projet'!$A$166,$DL$205^A90,IF(A90='Données projet'!$A$166,'Données projet'!$B$166,DO89+DN90-DW89)))</f>
        <v>423.4</v>
      </c>
      <c r="DP90" s="17">
        <f>DO90*VLOOKUP('Données projet'!$B$14,Paramètres!$A$1:$I$89,3,0)*VLOOKUP('Données projet'!$B$14,Paramètres!$A$1:$I$89,5,0)</f>
        <v>363.27719999999999</v>
      </c>
      <c r="DQ90" s="13">
        <f t="shared" si="97"/>
        <v>84.290472188638873</v>
      </c>
      <c r="DR90" s="20">
        <f t="shared" si="70"/>
        <v>779.51369572854594</v>
      </c>
      <c r="DS90" s="59">
        <f t="shared" si="71"/>
        <v>1063.4477196033358</v>
      </c>
      <c r="DT90" s="59">
        <f ca="1">AVERAGE(OFFSET($DS$3,0,0,'Données projet'!$E$14+1,1))-AVERAGE(OFFSET($H$3,0,0,'Données projet'!$E$14+1,1))</f>
        <v>569.21675741362196</v>
      </c>
      <c r="DU90" s="59">
        <f t="shared" si="98"/>
        <v>321.12410801891679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48.645143412638568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48.645143412638568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67.436551965851777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-2.8421709430404007E-13</v>
      </c>
      <c r="EK90" s="17">
        <f>EJ90*VLOOKUP('Données projet'!$B$15,Paramètres!$A$1:$I$89,3,0)*VLOOKUP('Données projet'!$B$15,Paramètres!$A$1:$I$89,5,0)</f>
        <v>-2.2612312022829427E-13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416.63597645452791</v>
      </c>
      <c r="EP90" s="59">
        <f t="shared" si="100"/>
        <v>402.05920382353497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156.45934079253357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156.45934079253357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67.436551965851777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>
        <f>FE90*VLOOKUP('Données projet'!$B$16,Paramètres!$A$1:$I$89,3,0)*VLOOKUP('Données projet'!$B$16,Paramètres!$A$1:$I$89,5,0)</f>
        <v>0</v>
      </c>
      <c r="FG90" s="13" t="e">
        <f t="shared" si="101"/>
        <v>#NUM!</v>
      </c>
      <c r="FH90" s="20" t="e">
        <f t="shared" si="76"/>
        <v>#NUM!</v>
      </c>
      <c r="FI90" s="59" t="e">
        <f t="shared" si="77"/>
        <v>#NUM!</v>
      </c>
      <c r="FJ90" s="59">
        <f ca="1">AVERAGE(OFFSET($FI$3,0,0,'Données projet'!$E$16+1,1))-AVERAGE(OFFSET($H$3,0,0,'Données projet'!$E$16+1,1))</f>
        <v>395.57130469647603</v>
      </c>
      <c r="FK90" s="59">
        <f t="shared" si="102"/>
        <v>383.97542781562674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148.41766382855522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148.41766382855522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67.436551965851777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>
        <f>FZ90*VLOOKUP('Données projet'!$B$17,Paramètres!$A$1:$I$89,3,0)*VLOOKUP('Données projet'!$B$17,Paramètres!$A$1:$I$89,5,0)</f>
        <v>0</v>
      </c>
      <c r="GB90" s="13" t="e">
        <f t="shared" si="103"/>
        <v>#NUM!</v>
      </c>
      <c r="GC90" s="20" t="e">
        <f t="shared" si="79"/>
        <v>#NUM!</v>
      </c>
      <c r="GD90" s="59" t="e">
        <f t="shared" si="80"/>
        <v>#NUM!</v>
      </c>
      <c r="GE90" s="59">
        <f ca="1">AVERAGE(OFFSET($GD$3,0,0,'Données projet'!$E$17+1,1))-AVERAGE(OFFSET($H$3,0,0,'Données projet'!$E$17+1,1))</f>
        <v>301.74744407733351</v>
      </c>
      <c r="GF90" s="59">
        <f t="shared" si="104"/>
        <v>292.46787700966991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77.088148066156521</v>
      </c>
      <c r="GM90" s="21">
        <f>EXP(-LN(2)/25)*GM89+(1-EXP(-LN(2)/25))/(LN(2)/25)*Calculateur!GH90*Calculateur!GJ90*VLOOKUP('Données projet'!$B$17,Paramètres!$A$1:$I$89,3,0)*0.475*44/12</f>
        <v>0</v>
      </c>
      <c r="GN90" s="21">
        <f>EXP(-LN(2)/2)*GN89+(1-EXP(-LN(2)/2))/(LN(2)/2)*GH90*GK90*VLOOKUP('Données projet'!$B$17,Paramètres!$A$1:$I$89,3,0)*0.475*44/12</f>
        <v>0</v>
      </c>
      <c r="GO90" s="21">
        <f t="shared" si="81"/>
        <v>77.088148066156521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67.436551965851777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-2.8421709430404007E-13</v>
      </c>
      <c r="GV90" s="17">
        <f>GU90*VLOOKUP('Données projet'!$B$18,Paramètres!$A$1:$I$89,3,0)*VLOOKUP('Données projet'!$B$18,Paramètres!$A$1:$I$89,5,0)</f>
        <v>-1.6848389350343495E-13</v>
      </c>
      <c r="GW90" s="13" t="e">
        <f t="shared" si="105"/>
        <v>#NUM!</v>
      </c>
      <c r="GX90" s="20" t="e">
        <f t="shared" si="82"/>
        <v>#NUM!</v>
      </c>
      <c r="GY90" s="59" t="e">
        <f t="shared" si="83"/>
        <v>#NUM!</v>
      </c>
      <c r="GZ90" s="59">
        <f ca="1">AVERAGE(OFFSET($GY$3,0,0,'Données projet'!$E$18+1,1))-AVERAGE(OFFSET($H$3,0,0,'Données projet'!$E$18+1,1))</f>
        <v>322.78672881269978</v>
      </c>
      <c r="HA90" s="59">
        <f t="shared" si="106"/>
        <v>313.08736327626434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123.68365651033415</v>
      </c>
      <c r="HH90" s="21">
        <f>EXP(-LN(2)/25)*HH89+(1-EXP(-LN(2)/25))/(LN(2)/25)*Calculateur!HC90*Calculateur!HE90*VLOOKUP('Données projet'!$B$18,Paramètres!$A$1:$I$89,3,0)*0.475*44/12</f>
        <v>0</v>
      </c>
      <c r="HI90" s="21">
        <f>EXP(-LN(2)/2)*HI89+(1-EXP(-LN(2)/2))/(LN(2)/2)*HC90*HF90*VLOOKUP('Données projet'!$B$18,Paramètres!$A$1:$I$89,3,0)*0.475*44/12</f>
        <v>0</v>
      </c>
      <c r="HJ90" s="22">
        <f t="shared" si="84"/>
        <v>123.68365651033415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2.3499999999999996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8.6166666666666654</v>
      </c>
      <c r="H91" s="67">
        <f t="shared" si="56"/>
        <v>222.20000000000002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67.481022058233009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6.6</v>
      </c>
      <c r="N91" s="13">
        <f>IF('Données projet'!$A$36&gt;35,N90+M91-V90,IF(A91&lt;'Données projet'!$A$36,$K$205^A91,IF(A91='Données projet'!$A$36,'Données projet'!$B$36,N90+M91-V90)))</f>
        <v>344.80000000000013</v>
      </c>
      <c r="O91" s="13">
        <f>N91*VLOOKUP('Données projet'!$B$9,Paramètres!$A$1:$I$89,3,0)*VLOOKUP('Données projet'!$B$9,Paramètres!$A$1:$I$89,5,0)</f>
        <v>311.97504000000009</v>
      </c>
      <c r="P91" s="13">
        <f t="shared" si="87"/>
        <v>73.681144552074599</v>
      </c>
      <c r="Q91" s="20">
        <f t="shared" si="54"/>
        <v>671.68452142819672</v>
      </c>
      <c r="R91" s="59">
        <f t="shared" si="55"/>
        <v>955.78160230838444</v>
      </c>
      <c r="S91" s="59">
        <f ca="1">AVERAGE(OFFSET($R$3,0,0,'Données projet'!$E$9+1,1))-AVERAGE(OFFSET($H$3,0,0,'Données projet'!$E$9+1,1))</f>
        <v>473.88815717313474</v>
      </c>
      <c r="T91" s="59">
        <f t="shared" si="88"/>
        <v>287.19790203552895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26.399142142237054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26.399142142237054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67.481022058233009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6.6</v>
      </c>
      <c r="AI91" s="13">
        <f>IF('Données projet'!$A$62&gt;35,AI90+AH91-AQ90,IF(A91&lt;'Données projet'!$A$62,$AF$205^A91,IF(A91='Données projet'!$A$62,'Données projet'!$B$62,AI90+AH91-AQ90)))</f>
        <v>344.80000000000013</v>
      </c>
      <c r="AJ91" s="13">
        <f>AI91*VLOOKUP('Données projet'!$B$10,Paramètres!$A$1:$I$89,3,0)*VLOOKUP('Données projet'!$B$10,Paramètres!$A$1:$I$89,5,0)</f>
        <v>290.45952000000017</v>
      </c>
      <c r="AK91" s="13">
        <f t="shared" si="89"/>
        <v>69.172666052266209</v>
      </c>
      <c r="AL91" s="20">
        <f t="shared" si="58"/>
        <v>626.35939070769734</v>
      </c>
      <c r="AM91" s="59">
        <f t="shared" si="59"/>
        <v>910.45647158788506</v>
      </c>
      <c r="AN91" s="59">
        <f ca="1">AVERAGE(OFFSET($AM$3,0,0,'Données projet'!$E$10+1,1))-AVERAGE(OFFSET($H$3,0,0,'Données projet'!$E$10+1,1))</f>
        <v>445.19118535527258</v>
      </c>
      <c r="AO91" s="59">
        <f t="shared" si="90"/>
        <v>270.93483242839363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24.578511649668989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24.578511649668989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67.481022058233009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6.6</v>
      </c>
      <c r="BD91" s="12">
        <f>IF('Données projet'!$A$88&gt;35,BD90+BC91-BL90,IF(A91&lt;'Données projet'!$A$88,$BA$205^A91,IF(A91='Données projet'!$A$88,'Données projet'!$B$88,BD90+BC91-BL90)))</f>
        <v>344.80000000000013</v>
      </c>
      <c r="BE91" s="13">
        <f>BD91*VLOOKUP('Données projet'!$B$11,Paramètres!$A$1:$I$89,3,0)*VLOOKUP('Données projet'!$B$11,Paramètres!$A$1:$I$89,5,0)</f>
        <v>349.62720000000013</v>
      </c>
      <c r="BF91" s="13">
        <f t="shared" si="91"/>
        <v>81.485743085784506</v>
      </c>
      <c r="BG91" s="20">
        <f t="shared" si="61"/>
        <v>750.85504254107491</v>
      </c>
      <c r="BH91" s="59">
        <f t="shared" si="62"/>
        <v>1034.9521234212625</v>
      </c>
      <c r="BI91" s="59">
        <f ca="1">AVERAGE(OFFSET($BH$3,0,0,'Données projet'!$E$11+1,1))-AVERAGE(OFFSET($H$3,0,0,'Données projet'!$E$11+1,1))</f>
        <v>524.01140973345832</v>
      </c>
      <c r="BJ91" s="59">
        <f t="shared" si="92"/>
        <v>315.59942237999621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29.585245504231189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29.585245504231189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67.481022058233009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-2.8421709430404007E-13</v>
      </c>
      <c r="BZ91" s="13">
        <f>BY91*VLOOKUP('Données projet'!$B$12,Paramètres!$A$1:$I$89,3,0)*VLOOKUP('Données projet'!$B$12,Paramètres!$A$1:$I$89,5,0)</f>
        <v>-1.9065282685915009E-13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358.95222991910504</v>
      </c>
      <c r="CE91" s="59">
        <f t="shared" si="94"/>
        <v>347.37506646970905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121.20511198283303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121.20511198283303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67.481022058233009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-2.8421709430404007E-13</v>
      </c>
      <c r="CU91" s="17">
        <f>CT91*VLOOKUP('Données projet'!$B$13,Paramètres!$A$1:$I$89,3,0)*VLOOKUP('Données projet'!$B$13,Paramètres!$A$1:$I$89,5,0)</f>
        <v>-1.8621904018800707E-13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351.7266381615546</v>
      </c>
      <c r="CZ91" s="59">
        <f t="shared" si="96"/>
        <v>340.52483243761799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102.48783980834727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102.48783980834727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67.481022058233009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9.1999999999999993</v>
      </c>
      <c r="DO91" s="12">
        <f>IF('Données projet'!$A$166&gt;35,DO90+DN91-DW90,IF(A91&lt;'Données projet'!$A$166,$DL$205^A91,IF(A91='Données projet'!$A$166,'Données projet'!$B$166,DO90+DN91-DW90)))</f>
        <v>432.59999999999997</v>
      </c>
      <c r="DP91" s="17">
        <f>DO91*VLOOKUP('Données projet'!$B$14,Paramètres!$A$1:$I$89,3,0)*VLOOKUP('Données projet'!$B$14,Paramètres!$A$1:$I$89,5,0)</f>
        <v>371.17080000000004</v>
      </c>
      <c r="DQ91" s="13">
        <f t="shared" si="97"/>
        <v>85.906787171637717</v>
      </c>
      <c r="DR91" s="20">
        <f t="shared" si="70"/>
        <v>796.07679765726914</v>
      </c>
      <c r="DS91" s="59">
        <f t="shared" si="71"/>
        <v>1080.1738785374569</v>
      </c>
      <c r="DT91" s="59">
        <f ca="1">AVERAGE(OFFSET($DS$3,0,0,'Données projet'!$E$14+1,1))-AVERAGE(OFFSET($H$3,0,0,'Données projet'!$E$14+1,1))</f>
        <v>569.21675741362196</v>
      </c>
      <c r="DU91" s="59">
        <f t="shared" si="98"/>
        <v>321.12410801891679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47.691241820924475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47.691241820924475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67.481022058233009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-2.8421709430404007E-13</v>
      </c>
      <c r="EK91" s="17">
        <f>EJ91*VLOOKUP('Données projet'!$B$15,Paramètres!$A$1:$I$89,3,0)*VLOOKUP('Données projet'!$B$15,Paramètres!$A$1:$I$89,5,0)</f>
        <v>-2.2612312022829427E-13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416.63597645452791</v>
      </c>
      <c r="EP91" s="59">
        <f t="shared" si="100"/>
        <v>402.05920382353497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153.39126855036687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153.39126855036687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67.481022058233009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>
        <f>FE91*VLOOKUP('Données projet'!$B$16,Paramètres!$A$1:$I$89,3,0)*VLOOKUP('Données projet'!$B$16,Paramètres!$A$1:$I$89,5,0)</f>
        <v>0</v>
      </c>
      <c r="FG91" s="13" t="e">
        <f t="shared" si="101"/>
        <v>#NUM!</v>
      </c>
      <c r="FH91" s="20" t="e">
        <f t="shared" si="76"/>
        <v>#NUM!</v>
      </c>
      <c r="FI91" s="59" t="e">
        <f t="shared" si="77"/>
        <v>#NUM!</v>
      </c>
      <c r="FJ91" s="59">
        <f ca="1">AVERAGE(OFFSET($FI$3,0,0,'Données projet'!$E$16+1,1))-AVERAGE(OFFSET($H$3,0,0,'Données projet'!$E$16+1,1))</f>
        <v>395.57130469647603</v>
      </c>
      <c r="FK91" s="59">
        <f t="shared" si="102"/>
        <v>383.97542781562674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145.50728396671352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145.50728396671352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67.481022058233009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>
        <f>FZ91*VLOOKUP('Données projet'!$B$17,Paramètres!$A$1:$I$89,3,0)*VLOOKUP('Données projet'!$B$17,Paramètres!$A$1:$I$89,5,0)</f>
        <v>0</v>
      </c>
      <c r="GB91" s="13" t="e">
        <f t="shared" si="103"/>
        <v>#NUM!</v>
      </c>
      <c r="GC91" s="20" t="e">
        <f t="shared" si="79"/>
        <v>#NUM!</v>
      </c>
      <c r="GD91" s="59" t="e">
        <f t="shared" si="80"/>
        <v>#NUM!</v>
      </c>
      <c r="GE91" s="59">
        <f ca="1">AVERAGE(OFFSET($GD$3,0,0,'Données projet'!$E$17+1,1))-AVERAGE(OFFSET($H$3,0,0,'Données projet'!$E$17+1,1))</f>
        <v>301.74744407733351</v>
      </c>
      <c r="GF91" s="59">
        <f t="shared" si="104"/>
        <v>292.46787700966991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75.576496501706757</v>
      </c>
      <c r="GM91" s="21">
        <f>EXP(-LN(2)/25)*GM90+(1-EXP(-LN(2)/25))/(LN(2)/25)*Calculateur!GH91*Calculateur!GJ91*VLOOKUP('Données projet'!$B$17,Paramètres!$A$1:$I$89,3,0)*0.475*44/12</f>
        <v>0</v>
      </c>
      <c r="GN91" s="21">
        <f>EXP(-LN(2)/2)*GN90+(1-EXP(-LN(2)/2))/(LN(2)/2)*GH91*GK91*VLOOKUP('Données projet'!$B$17,Paramètres!$A$1:$I$89,3,0)*0.475*44/12</f>
        <v>0</v>
      </c>
      <c r="GO91" s="21">
        <f t="shared" si="81"/>
        <v>75.576496501706757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67.481022058233009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-2.8421709430404007E-13</v>
      </c>
      <c r="GV91" s="17">
        <f>GU91*VLOOKUP('Données projet'!$B$18,Paramètres!$A$1:$I$89,3,0)*VLOOKUP('Données projet'!$B$18,Paramètres!$A$1:$I$89,5,0)</f>
        <v>-1.6848389350343495E-13</v>
      </c>
      <c r="GW91" s="13" t="e">
        <f t="shared" si="105"/>
        <v>#NUM!</v>
      </c>
      <c r="GX91" s="20" t="e">
        <f t="shared" si="82"/>
        <v>#NUM!</v>
      </c>
      <c r="GY91" s="59" t="e">
        <f t="shared" si="83"/>
        <v>#NUM!</v>
      </c>
      <c r="GZ91" s="59">
        <f ca="1">AVERAGE(OFFSET($GY$3,0,0,'Données projet'!$E$18+1,1))-AVERAGE(OFFSET($H$3,0,0,'Données projet'!$E$18+1,1))</f>
        <v>322.78672881269978</v>
      </c>
      <c r="HA91" s="59">
        <f t="shared" si="106"/>
        <v>313.08736327626434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projet'!$B$18,Paramètres!$A$1:$I$89,3,0)*0.475*44/12</f>
        <v>121.25829544574792</v>
      </c>
      <c r="HH91" s="21">
        <f>EXP(-LN(2)/25)*HH90+(1-EXP(-LN(2)/25))/(LN(2)/25)*Calculateur!HC91*Calculateur!HE91*VLOOKUP('Données projet'!$B$18,Paramètres!$A$1:$I$89,3,0)*0.475*44/12</f>
        <v>0</v>
      </c>
      <c r="HI91" s="21">
        <f>EXP(-LN(2)/2)*HI90+(1-EXP(-LN(2)/2))/(LN(2)/2)*HC91*HF91*VLOOKUP('Données projet'!$B$18,Paramètres!$A$1:$I$89,3,0)*0.475*44/12</f>
        <v>0</v>
      </c>
      <c r="HJ91" s="22">
        <f t="shared" si="84"/>
        <v>121.25829544574792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2.3499999999999996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8.6166666666666654</v>
      </c>
      <c r="H92" s="67">
        <f t="shared" si="56"/>
        <v>222.20000000000002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67.52472069393167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6.6</v>
      </c>
      <c r="N92" s="13">
        <f>IF('Données projet'!$A$36&gt;35,N91+M92-V91,IF(A92&lt;'Données projet'!$A$36,$K$205^A92,IF(A92='Données projet'!$A$36,'Données projet'!$B$36,N91+M92-V91)))</f>
        <v>351.40000000000015</v>
      </c>
      <c r="O92" s="13">
        <f>N92*VLOOKUP('Données projet'!$B$9,Paramètres!$A$1:$I$89,3,0)*VLOOKUP('Données projet'!$B$9,Paramètres!$A$1:$I$89,5,0)</f>
        <v>317.94672000000014</v>
      </c>
      <c r="P92" s="13">
        <f t="shared" si="87"/>
        <v>74.925968901822259</v>
      </c>
      <c r="Q92" s="20">
        <f t="shared" si="54"/>
        <v>684.25326650400723</v>
      </c>
      <c r="R92" s="59">
        <f t="shared" si="55"/>
        <v>968.51057571509</v>
      </c>
      <c r="S92" s="59">
        <f ca="1">AVERAGE(OFFSET($R$3,0,0,'Données projet'!$E$9+1,1))-AVERAGE(OFFSET($H$3,0,0,'Données projet'!$E$9+1,1))</f>
        <v>473.88815717313474</v>
      </c>
      <c r="T92" s="59">
        <f t="shared" si="88"/>
        <v>287.19790203552895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25.881471066714564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25.881471066714564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67.52472069393167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6.6</v>
      </c>
      <c r="AI92" s="13">
        <f>IF('Données projet'!$A$62&gt;35,AI91+AH92-AQ91,IF(A92&lt;'Données projet'!$A$62,$AF$205^A92,IF(A92='Données projet'!$A$62,'Données projet'!$B$62,AI91+AH92-AQ91)))</f>
        <v>351.40000000000015</v>
      </c>
      <c r="AJ92" s="13">
        <f>AI92*VLOOKUP('Données projet'!$B$10,Paramètres!$A$1:$I$89,3,0)*VLOOKUP('Données projet'!$B$10,Paramètres!$A$1:$I$89,5,0)</f>
        <v>296.01936000000012</v>
      </c>
      <c r="AK92" s="13">
        <f t="shared" si="89"/>
        <v>70.341320795108402</v>
      </c>
      <c r="AL92" s="20">
        <f t="shared" si="58"/>
        <v>638.07818571814732</v>
      </c>
      <c r="AM92" s="59">
        <f t="shared" si="59"/>
        <v>922.33549492923021</v>
      </c>
      <c r="AN92" s="59">
        <f ca="1">AVERAGE(OFFSET($AM$3,0,0,'Données projet'!$E$10+1,1))-AVERAGE(OFFSET($H$3,0,0,'Données projet'!$E$10+1,1))</f>
        <v>445.19118535527258</v>
      </c>
      <c r="AO92" s="59">
        <f t="shared" si="90"/>
        <v>270.93483242839363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24.096542027630807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24.096542027630807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67.52472069393167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6.6</v>
      </c>
      <c r="BD92" s="12">
        <f>IF('Données projet'!$A$88&gt;35,BD91+BC92-BL91,IF(A92&lt;'Données projet'!$A$88,$BA$205^A92,IF(A92='Données projet'!$A$88,'Données projet'!$B$88,BD91+BC92-BL91)))</f>
        <v>351.40000000000015</v>
      </c>
      <c r="BE92" s="13">
        <f>BD92*VLOOKUP('Données projet'!$B$11,Paramètres!$A$1:$I$89,3,0)*VLOOKUP('Données projet'!$B$11,Paramètres!$A$1:$I$89,5,0)</f>
        <v>356.31960000000021</v>
      </c>
      <c r="BF92" s="13">
        <f t="shared" si="91"/>
        <v>82.862424158901803</v>
      </c>
      <c r="BG92" s="20">
        <f t="shared" si="61"/>
        <v>764.90869207675416</v>
      </c>
      <c r="BH92" s="59">
        <f t="shared" si="62"/>
        <v>1049.1660012878369</v>
      </c>
      <c r="BI92" s="59">
        <f ca="1">AVERAGE(OFFSET($BH$3,0,0,'Données projet'!$E$11+1,1))-AVERAGE(OFFSET($H$3,0,0,'Données projet'!$E$11+1,1))</f>
        <v>524.01140973345832</v>
      </c>
      <c r="BJ92" s="59">
        <f t="shared" si="92"/>
        <v>315.59942237999621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29.005096885111154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29.005096885111154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67.52472069393167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-2.8421709430404007E-13</v>
      </c>
      <c r="BZ92" s="13">
        <f>BY92*VLOOKUP('Données projet'!$B$12,Paramètres!$A$1:$I$89,3,0)*VLOOKUP('Données projet'!$B$12,Paramètres!$A$1:$I$89,5,0)</f>
        <v>-1.9065282685915009E-13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358.95222991910504</v>
      </c>
      <c r="CE92" s="59">
        <f t="shared" si="94"/>
        <v>347.37506646970905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118.82835366466821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118.82835366466821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67.52472069393167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-2.8421709430404007E-13</v>
      </c>
      <c r="CU92" s="17">
        <f>CT92*VLOOKUP('Données projet'!$B$13,Paramètres!$A$1:$I$89,3,0)*VLOOKUP('Données projet'!$B$13,Paramètres!$A$1:$I$89,5,0)</f>
        <v>-1.8621904018800707E-13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351.7266381615546</v>
      </c>
      <c r="CZ92" s="59">
        <f t="shared" si="96"/>
        <v>340.52483243761799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100.47811578111538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100.47811578111538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67.52472069393167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9.1999999999999993</v>
      </c>
      <c r="DO92" s="12">
        <f>IF('Données projet'!$A$166&gt;35,DO91+DN92-DW91,IF(A92&lt;'Données projet'!$A$166,$DL$205^A92,IF(A92='Données projet'!$A$166,'Données projet'!$B$166,DO91+DN92-DW91)))</f>
        <v>441.79999999999995</v>
      </c>
      <c r="DP92" s="17">
        <f>DO92*VLOOKUP('Données projet'!$B$14,Paramètres!$A$1:$I$89,3,0)*VLOOKUP('Données projet'!$B$14,Paramètres!$A$1:$I$89,5,0)</f>
        <v>379.06439999999998</v>
      </c>
      <c r="DQ92" s="13">
        <f t="shared" si="97"/>
        <v>87.519105676243697</v>
      </c>
      <c r="DR92" s="20">
        <f t="shared" si="70"/>
        <v>812.63293905279113</v>
      </c>
      <c r="DS92" s="59">
        <f t="shared" si="71"/>
        <v>1096.8902482638739</v>
      </c>
      <c r="DT92" s="59">
        <f ca="1">AVERAGE(OFFSET($DS$3,0,0,'Données projet'!$E$14+1,1))-AVERAGE(OFFSET($H$3,0,0,'Données projet'!$E$14+1,1))</f>
        <v>569.21675741362196</v>
      </c>
      <c r="DU92" s="59">
        <f t="shared" si="98"/>
        <v>321.12410801891679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46.756045657601376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46.756045657601376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67.52472069393167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-2.8421709430404007E-13</v>
      </c>
      <c r="EK92" s="17">
        <f>EJ92*VLOOKUP('Données projet'!$B$15,Paramètres!$A$1:$I$89,3,0)*VLOOKUP('Données projet'!$B$15,Paramètres!$A$1:$I$89,5,0)</f>
        <v>-2.2612312022829427E-13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416.63597645452791</v>
      </c>
      <c r="EP92" s="59">
        <f t="shared" si="100"/>
        <v>402.05920382353497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150.38335933352977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150.38335933352977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67.52472069393167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>
        <f>FE92*VLOOKUP('Données projet'!$B$16,Paramètres!$A$1:$I$89,3,0)*VLOOKUP('Données projet'!$B$16,Paramètres!$A$1:$I$89,5,0)</f>
        <v>0</v>
      </c>
      <c r="FG92" s="13" t="e">
        <f t="shared" si="101"/>
        <v>#NUM!</v>
      </c>
      <c r="FH92" s="20" t="e">
        <f t="shared" si="76"/>
        <v>#NUM!</v>
      </c>
      <c r="FI92" s="59" t="e">
        <f t="shared" si="77"/>
        <v>#NUM!</v>
      </c>
      <c r="FJ92" s="59">
        <f ca="1">AVERAGE(OFFSET($FI$3,0,0,'Données projet'!$E$16+1,1))-AVERAGE(OFFSET($H$3,0,0,'Données projet'!$E$16+1,1))</f>
        <v>395.57130469647603</v>
      </c>
      <c r="FK92" s="59">
        <f t="shared" si="102"/>
        <v>383.97542781562674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142.65397487880608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142.65397487880608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67.52472069393167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>
        <f>FZ92*VLOOKUP('Données projet'!$B$17,Paramètres!$A$1:$I$89,3,0)*VLOOKUP('Données projet'!$B$17,Paramètres!$A$1:$I$89,5,0)</f>
        <v>0</v>
      </c>
      <c r="GB92" s="13" t="e">
        <f t="shared" si="103"/>
        <v>#NUM!</v>
      </c>
      <c r="GC92" s="20" t="e">
        <f t="shared" si="79"/>
        <v>#NUM!</v>
      </c>
      <c r="GD92" s="59" t="e">
        <f t="shared" si="80"/>
        <v>#NUM!</v>
      </c>
      <c r="GE92" s="59">
        <f ca="1">AVERAGE(OFFSET($GD$3,0,0,'Données projet'!$E$17+1,1))-AVERAGE(OFFSET($H$3,0,0,'Données projet'!$E$17+1,1))</f>
        <v>301.74744407733351</v>
      </c>
      <c r="GF92" s="59">
        <f t="shared" si="104"/>
        <v>292.46787700966991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74.09448750241944</v>
      </c>
      <c r="GM92" s="21">
        <f>EXP(-LN(2)/25)*GM91+(1-EXP(-LN(2)/25))/(LN(2)/25)*Calculateur!GH92*Calculateur!GJ92*VLOOKUP('Données projet'!$B$17,Paramètres!$A$1:$I$89,3,0)*0.475*44/12</f>
        <v>0</v>
      </c>
      <c r="GN92" s="21">
        <f>EXP(-LN(2)/2)*GN91+(1-EXP(-LN(2)/2))/(LN(2)/2)*GH92*GK92*VLOOKUP('Données projet'!$B$17,Paramètres!$A$1:$I$89,3,0)*0.475*44/12</f>
        <v>0</v>
      </c>
      <c r="GO92" s="21">
        <f t="shared" si="81"/>
        <v>74.09448750241944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67.52472069393167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-2.8421709430404007E-13</v>
      </c>
      <c r="GV92" s="17">
        <f>GU92*VLOOKUP('Données projet'!$B$18,Paramètres!$A$1:$I$89,3,0)*VLOOKUP('Données projet'!$B$18,Paramètres!$A$1:$I$89,5,0)</f>
        <v>-1.6848389350343495E-13</v>
      </c>
      <c r="GW92" s="13" t="e">
        <f t="shared" si="105"/>
        <v>#NUM!</v>
      </c>
      <c r="GX92" s="20" t="e">
        <f t="shared" si="82"/>
        <v>#NUM!</v>
      </c>
      <c r="GY92" s="59" t="e">
        <f t="shared" si="83"/>
        <v>#NUM!</v>
      </c>
      <c r="GZ92" s="59">
        <f ca="1">AVERAGE(OFFSET($GY$3,0,0,'Données projet'!$E$18+1,1))-AVERAGE(OFFSET($H$3,0,0,'Données projet'!$E$18+1,1))</f>
        <v>322.78672881269978</v>
      </c>
      <c r="HA92" s="59">
        <f t="shared" si="106"/>
        <v>313.08736327626434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118.88049423231405</v>
      </c>
      <c r="HH92" s="21">
        <f>EXP(-LN(2)/25)*HH91+(1-EXP(-LN(2)/25))/(LN(2)/25)*Calculateur!HC92*Calculateur!HE92*VLOOKUP('Données projet'!$B$18,Paramètres!$A$1:$I$89,3,0)*0.475*44/12</f>
        <v>0</v>
      </c>
      <c r="HI92" s="21">
        <f>EXP(-LN(2)/2)*HI91+(1-EXP(-LN(2)/2))/(LN(2)/2)*HC92*HF92*VLOOKUP('Données projet'!$B$18,Paramètres!$A$1:$I$89,3,0)*0.475*44/12</f>
        <v>0</v>
      </c>
      <c r="HJ92" s="22">
        <f t="shared" si="84"/>
        <v>118.88049423231405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2.3499999999999996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8.6166666666666654</v>
      </c>
      <c r="H93" s="67">
        <f t="shared" si="56"/>
        <v>222.20000000000002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67.567661255996455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358</v>
      </c>
      <c r="L93" s="12">
        <f>VLOOKUP(A93,'Données projet'!$A$35:$I$55,9,0)</f>
        <v>6.6</v>
      </c>
      <c r="M93" s="12">
        <f t="array" ref="M93">INDEX(L:L,MIN(IF(ISNUMBER(L93:L289),ROW(L93:L289),"")))</f>
        <v>6.6</v>
      </c>
      <c r="N93" s="13">
        <f>IF('Données projet'!$A$36&gt;35,N92+M93-V92,IF(A93&lt;'Données projet'!$A$36,$K$205^A93,IF(A93='Données projet'!$A$36,'Données projet'!$B$36,N92+M93-V92)))</f>
        <v>358.00000000000017</v>
      </c>
      <c r="O93" s="13">
        <f>N93*VLOOKUP('Données projet'!$B$9,Paramètres!$A$1:$I$89,3,0)*VLOOKUP('Données projet'!$B$9,Paramètres!$A$1:$I$89,5,0)</f>
        <v>323.91840000000013</v>
      </c>
      <c r="P93" s="13">
        <f t="shared" si="87"/>
        <v>76.168074587293162</v>
      </c>
      <c r="Q93" s="20">
        <f t="shared" si="54"/>
        <v>696.8172765728691</v>
      </c>
      <c r="R93" s="59">
        <f t="shared" si="55"/>
        <v>981.23203451152278</v>
      </c>
      <c r="S93" s="59">
        <f ca="1">AVERAGE(OFFSET($R$3,0,0,'Données projet'!$E$9+1,1))-AVERAGE(OFFSET($H$3,0,0,'Données projet'!$E$9+1,1))</f>
        <v>473.88815717313474</v>
      </c>
      <c r="T93" s="59">
        <f t="shared" si="88"/>
        <v>287.19790203552895</v>
      </c>
      <c r="U93" s="15">
        <f>IF(ISNA(VLOOKUP(A93,'Données projet'!$A$35:$I$55,3,0)),0,VLOOKUP(A93,'Données projet'!$A$35:$I$55,3,0))</f>
        <v>15</v>
      </c>
      <c r="V93" s="15">
        <f>IF(ISNA(VLOOKUP(A93,'Données projet'!$A$35:$I$55,4,0)),0,VLOOKUP(A93,'Données projet'!$A$35:$I$55,4,0))</f>
        <v>56</v>
      </c>
      <c r="W93" s="16">
        <f>IF(ISNA(VLOOKUP(A93,'Données projet'!$A$35:$I$55,5,0)),0%,VLOOKUP(A93,'Données projet'!$A$35:$I$55,5,0)*VLOOKUP('Données projet'!$B$9,Paramètres!$A$1:$I$89,7,0))</f>
        <v>0.30099999999999999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42.233821332745109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42.233821332745109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67.567661255996455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358</v>
      </c>
      <c r="AG93" s="12">
        <f>VLOOKUP(A93,'Données projet'!$A$61:$I$81,9,0)</f>
        <v>6.6</v>
      </c>
      <c r="AH93" s="12">
        <f t="array" ref="AH93">INDEX(AG:AG,MIN(IF(ISNUMBER(AG93:AG289),ROW(AG93:AG289),"")))</f>
        <v>6.6</v>
      </c>
      <c r="AI93" s="13">
        <f>IF('Données projet'!$A$62&gt;35,AI92+AH93-AQ92,IF(A93&lt;'Données projet'!$A$62,$AF$205^A93,IF(A93='Données projet'!$A$62,'Données projet'!$B$62,AI92+AH93-AQ92)))</f>
        <v>358.00000000000017</v>
      </c>
      <c r="AJ93" s="13">
        <f>AI93*VLOOKUP('Données projet'!$B$10,Paramètres!$A$1:$I$89,3,0)*VLOOKUP('Données projet'!$B$10,Paramètres!$A$1:$I$89,5,0)</f>
        <v>301.57920000000018</v>
      </c>
      <c r="AK93" s="13">
        <f t="shared" si="89"/>
        <v>71.507423226130925</v>
      </c>
      <c r="AL93" s="20">
        <f t="shared" si="58"/>
        <v>649.7925354521783</v>
      </c>
      <c r="AM93" s="59">
        <f t="shared" si="59"/>
        <v>934.20729339083198</v>
      </c>
      <c r="AN93" s="59">
        <f ca="1">AVERAGE(OFFSET($AM$3,0,0,'Données projet'!$E$10+1,1))-AVERAGE(OFFSET($H$3,0,0,'Données projet'!$E$10+1,1))</f>
        <v>445.19118535527258</v>
      </c>
      <c r="AO93" s="59">
        <f t="shared" si="90"/>
        <v>270.93483242839363</v>
      </c>
      <c r="AP93" s="15">
        <f>IF(ISNA(VLOOKUP(A93,'Données projet'!$A$61:$I$81,3,0)),0,VLOOKUP(A93,'Données projet'!$A$61:$I$81,3,0))</f>
        <v>15</v>
      </c>
      <c r="AQ93" s="15">
        <f>IF(ISNA(VLOOKUP(A93,'Données projet'!$A$61:$I$81,4,0)),0,VLOOKUP(A93,'Données projet'!$A$61:$I$81,4,0))</f>
        <v>56</v>
      </c>
      <c r="AR93" s="16">
        <f>IF(ISNA(VLOOKUP(A93,'Données projet'!$A$61:$I$81,5,0)),0%,VLOOKUP(A93,'Données projet'!$A$61:$I$81,5,0)*VLOOKUP('Données projet'!$B$10,Paramètres!$A$1:$I$89,7,0))</f>
        <v>0.30099999999999999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39.321143999452353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39.321143999452353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67.567661255996455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358</v>
      </c>
      <c r="BB93" s="12">
        <f>VLOOKUP(A93,'Données projet'!$A$87:$I$107,9,0)</f>
        <v>6.6</v>
      </c>
      <c r="BC93" s="12">
        <f t="array" ref="BC93">INDEX(BB:BB,MIN(IF(ISNUMBER(BB93:BB289),ROW(BB93:BB289),"")))</f>
        <v>6.6</v>
      </c>
      <c r="BD93" s="12">
        <f>IF('Données projet'!$A$88&gt;35,BD92+BC93-BL92,IF(A93&lt;'Données projet'!$A$88,$BA$205^A93,IF(A93='Données projet'!$A$88,'Données projet'!$B$88,BD92+BC93-BL92)))</f>
        <v>358.00000000000017</v>
      </c>
      <c r="BE93" s="13">
        <f>BD93*VLOOKUP('Données projet'!$B$11,Paramètres!$A$1:$I$89,3,0)*VLOOKUP('Données projet'!$B$11,Paramètres!$A$1:$I$89,5,0)</f>
        <v>363.01200000000023</v>
      </c>
      <c r="BF93" s="13">
        <f t="shared" si="91"/>
        <v>84.23609859605908</v>
      </c>
      <c r="BG93" s="20">
        <f t="shared" si="61"/>
        <v>778.95710505480326</v>
      </c>
      <c r="BH93" s="59">
        <f t="shared" si="62"/>
        <v>1063.3718629934569</v>
      </c>
      <c r="BI93" s="59">
        <f ca="1">AVERAGE(OFFSET($BH$3,0,0,'Données projet'!$E$11+1,1))-AVERAGE(OFFSET($H$3,0,0,'Données projet'!$E$11+1,1))</f>
        <v>524.01140973345832</v>
      </c>
      <c r="BJ93" s="59">
        <f t="shared" si="92"/>
        <v>315.59942237999621</v>
      </c>
      <c r="BK93" s="15">
        <f>IF(ISNA(VLOOKUP(A93,'Données projet'!$A$87:$I$107,3,0)),0,VLOOKUP(A93,'Données projet'!$A$87:$I$107,3,0))</f>
        <v>15</v>
      </c>
      <c r="BL93" s="15">
        <f>IF(ISNA(VLOOKUP(A93,'Données projet'!$A$87:$I$107,4,0)),0,VLOOKUP(A93,'Données projet'!$A$87:$I$107,4,0))</f>
        <v>56</v>
      </c>
      <c r="BM93" s="16">
        <f>IF(ISNA(VLOOKUP(A93,'Données projet'!$A$87:$I$107,5,0)),0%,VLOOKUP(A93,'Données projet'!$A$87:$I$107,5,0)*VLOOKUP('Données projet'!$B$11,Paramètres!$A$1:$I$89,7,0))</f>
        <v>0.30099999999999999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47.331006666007454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47.331006666007454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67.567661255996455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-2.8421709430404007E-13</v>
      </c>
      <c r="BZ93" s="13">
        <f>BY93*VLOOKUP('Données projet'!$B$12,Paramètres!$A$1:$I$89,3,0)*VLOOKUP('Données projet'!$B$12,Paramètres!$A$1:$I$89,5,0)</f>
        <v>-1.9065282685915009E-13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358.95222991910504</v>
      </c>
      <c r="CE93" s="59">
        <f t="shared" si="94"/>
        <v>347.37506646970905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116.49820212744318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116.49820212744318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67.567661255996455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-2.8421709430404007E-13</v>
      </c>
      <c r="CU93" s="17">
        <f>CT93*VLOOKUP('Données projet'!$B$13,Paramètres!$A$1:$I$89,3,0)*VLOOKUP('Données projet'!$B$13,Paramètres!$A$1:$I$89,5,0)</f>
        <v>-1.8621904018800707E-13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351.7266381615546</v>
      </c>
      <c r="CZ93" s="59">
        <f t="shared" si="96"/>
        <v>340.52483243761799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98.507801216246875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98.507801216246875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67.567661255996455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451</v>
      </c>
      <c r="DM93" s="12">
        <f>VLOOKUP(A93,'Données projet'!$A$165:$I$185,9,0)</f>
        <v>9.1999999999999993</v>
      </c>
      <c r="DN93" s="12">
        <f t="array" ref="DN93">INDEX(DM:DM,MIN(IF(ISNUMBER(DM93:DM289),ROW(DM93:DM289),"")))</f>
        <v>9.1999999999999993</v>
      </c>
      <c r="DO93" s="12">
        <f>IF('Données projet'!$A$166&gt;35,DO92+DN93-DW92,IF(A93&lt;'Données projet'!$A$166,$DL$205^A93,IF(A93='Données projet'!$A$166,'Données projet'!$B$166,DO92+DN93-DW92)))</f>
        <v>450.99999999999994</v>
      </c>
      <c r="DP93" s="17">
        <f>DO93*VLOOKUP('Données projet'!$B$14,Paramètres!$A$1:$I$89,3,0)*VLOOKUP('Données projet'!$B$14,Paramètres!$A$1:$I$89,5,0)</f>
        <v>386.95799999999997</v>
      </c>
      <c r="DQ93" s="13">
        <f t="shared" si="97"/>
        <v>89.12752051283708</v>
      </c>
      <c r="DR93" s="20">
        <f t="shared" si="70"/>
        <v>829.18228155985787</v>
      </c>
      <c r="DS93" s="59">
        <f t="shared" si="71"/>
        <v>1113.5970394985115</v>
      </c>
      <c r="DT93" s="59">
        <f ca="1">AVERAGE(OFFSET($DS$3,0,0,'Données projet'!$E$14+1,1))-AVERAGE(OFFSET($H$3,0,0,'Données projet'!$E$14+1,1))</f>
        <v>569.21675741362196</v>
      </c>
      <c r="DU93" s="59">
        <f t="shared" si="98"/>
        <v>321.12410801891679</v>
      </c>
      <c r="DV93" s="15">
        <f>IF(ISNA(VLOOKUP(A93,'Données projet'!$A$165:$I$185,3,0)),0,VLOOKUP(A93,'Données projet'!$A$165:$I$185,3,0))</f>
        <v>15</v>
      </c>
      <c r="DW93" s="15">
        <f>IF(ISNA(VLOOKUP(A93,'Données projet'!$A$165:$I$185,4,0)),0,VLOOKUP(A93,'Données projet'!$A$165:$I$185,4,0))</f>
        <v>31</v>
      </c>
      <c r="DX93" s="16">
        <f>IF(ISNA(VLOOKUP(A93,'Données projet'!$A$165:$I$185,5,0)),0%,VLOOKUP(A93,'Données projet'!$A$165:$I$185,5,0)*VLOOKUP('Données projet'!$B$14,Paramètres!$A$1:$I$89,7,0))</f>
        <v>0.371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56.747812849064971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56.747812849064971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67.567661255996455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-2.8421709430404007E-13</v>
      </c>
      <c r="EK93" s="17">
        <f>EJ93*VLOOKUP('Données projet'!$B$15,Paramètres!$A$1:$I$89,3,0)*VLOOKUP('Données projet'!$B$15,Paramètres!$A$1:$I$89,5,0)</f>
        <v>-2.2612312022829427E-13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416.63597645452791</v>
      </c>
      <c r="EP93" s="59">
        <f t="shared" si="100"/>
        <v>402.05920382353497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147.43443338179137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147.43443338179137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67.567661255996455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>
        <f>FE93*VLOOKUP('Données projet'!$B$16,Paramètres!$A$1:$I$89,3,0)*VLOOKUP('Données projet'!$B$16,Paramètres!$A$1:$I$89,5,0)</f>
        <v>0</v>
      </c>
      <c r="FG93" s="13" t="e">
        <f t="shared" si="101"/>
        <v>#NUM!</v>
      </c>
      <c r="FH93" s="20" t="e">
        <f t="shared" si="76"/>
        <v>#NUM!</v>
      </c>
      <c r="FI93" s="59" t="e">
        <f t="shared" si="77"/>
        <v>#NUM!</v>
      </c>
      <c r="FJ93" s="59">
        <f ca="1">AVERAGE(OFFSET($FI$3,0,0,'Données projet'!$E$16+1,1))-AVERAGE(OFFSET($H$3,0,0,'Données projet'!$E$16+1,1))</f>
        <v>395.57130469647603</v>
      </c>
      <c r="FK93" s="59">
        <f t="shared" si="102"/>
        <v>383.97542781562674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139.85661744176582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139.85661744176582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67.567661255996455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>
        <f>FZ93*VLOOKUP('Données projet'!$B$17,Paramètres!$A$1:$I$89,3,0)*VLOOKUP('Données projet'!$B$17,Paramètres!$A$1:$I$89,5,0)</f>
        <v>0</v>
      </c>
      <c r="GB93" s="13" t="e">
        <f t="shared" si="103"/>
        <v>#NUM!</v>
      </c>
      <c r="GC93" s="20" t="e">
        <f t="shared" si="79"/>
        <v>#NUM!</v>
      </c>
      <c r="GD93" s="59" t="e">
        <f t="shared" si="80"/>
        <v>#NUM!</v>
      </c>
      <c r="GE93" s="59">
        <f ca="1">AVERAGE(OFFSET($GD$3,0,0,'Données projet'!$E$17+1,1))-AVERAGE(OFFSET($H$3,0,0,'Données projet'!$E$17+1,1))</f>
        <v>301.74744407733351</v>
      </c>
      <c r="GF93" s="59">
        <f t="shared" si="104"/>
        <v>292.46787700966991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72.641539795671918</v>
      </c>
      <c r="GM93" s="21">
        <f>EXP(-LN(2)/25)*GM92+(1-EXP(-LN(2)/25))/(LN(2)/25)*Calculateur!GH93*Calculateur!GJ93*VLOOKUP('Données projet'!$B$17,Paramètres!$A$1:$I$89,3,0)*0.475*44/12</f>
        <v>0</v>
      </c>
      <c r="GN93" s="21">
        <f>EXP(-LN(2)/2)*GN92+(1-EXP(-LN(2)/2))/(LN(2)/2)*GH93*GK93*VLOOKUP('Données projet'!$B$17,Paramètres!$A$1:$I$89,3,0)*0.475*44/12</f>
        <v>0</v>
      </c>
      <c r="GO93" s="21">
        <f t="shared" si="81"/>
        <v>72.641539795671918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67.567661255996455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-2.8421709430404007E-13</v>
      </c>
      <c r="GV93" s="17">
        <f>GU93*VLOOKUP('Données projet'!$B$18,Paramètres!$A$1:$I$89,3,0)*VLOOKUP('Données projet'!$B$18,Paramètres!$A$1:$I$89,5,0)</f>
        <v>-1.6848389350343495E-13</v>
      </c>
      <c r="GW93" s="13" t="e">
        <f t="shared" si="105"/>
        <v>#NUM!</v>
      </c>
      <c r="GX93" s="20" t="e">
        <f t="shared" si="82"/>
        <v>#NUM!</v>
      </c>
      <c r="GY93" s="59" t="e">
        <f t="shared" si="83"/>
        <v>#NUM!</v>
      </c>
      <c r="GZ93" s="59">
        <f ca="1">AVERAGE(OFFSET($GY$3,0,0,'Données projet'!$E$18+1,1))-AVERAGE(OFFSET($H$3,0,0,'Données projet'!$E$18+1,1))</f>
        <v>322.78672881269978</v>
      </c>
      <c r="HA93" s="59">
        <f t="shared" si="106"/>
        <v>313.08736327626434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projet'!$B$18,Paramètres!$A$1:$I$89,3,0)*0.475*44/12</f>
        <v>116.5493202503601</v>
      </c>
      <c r="HH93" s="21">
        <f>EXP(-LN(2)/25)*HH92+(1-EXP(-LN(2)/25))/(LN(2)/25)*Calculateur!HC93*Calculateur!HE93*VLOOKUP('Données projet'!$B$18,Paramètres!$A$1:$I$89,3,0)*0.475*44/12</f>
        <v>0</v>
      </c>
      <c r="HI93" s="21">
        <f>EXP(-LN(2)/2)*HI92+(1-EXP(-LN(2)/2))/(LN(2)/2)*HC93*HF93*VLOOKUP('Données projet'!$B$18,Paramètres!$A$1:$I$89,3,0)*0.475*44/12</f>
        <v>0</v>
      </c>
      <c r="HJ93" s="22">
        <f t="shared" si="84"/>
        <v>116.5493202503601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2.3499999999999996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8.6166666666666654</v>
      </c>
      <c r="H94" s="67">
        <f t="shared" si="56"/>
        <v>222.20000000000002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67.609856895310145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6</v>
      </c>
      <c r="N94" s="13">
        <f>IF('Données projet'!$A$36&gt;35,N93+M94-V93,IF(A94&lt;'Données projet'!$A$36,$K$205^A94,IF(A94='Données projet'!$A$36,'Données projet'!$B$36,N93+M94-V93)))</f>
        <v>308.00000000000017</v>
      </c>
      <c r="O94" s="13">
        <f>N94*VLOOKUP('Données projet'!$B$9,Paramètres!$A$1:$I$89,3,0)*VLOOKUP('Données projet'!$B$9,Paramètres!$A$1:$I$89,5,0)</f>
        <v>278.67840000000018</v>
      </c>
      <c r="P94" s="13">
        <f t="shared" si="87"/>
        <v>66.687639951856809</v>
      </c>
      <c r="Q94" s="20">
        <f t="shared" si="54"/>
        <v>601.51251958281762</v>
      </c>
      <c r="R94" s="59">
        <f t="shared" si="55"/>
        <v>886.08199486562148</v>
      </c>
      <c r="S94" s="59">
        <f ca="1">AVERAGE(OFFSET($R$3,0,0,'Données projet'!$E$9+1,1))-AVERAGE(OFFSET($H$3,0,0,'Données projet'!$E$9+1,1))</f>
        <v>473.88815717313474</v>
      </c>
      <c r="T94" s="59">
        <f t="shared" si="88"/>
        <v>287.19790203552895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41.40564185649739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41.40564185649739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67.609856895310145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6</v>
      </c>
      <c r="AI94" s="13">
        <f>IF('Données projet'!$A$62&gt;35,AI93+AH94-AQ93,IF(A94&lt;'Données projet'!$A$62,$AF$205^A94,IF(A94='Données projet'!$A$62,'Données projet'!$B$62,AI93+AH94-AQ93)))</f>
        <v>308.00000000000017</v>
      </c>
      <c r="AJ94" s="13">
        <f>AI94*VLOOKUP('Données projet'!$B$10,Paramètres!$A$1:$I$89,3,0)*VLOOKUP('Données projet'!$B$10,Paramètres!$A$1:$I$89,5,0)</f>
        <v>259.45920000000018</v>
      </c>
      <c r="AK94" s="13">
        <f t="shared" si="89"/>
        <v>62.607087284635185</v>
      </c>
      <c r="AL94" s="20">
        <f t="shared" si="58"/>
        <v>560.93211702073984</v>
      </c>
      <c r="AM94" s="59">
        <f t="shared" si="59"/>
        <v>845.5015923035437</v>
      </c>
      <c r="AN94" s="59">
        <f ca="1">AVERAGE(OFFSET($AM$3,0,0,'Données projet'!$E$10+1,1))-AVERAGE(OFFSET($H$3,0,0,'Données projet'!$E$10+1,1))</f>
        <v>445.19118535527258</v>
      </c>
      <c r="AO94" s="59">
        <f t="shared" si="90"/>
        <v>270.93483242839363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38.550080349152758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38.550080349152758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67.609856895310145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6</v>
      </c>
      <c r="BD94" s="12">
        <f>IF('Données projet'!$A$88&gt;35,BD93+BC94-BL93,IF(A94&lt;'Données projet'!$A$88,$BA$205^A94,IF(A94='Données projet'!$A$88,'Données projet'!$B$88,BD93+BC94-BL93)))</f>
        <v>308.00000000000017</v>
      </c>
      <c r="BE94" s="13">
        <f>BD94*VLOOKUP('Données projet'!$B$11,Paramètres!$A$1:$I$89,3,0)*VLOOKUP('Données projet'!$B$11,Paramètres!$A$1:$I$89,5,0)</f>
        <v>312.31200000000024</v>
      </c>
      <c r="BF94" s="13">
        <f t="shared" si="91"/>
        <v>73.751458791112086</v>
      </c>
      <c r="BG94" s="20">
        <f t="shared" si="61"/>
        <v>672.39385739452064</v>
      </c>
      <c r="BH94" s="59">
        <f t="shared" si="62"/>
        <v>956.9633326773245</v>
      </c>
      <c r="BI94" s="59">
        <f ca="1">AVERAGE(OFFSET($BH$3,0,0,'Données projet'!$E$11+1,1))-AVERAGE(OFFSET($H$3,0,0,'Données projet'!$E$11+1,1))</f>
        <v>524.01140973345832</v>
      </c>
      <c r="BJ94" s="59">
        <f t="shared" si="92"/>
        <v>315.59942237999621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46.402874494350527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46.402874494350527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67.609856895310145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-2.8421709430404007E-13</v>
      </c>
      <c r="BZ94" s="13">
        <f>BY94*VLOOKUP('Données projet'!$B$12,Paramètres!$A$1:$I$89,3,0)*VLOOKUP('Données projet'!$B$12,Paramètres!$A$1:$I$89,5,0)</f>
        <v>-1.9065282685915009E-13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358.95222991910504</v>
      </c>
      <c r="CE94" s="59">
        <f t="shared" si="94"/>
        <v>347.37506646970905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114.21374344061103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114.21374344061103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67.609856895310145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-2.8421709430404007E-13</v>
      </c>
      <c r="CU94" s="17">
        <f>CT94*VLOOKUP('Données projet'!$B$13,Paramètres!$A$1:$I$89,3,0)*VLOOKUP('Données projet'!$B$13,Paramètres!$A$1:$I$89,5,0)</f>
        <v>-1.8621904018800707E-13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351.7266381615546</v>
      </c>
      <c r="CZ94" s="59">
        <f t="shared" si="96"/>
        <v>340.52483243761799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96.57612331822223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96.57612331822223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67.609856895310145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8.6</v>
      </c>
      <c r="DO94" s="12">
        <f>IF('Données projet'!$A$166&gt;35,DO93+DN94-DW93,IF(A94&lt;'Données projet'!$A$166,$DL$205^A94,IF(A94='Données projet'!$A$166,'Données projet'!$B$166,DO93+DN94-DW93)))</f>
        <v>428.59999999999997</v>
      </c>
      <c r="DP94" s="17">
        <f>DO94*VLOOKUP('Données projet'!$B$14,Paramètres!$A$1:$I$89,3,0)*VLOOKUP('Données projet'!$B$14,Paramètres!$A$1:$I$89,5,0)</f>
        <v>367.73879999999997</v>
      </c>
      <c r="DQ94" s="13">
        <f t="shared" si="97"/>
        <v>85.20453819128241</v>
      </c>
      <c r="DR94" s="20">
        <f t="shared" si="70"/>
        <v>788.87631401648343</v>
      </c>
      <c r="DS94" s="59">
        <f t="shared" si="71"/>
        <v>1073.4457892992873</v>
      </c>
      <c r="DT94" s="59">
        <f ca="1">AVERAGE(OFFSET($DS$3,0,0,'Données projet'!$E$14+1,1))-AVERAGE(OFFSET($H$3,0,0,'Données projet'!$E$14+1,1))</f>
        <v>569.21675741362196</v>
      </c>
      <c r="DU94" s="59">
        <f t="shared" si="98"/>
        <v>321.12410801891679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55.635022851842919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55.635022851842919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67.609856895310145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-2.8421709430404007E-13</v>
      </c>
      <c r="EK94" s="17">
        <f>EJ94*VLOOKUP('Données projet'!$B$15,Paramètres!$A$1:$I$89,3,0)*VLOOKUP('Données projet'!$B$15,Paramètres!$A$1:$I$89,5,0)</f>
        <v>-2.2612312022829427E-13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416.63597645452791</v>
      </c>
      <c r="EP94" s="59">
        <f t="shared" si="100"/>
        <v>402.05920382353497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144.54333406929933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144.54333406929933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67.609856895310145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>
        <f>FE94*VLOOKUP('Données projet'!$B$16,Paramètres!$A$1:$I$89,3,0)*VLOOKUP('Données projet'!$B$16,Paramètres!$A$1:$I$89,5,0)</f>
        <v>0</v>
      </c>
      <c r="FG94" s="13" t="e">
        <f t="shared" si="101"/>
        <v>#NUM!</v>
      </c>
      <c r="FH94" s="20" t="e">
        <f t="shared" si="76"/>
        <v>#NUM!</v>
      </c>
      <c r="FI94" s="59" t="e">
        <f t="shared" si="77"/>
        <v>#NUM!</v>
      </c>
      <c r="FJ94" s="59">
        <f ca="1">AVERAGE(OFFSET($FI$3,0,0,'Données projet'!$E$16+1,1))-AVERAGE(OFFSET($H$3,0,0,'Données projet'!$E$16+1,1))</f>
        <v>395.57130469647603</v>
      </c>
      <c r="FK94" s="59">
        <f t="shared" si="102"/>
        <v>383.97542781562674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137.11411447784636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137.11411447784636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67.609856895310145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>
        <f>FZ94*VLOOKUP('Données projet'!$B$17,Paramètres!$A$1:$I$89,3,0)*VLOOKUP('Données projet'!$B$17,Paramètres!$A$1:$I$89,5,0)</f>
        <v>0</v>
      </c>
      <c r="GB94" s="13" t="e">
        <f t="shared" si="103"/>
        <v>#NUM!</v>
      </c>
      <c r="GC94" s="20" t="e">
        <f t="shared" si="79"/>
        <v>#NUM!</v>
      </c>
      <c r="GD94" s="59" t="e">
        <f t="shared" si="80"/>
        <v>#NUM!</v>
      </c>
      <c r="GE94" s="59">
        <f ca="1">AVERAGE(OFFSET($GD$3,0,0,'Données projet'!$E$17+1,1))-AVERAGE(OFFSET($H$3,0,0,'Données projet'!$E$17+1,1))</f>
        <v>301.74744407733351</v>
      </c>
      <c r="GF94" s="59">
        <f t="shared" si="104"/>
        <v>292.46787700966991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71.217083507243117</v>
      </c>
      <c r="GM94" s="21">
        <f>EXP(-LN(2)/25)*GM93+(1-EXP(-LN(2)/25))/(LN(2)/25)*Calculateur!GH94*Calculateur!GJ94*VLOOKUP('Données projet'!$B$17,Paramètres!$A$1:$I$89,3,0)*0.475*44/12</f>
        <v>0</v>
      </c>
      <c r="GN94" s="21">
        <f>EXP(-LN(2)/2)*GN93+(1-EXP(-LN(2)/2))/(LN(2)/2)*GH94*GK94*VLOOKUP('Données projet'!$B$17,Paramètres!$A$1:$I$89,3,0)*0.475*44/12</f>
        <v>0</v>
      </c>
      <c r="GO94" s="21">
        <f t="shared" si="81"/>
        <v>71.217083507243117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67.609856895310145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-2.8421709430404007E-13</v>
      </c>
      <c r="GV94" s="17">
        <f>GU94*VLOOKUP('Données projet'!$B$18,Paramètres!$A$1:$I$89,3,0)*VLOOKUP('Données projet'!$B$18,Paramètres!$A$1:$I$89,5,0)</f>
        <v>-1.6848389350343495E-13</v>
      </c>
      <c r="GW94" s="13" t="e">
        <f t="shared" si="105"/>
        <v>#NUM!</v>
      </c>
      <c r="GX94" s="20" t="e">
        <f t="shared" si="82"/>
        <v>#NUM!</v>
      </c>
      <c r="GY94" s="59" t="e">
        <f t="shared" si="83"/>
        <v>#NUM!</v>
      </c>
      <c r="GZ94" s="59">
        <f ca="1">AVERAGE(OFFSET($GY$3,0,0,'Données projet'!$E$18+1,1))-AVERAGE(OFFSET($H$3,0,0,'Données projet'!$E$18+1,1))</f>
        <v>322.78672881269978</v>
      </c>
      <c r="HA94" s="59">
        <f t="shared" si="106"/>
        <v>313.08736327626434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projet'!$B$18,Paramètres!$A$1:$I$89,3,0)*0.475*44/12</f>
        <v>114.26385916831653</v>
      </c>
      <c r="HH94" s="21">
        <f>EXP(-LN(2)/25)*HH93+(1-EXP(-LN(2)/25))/(LN(2)/25)*Calculateur!HC94*Calculateur!HE94*VLOOKUP('Données projet'!$B$18,Paramètres!$A$1:$I$89,3,0)*0.475*44/12</f>
        <v>0</v>
      </c>
      <c r="HI94" s="21">
        <f>EXP(-LN(2)/2)*HI93+(1-EXP(-LN(2)/2))/(LN(2)/2)*HC94*HF94*VLOOKUP('Données projet'!$B$18,Paramètres!$A$1:$I$89,3,0)*0.475*44/12</f>
        <v>0</v>
      </c>
      <c r="HJ94" s="22">
        <f t="shared" si="84"/>
        <v>114.26385916831653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2.3499999999999996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8.6166666666666654</v>
      </c>
      <c r="H95" s="67">
        <f t="shared" si="56"/>
        <v>222.20000000000002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67.651320534617042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6</v>
      </c>
      <c r="N95" s="13">
        <f>IF('Données projet'!$A$36&gt;35,N94+M95-V94,IF(A95&lt;'Données projet'!$A$36,$K$205^A95,IF(A95='Données projet'!$A$36,'Données projet'!$B$36,N94+M95-V94)))</f>
        <v>314.00000000000017</v>
      </c>
      <c r="O95" s="13">
        <f>N95*VLOOKUP('Données projet'!$B$9,Paramètres!$A$1:$I$89,3,0)*VLOOKUP('Données projet'!$B$9,Paramètres!$A$1:$I$89,5,0)</f>
        <v>284.10720000000015</v>
      </c>
      <c r="P95" s="13">
        <f t="shared" si="87"/>
        <v>67.834241327943772</v>
      </c>
      <c r="Q95" s="20">
        <f t="shared" si="54"/>
        <v>612.96467697950231</v>
      </c>
      <c r="R95" s="59">
        <f t="shared" si="55"/>
        <v>897.68618560643154</v>
      </c>
      <c r="S95" s="59">
        <f ca="1">AVERAGE(OFFSET($R$3,0,0,'Données projet'!$E$9+1,1))-AVERAGE(OFFSET($H$3,0,0,'Données projet'!$E$9+1,1))</f>
        <v>473.88815717313474</v>
      </c>
      <c r="T95" s="59">
        <f t="shared" si="88"/>
        <v>287.19790203552895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40.593702474639286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40.593702474639286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67.651320534617042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6</v>
      </c>
      <c r="AI95" s="13">
        <f>IF('Données projet'!$A$62&gt;35,AI94+AH95-AQ94,IF(A95&lt;'Données projet'!$A$62,$AF$205^A95,IF(A95='Données projet'!$A$62,'Données projet'!$B$62,AI94+AH95-AQ94)))</f>
        <v>314.00000000000017</v>
      </c>
      <c r="AJ95" s="13">
        <f>AI95*VLOOKUP('Données projet'!$B$10,Paramètres!$A$1:$I$89,3,0)*VLOOKUP('Données projet'!$B$10,Paramètres!$A$1:$I$89,5,0)</f>
        <v>264.51360000000017</v>
      </c>
      <c r="AK95" s="13">
        <f t="shared" si="89"/>
        <v>63.683529223279031</v>
      </c>
      <c r="AL95" s="20">
        <f t="shared" si="58"/>
        <v>571.61000006387792</v>
      </c>
      <c r="AM95" s="59">
        <f t="shared" si="59"/>
        <v>856.33150869080714</v>
      </c>
      <c r="AN95" s="59">
        <f ca="1">AVERAGE(OFFSET($AM$3,0,0,'Données projet'!$E$10+1,1))-AVERAGE(OFFSET($H$3,0,0,'Données projet'!$E$10+1,1))</f>
        <v>445.19118535527258</v>
      </c>
      <c r="AO95" s="59">
        <f t="shared" si="90"/>
        <v>270.93483242839363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37.794136786733148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37.794136786733148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67.651320534617042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6</v>
      </c>
      <c r="BD95" s="12">
        <f>IF('Données projet'!$A$88&gt;35,BD94+BC95-BL94,IF(A95&lt;'Données projet'!$A$88,$BA$205^A95,IF(A95='Données projet'!$A$88,'Données projet'!$B$88,BD94+BC95-BL94)))</f>
        <v>314.00000000000017</v>
      </c>
      <c r="BE95" s="13">
        <f>BD95*VLOOKUP('Données projet'!$B$11,Paramètres!$A$1:$I$89,3,0)*VLOOKUP('Données projet'!$B$11,Paramètres!$A$1:$I$89,5,0)</f>
        <v>318.39600000000019</v>
      </c>
      <c r="BF95" s="13">
        <f t="shared" si="91"/>
        <v>75.019512724335002</v>
      </c>
      <c r="BG95" s="20">
        <f t="shared" si="61"/>
        <v>685.19868466155049</v>
      </c>
      <c r="BH95" s="59">
        <f t="shared" si="62"/>
        <v>969.9201932884796</v>
      </c>
      <c r="BI95" s="59">
        <f ca="1">AVERAGE(OFFSET($BH$3,0,0,'Données projet'!$E$11+1,1))-AVERAGE(OFFSET($H$3,0,0,'Données projet'!$E$11+1,1))</f>
        <v>524.01140973345832</v>
      </c>
      <c r="BJ95" s="59">
        <f t="shared" si="92"/>
        <v>315.59942237999621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45.492942428475068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45.492942428475068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67.651320534617042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-2.8421709430404007E-13</v>
      </c>
      <c r="BZ95" s="13">
        <f>BY95*VLOOKUP('Données projet'!$B$12,Paramètres!$A$1:$I$89,3,0)*VLOOKUP('Données projet'!$B$12,Paramètres!$A$1:$I$89,5,0)</f>
        <v>-1.9065282685915009E-13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358.95222991910504</v>
      </c>
      <c r="CE95" s="59">
        <f t="shared" si="94"/>
        <v>347.37506646970905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111.97408159524544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111.97408159524544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67.651320534617042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-2.8421709430404007E-13</v>
      </c>
      <c r="CU95" s="17">
        <f>CT95*VLOOKUP('Données projet'!$B$13,Paramètres!$A$1:$I$89,3,0)*VLOOKUP('Données projet'!$B$13,Paramètres!$A$1:$I$89,5,0)</f>
        <v>-1.8621904018800707E-13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351.7266381615546</v>
      </c>
      <c r="CZ95" s="59">
        <f t="shared" si="96"/>
        <v>340.52483243761799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94.682324445570671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94.682324445570671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67.651320534617042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8.6</v>
      </c>
      <c r="DO95" s="12">
        <f>IF('Données projet'!$A$166&gt;35,DO94+DN95-DW94,IF(A95&lt;'Données projet'!$A$166,$DL$205^A95,IF(A95='Données projet'!$A$166,'Données projet'!$B$166,DO94+DN95-DW94)))</f>
        <v>437.2</v>
      </c>
      <c r="DP95" s="17">
        <f>DO95*VLOOKUP('Données projet'!$B$14,Paramètres!$A$1:$I$89,3,0)*VLOOKUP('Données projet'!$B$14,Paramètres!$A$1:$I$89,5,0)</f>
        <v>375.11760000000004</v>
      </c>
      <c r="DQ95" s="13">
        <f t="shared" si="97"/>
        <v>86.713440086205196</v>
      </c>
      <c r="DR95" s="20">
        <f t="shared" si="70"/>
        <v>804.35572815014075</v>
      </c>
      <c r="DS95" s="59">
        <f t="shared" si="71"/>
        <v>1089.0772367770699</v>
      </c>
      <c r="DT95" s="59">
        <f ca="1">AVERAGE(OFFSET($DS$3,0,0,'Données projet'!$E$14+1,1))-AVERAGE(OFFSET($H$3,0,0,'Données projet'!$E$14+1,1))</f>
        <v>569.21675741362196</v>
      </c>
      <c r="DU95" s="59">
        <f t="shared" si="98"/>
        <v>321.12410801891679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54.544053987731516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54.544053987731516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67.651320534617042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-2.8421709430404007E-13</v>
      </c>
      <c r="EK95" s="17">
        <f>EJ95*VLOOKUP('Données projet'!$B$15,Paramètres!$A$1:$I$89,3,0)*VLOOKUP('Données projet'!$B$15,Paramètres!$A$1:$I$89,5,0)</f>
        <v>-2.2612312022829427E-13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416.63597645452791</v>
      </c>
      <c r="EP95" s="59">
        <f t="shared" si="100"/>
        <v>402.05920382353497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141.7089274509288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141.7089274509288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67.651320534617042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>
        <f>FE95*VLOOKUP('Données projet'!$B$16,Paramètres!$A$1:$I$89,3,0)*VLOOKUP('Données projet'!$B$16,Paramètres!$A$1:$I$89,5,0)</f>
        <v>0</v>
      </c>
      <c r="FG95" s="13" t="e">
        <f t="shared" si="101"/>
        <v>#NUM!</v>
      </c>
      <c r="FH95" s="20" t="e">
        <f t="shared" si="76"/>
        <v>#NUM!</v>
      </c>
      <c r="FI95" s="59" t="e">
        <f t="shared" si="77"/>
        <v>#NUM!</v>
      </c>
      <c r="FJ95" s="59">
        <f ca="1">AVERAGE(OFFSET($FI$3,0,0,'Données projet'!$E$16+1,1))-AVERAGE(OFFSET($H$3,0,0,'Données projet'!$E$16+1,1))</f>
        <v>395.57130469647603</v>
      </c>
      <c r="FK95" s="59">
        <f t="shared" si="102"/>
        <v>383.97542781562674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134.42539032428772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134.42539032428772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67.651320534617042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>
        <f>FZ95*VLOOKUP('Données projet'!$B$17,Paramètres!$A$1:$I$89,3,0)*VLOOKUP('Données projet'!$B$17,Paramètres!$A$1:$I$89,5,0)</f>
        <v>0</v>
      </c>
      <c r="GB95" s="13" t="e">
        <f t="shared" si="103"/>
        <v>#NUM!</v>
      </c>
      <c r="GC95" s="20" t="e">
        <f t="shared" si="79"/>
        <v>#NUM!</v>
      </c>
      <c r="GD95" s="59" t="e">
        <f t="shared" si="80"/>
        <v>#NUM!</v>
      </c>
      <c r="GE95" s="59">
        <f ca="1">AVERAGE(OFFSET($GD$3,0,0,'Données projet'!$E$17+1,1))-AVERAGE(OFFSET($H$3,0,0,'Données projet'!$E$17+1,1))</f>
        <v>301.74744407733351</v>
      </c>
      <c r="GF95" s="59">
        <f t="shared" si="104"/>
        <v>292.46787700966991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69.820559937797853</v>
      </c>
      <c r="GM95" s="21">
        <f>EXP(-LN(2)/25)*GM94+(1-EXP(-LN(2)/25))/(LN(2)/25)*Calculateur!GH95*Calculateur!GJ95*VLOOKUP('Données projet'!$B$17,Paramètres!$A$1:$I$89,3,0)*0.475*44/12</f>
        <v>0</v>
      </c>
      <c r="GN95" s="21">
        <f>EXP(-LN(2)/2)*GN94+(1-EXP(-LN(2)/2))/(LN(2)/2)*GH95*GK95*VLOOKUP('Données projet'!$B$17,Paramètres!$A$1:$I$89,3,0)*0.475*44/12</f>
        <v>0</v>
      </c>
      <c r="GO95" s="21">
        <f t="shared" si="81"/>
        <v>69.820559937797853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67.651320534617042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-2.8421709430404007E-13</v>
      </c>
      <c r="GV95" s="17">
        <f>GU95*VLOOKUP('Données projet'!$B$18,Paramètres!$A$1:$I$89,3,0)*VLOOKUP('Données projet'!$B$18,Paramètres!$A$1:$I$89,5,0)</f>
        <v>-1.6848389350343495E-13</v>
      </c>
      <c r="GW95" s="13" t="e">
        <f t="shared" si="105"/>
        <v>#NUM!</v>
      </c>
      <c r="GX95" s="20" t="e">
        <f t="shared" si="82"/>
        <v>#NUM!</v>
      </c>
      <c r="GY95" s="59" t="e">
        <f t="shared" si="83"/>
        <v>#NUM!</v>
      </c>
      <c r="GZ95" s="59">
        <f ca="1">AVERAGE(OFFSET($GY$3,0,0,'Données projet'!$E$18+1,1))-AVERAGE(OFFSET($H$3,0,0,'Données projet'!$E$18+1,1))</f>
        <v>322.78672881269978</v>
      </c>
      <c r="HA95" s="59">
        <f t="shared" si="106"/>
        <v>313.08736327626434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112.02321458409821</v>
      </c>
      <c r="HH95" s="21">
        <f>EXP(-LN(2)/25)*HH94+(1-EXP(-LN(2)/25))/(LN(2)/25)*Calculateur!HC95*Calculateur!HE95*VLOOKUP('Données projet'!$B$18,Paramètres!$A$1:$I$89,3,0)*0.475*44/12</f>
        <v>0</v>
      </c>
      <c r="HI95" s="21">
        <f>EXP(-LN(2)/2)*HI94+(1-EXP(-LN(2)/2))/(LN(2)/2)*HC95*HF95*VLOOKUP('Données projet'!$B$18,Paramètres!$A$1:$I$89,3,0)*0.475*44/12</f>
        <v>0</v>
      </c>
      <c r="HJ95" s="22">
        <f t="shared" si="84"/>
        <v>112.02321458409821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2.3499999999999996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8.6166666666666654</v>
      </c>
      <c r="H96" s="67">
        <f t="shared" si="56"/>
        <v>222.20000000000002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67.692064872480785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6</v>
      </c>
      <c r="N96" s="13">
        <f>IF('Données projet'!$A$36&gt;35,N95+M96-V95,IF(A96&lt;'Données projet'!$A$36,$K$205^A96,IF(A96='Données projet'!$A$36,'Données projet'!$B$36,N95+M96-V95)))</f>
        <v>320.00000000000017</v>
      </c>
      <c r="O96" s="13">
        <f>N96*VLOOKUP('Données projet'!$B$9,Paramètres!$A$1:$I$89,3,0)*VLOOKUP('Données projet'!$B$9,Paramètres!$A$1:$I$89,5,0)</f>
        <v>289.53600000000012</v>
      </c>
      <c r="P96" s="13">
        <f t="shared" si="87"/>
        <v>68.978295099044416</v>
      </c>
      <c r="Q96" s="20">
        <f t="shared" si="54"/>
        <v>624.41239729750248</v>
      </c>
      <c r="R96" s="59">
        <f t="shared" si="55"/>
        <v>909.28330182993204</v>
      </c>
      <c r="S96" s="59">
        <f ca="1">AVERAGE(OFFSET($R$3,0,0,'Données projet'!$E$9+1,1))-AVERAGE(OFFSET($H$3,0,0,'Données projet'!$E$9+1,1))</f>
        <v>473.88815717313474</v>
      </c>
      <c r="T96" s="59">
        <f t="shared" si="88"/>
        <v>287.19790203552895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39.797684728825303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39.797684728825303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67.692064872480785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6</v>
      </c>
      <c r="AI96" s="13">
        <f>IF('Données projet'!$A$62&gt;35,AI95+AH96-AQ95,IF(A96&lt;'Données projet'!$A$62,$AF$205^A96,IF(A96='Données projet'!$A$62,'Données projet'!$B$62,AI95+AH96-AQ95)))</f>
        <v>320.00000000000017</v>
      </c>
      <c r="AJ96" s="13">
        <f>AI96*VLOOKUP('Données projet'!$B$10,Paramètres!$A$1:$I$89,3,0)*VLOOKUP('Données projet'!$B$10,Paramètres!$A$1:$I$89,5,0)</f>
        <v>269.56800000000015</v>
      </c>
      <c r="AK96" s="13">
        <f t="shared" si="89"/>
        <v>64.757579442439919</v>
      </c>
      <c r="AL96" s="20">
        <f t="shared" si="58"/>
        <v>582.28371752891633</v>
      </c>
      <c r="AM96" s="59">
        <f t="shared" si="59"/>
        <v>867.15462206134589</v>
      </c>
      <c r="AN96" s="59">
        <f ca="1">AVERAGE(OFFSET($AM$3,0,0,'Données projet'!$E$10+1,1))-AVERAGE(OFFSET($H$3,0,0,'Données projet'!$E$10+1,1))</f>
        <v>445.19118535527258</v>
      </c>
      <c r="AO96" s="59">
        <f t="shared" si="90"/>
        <v>270.93483242839363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37.053016816492537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37.053016816492537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67.692064872480785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6</v>
      </c>
      <c r="BD96" s="12">
        <f>IF('Données projet'!$A$88&gt;35,BD95+BC96-BL95,IF(A96&lt;'Données projet'!$A$88,$BA$205^A96,IF(A96='Données projet'!$A$88,'Données projet'!$B$88,BD95+BC96-BL95)))</f>
        <v>320.00000000000017</v>
      </c>
      <c r="BE96" s="13">
        <f>BD96*VLOOKUP('Données projet'!$B$11,Paramètres!$A$1:$I$89,3,0)*VLOOKUP('Données projet'!$B$11,Paramètres!$A$1:$I$89,5,0)</f>
        <v>324.48000000000019</v>
      </c>
      <c r="BF96" s="13">
        <f t="shared" si="91"/>
        <v>76.284749200165578</v>
      </c>
      <c r="BG96" s="20">
        <f t="shared" si="61"/>
        <v>697.99860485695535</v>
      </c>
      <c r="BH96" s="59">
        <f t="shared" si="62"/>
        <v>982.8695093893848</v>
      </c>
      <c r="BI96" s="59">
        <f ca="1">AVERAGE(OFFSET($BH$3,0,0,'Données projet'!$E$11+1,1))-AVERAGE(OFFSET($H$3,0,0,'Données projet'!$E$11+1,1))</f>
        <v>524.01140973345832</v>
      </c>
      <c r="BJ96" s="59">
        <f t="shared" si="92"/>
        <v>315.59942237999621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44.600853575407669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44.600853575407669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67.692064872480785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-2.8421709430404007E-13</v>
      </c>
      <c r="BZ96" s="13">
        <f>BY96*VLOOKUP('Données projet'!$B$12,Paramètres!$A$1:$I$89,3,0)*VLOOKUP('Données projet'!$B$12,Paramètres!$A$1:$I$89,5,0)</f>
        <v>-1.9065282685915009E-13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358.95222991910504</v>
      </c>
      <c r="CE96" s="59">
        <f t="shared" si="94"/>
        <v>347.37506646970905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109.77833815260864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109.77833815260864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67.692064872480785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-2.8421709430404007E-13</v>
      </c>
      <c r="CU96" s="17">
        <f>CT96*VLOOKUP('Données projet'!$B$13,Paramètres!$A$1:$I$89,3,0)*VLOOKUP('Données projet'!$B$13,Paramètres!$A$1:$I$89,5,0)</f>
        <v>-1.8621904018800707E-13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351.7266381615546</v>
      </c>
      <c r="CZ96" s="59">
        <f t="shared" si="96"/>
        <v>340.52483243761799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92.82566181370855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92.82566181370855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67.692064872480785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8.6</v>
      </c>
      <c r="DO96" s="12">
        <f>IF('Données projet'!$A$166&gt;35,DO95+DN96-DW95,IF(A96&lt;'Données projet'!$A$166,$DL$205^A96,IF(A96='Données projet'!$A$166,'Données projet'!$B$166,DO95+DN96-DW95)))</f>
        <v>445.8</v>
      </c>
      <c r="DP96" s="17">
        <f>DO96*VLOOKUP('Données projet'!$B$14,Paramètres!$A$1:$I$89,3,0)*VLOOKUP('Données projet'!$B$14,Paramètres!$A$1:$I$89,5,0)</f>
        <v>382.49640000000005</v>
      </c>
      <c r="DQ96" s="13">
        <f t="shared" si="97"/>
        <v>88.218890823541386</v>
      </c>
      <c r="DR96" s="20">
        <f t="shared" si="70"/>
        <v>819.82913151766786</v>
      </c>
      <c r="DS96" s="59">
        <f t="shared" si="71"/>
        <v>1104.7000360500974</v>
      </c>
      <c r="DT96" s="59">
        <f ca="1">AVERAGE(OFFSET($DS$3,0,0,'Données projet'!$E$14+1,1))-AVERAGE(OFFSET($H$3,0,0,'Données projet'!$E$14+1,1))</f>
        <v>569.21675741362196</v>
      </c>
      <c r="DU96" s="59">
        <f t="shared" si="98"/>
        <v>321.12410801891679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53.474478357620036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53.474478357620036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67.692064872480785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-2.8421709430404007E-13</v>
      </c>
      <c r="EK96" s="17">
        <f>EJ96*VLOOKUP('Données projet'!$B$15,Paramètres!$A$1:$I$89,3,0)*VLOOKUP('Données projet'!$B$15,Paramètres!$A$1:$I$89,5,0)</f>
        <v>-2.2612312022829427E-13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416.63597645452791</v>
      </c>
      <c r="EP96" s="59">
        <f t="shared" si="100"/>
        <v>402.05920382353497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138.9301018175272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138.9301018175272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67.692064872480785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>
        <f>FE96*VLOOKUP('Données projet'!$B$16,Paramètres!$A$1:$I$89,3,0)*VLOOKUP('Données projet'!$B$16,Paramètres!$A$1:$I$89,5,0)</f>
        <v>0</v>
      </c>
      <c r="FG96" s="13" t="e">
        <f t="shared" si="101"/>
        <v>#NUM!</v>
      </c>
      <c r="FH96" s="20" t="e">
        <f t="shared" si="76"/>
        <v>#NUM!</v>
      </c>
      <c r="FI96" s="59" t="e">
        <f t="shared" si="77"/>
        <v>#NUM!</v>
      </c>
      <c r="FJ96" s="59">
        <f ca="1">AVERAGE(OFFSET($FI$3,0,0,'Données projet'!$E$16+1,1))-AVERAGE(OFFSET($H$3,0,0,'Données projet'!$E$16+1,1))</f>
        <v>395.57130469647603</v>
      </c>
      <c r="FK96" s="59">
        <f t="shared" si="102"/>
        <v>383.97542781562674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131.78939041142056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131.78939041142056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67.692064872480785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>
        <f>FZ96*VLOOKUP('Données projet'!$B$17,Paramètres!$A$1:$I$89,3,0)*VLOOKUP('Données projet'!$B$17,Paramètres!$A$1:$I$89,5,0)</f>
        <v>0</v>
      </c>
      <c r="GB96" s="13" t="e">
        <f t="shared" si="103"/>
        <v>#NUM!</v>
      </c>
      <c r="GC96" s="20" t="e">
        <f t="shared" si="79"/>
        <v>#NUM!</v>
      </c>
      <c r="GD96" s="59" t="e">
        <f t="shared" si="80"/>
        <v>#NUM!</v>
      </c>
      <c r="GE96" s="59">
        <f ca="1">AVERAGE(OFFSET($GD$3,0,0,'Données projet'!$E$17+1,1))-AVERAGE(OFFSET($H$3,0,0,'Données projet'!$E$17+1,1))</f>
        <v>301.74744407733351</v>
      </c>
      <c r="GF96" s="59">
        <f t="shared" si="104"/>
        <v>292.46787700966991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68.451421343754149</v>
      </c>
      <c r="GM96" s="21">
        <f>EXP(-LN(2)/25)*GM95+(1-EXP(-LN(2)/25))/(LN(2)/25)*Calculateur!GH96*Calculateur!GJ96*VLOOKUP('Données projet'!$B$17,Paramètres!$A$1:$I$89,3,0)*0.475*44/12</f>
        <v>0</v>
      </c>
      <c r="GN96" s="21">
        <f>EXP(-LN(2)/2)*GN95+(1-EXP(-LN(2)/2))/(LN(2)/2)*GH96*GK96*VLOOKUP('Données projet'!$B$17,Paramètres!$A$1:$I$89,3,0)*0.475*44/12</f>
        <v>0</v>
      </c>
      <c r="GO96" s="21">
        <f t="shared" si="81"/>
        <v>68.451421343754149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67.692064872480785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-2.8421709430404007E-13</v>
      </c>
      <c r="GV96" s="17">
        <f>GU96*VLOOKUP('Données projet'!$B$18,Paramètres!$A$1:$I$89,3,0)*VLOOKUP('Données projet'!$B$18,Paramètres!$A$1:$I$89,5,0)</f>
        <v>-1.6848389350343495E-13</v>
      </c>
      <c r="GW96" s="13" t="e">
        <f t="shared" si="105"/>
        <v>#NUM!</v>
      </c>
      <c r="GX96" s="20" t="e">
        <f t="shared" si="82"/>
        <v>#NUM!</v>
      </c>
      <c r="GY96" s="59" t="e">
        <f t="shared" si="83"/>
        <v>#NUM!</v>
      </c>
      <c r="GZ96" s="59">
        <f ca="1">AVERAGE(OFFSET($GY$3,0,0,'Données projet'!$E$18+1,1))-AVERAGE(OFFSET($H$3,0,0,'Données projet'!$E$18+1,1))</f>
        <v>322.78672881269978</v>
      </c>
      <c r="HA96" s="59">
        <f t="shared" si="106"/>
        <v>313.08736327626434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109.82650767351817</v>
      </c>
      <c r="HH96" s="21">
        <f>EXP(-LN(2)/25)*HH95+(1-EXP(-LN(2)/25))/(LN(2)/25)*Calculateur!HC96*Calculateur!HE96*VLOOKUP('Données projet'!$B$18,Paramètres!$A$1:$I$89,3,0)*0.475*44/12</f>
        <v>0</v>
      </c>
      <c r="HI96" s="21">
        <f>EXP(-LN(2)/2)*HI95+(1-EXP(-LN(2)/2))/(LN(2)/2)*HC96*HF96*VLOOKUP('Données projet'!$B$18,Paramètres!$A$1:$I$89,3,0)*0.475*44/12</f>
        <v>0</v>
      </c>
      <c r="HJ96" s="22">
        <f t="shared" si="84"/>
        <v>109.82650767351817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2.3499999999999996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8.6166666666666654</v>
      </c>
      <c r="H97" s="67">
        <f t="shared" si="56"/>
        <v>222.20000000000002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67.732102387173299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6</v>
      </c>
      <c r="N97" s="13">
        <f>IF('Données projet'!$A$36&gt;35,N96+M97-V96,IF(A97&lt;'Données projet'!$A$36,$K$205^A97,IF(A97='Données projet'!$A$36,'Données projet'!$B$36,N96+M97-V96)))</f>
        <v>326.00000000000017</v>
      </c>
      <c r="O97" s="13">
        <f>N97*VLOOKUP('Données projet'!$B$9,Paramètres!$A$1:$I$89,3,0)*VLOOKUP('Données projet'!$B$9,Paramètres!$A$1:$I$89,5,0)</f>
        <v>294.96480000000014</v>
      </c>
      <c r="P97" s="13">
        <f t="shared" si="87"/>
        <v>70.119854541045058</v>
      </c>
      <c r="Q97" s="20">
        <f t="shared" si="54"/>
        <v>635.85577332565367</v>
      </c>
      <c r="R97" s="59">
        <f t="shared" si="55"/>
        <v>920.87348207862237</v>
      </c>
      <c r="S97" s="59">
        <f ca="1">AVERAGE(OFFSET($R$3,0,0,'Données projet'!$E$9+1,1))-AVERAGE(OFFSET($H$3,0,0,'Données projet'!$E$9+1,1))</f>
        <v>473.88815717313474</v>
      </c>
      <c r="T97" s="59">
        <f t="shared" si="88"/>
        <v>287.19790203552895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39.017276405483848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39.017276405483848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67.732102387173299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6</v>
      </c>
      <c r="AI97" s="13">
        <f>IF('Données projet'!$A$62&gt;35,AI96+AH97-AQ96,IF(A97&lt;'Données projet'!$A$62,$AF$205^A97,IF(A97='Données projet'!$A$62,'Données projet'!$B$62,AI96+AH97-AQ96)))</f>
        <v>326.00000000000017</v>
      </c>
      <c r="AJ97" s="13">
        <f>AI97*VLOOKUP('Données projet'!$B$10,Paramètres!$A$1:$I$89,3,0)*VLOOKUP('Données projet'!$B$10,Paramètres!$A$1:$I$89,5,0)</f>
        <v>274.6224000000002</v>
      </c>
      <c r="AK97" s="13">
        <f t="shared" si="89"/>
        <v>65.829287958103762</v>
      </c>
      <c r="AL97" s="20">
        <f t="shared" si="58"/>
        <v>592.95335652703091</v>
      </c>
      <c r="AM97" s="59">
        <f t="shared" si="59"/>
        <v>877.97106527999972</v>
      </c>
      <c r="AN97" s="59">
        <f ca="1">AVERAGE(OFFSET($AM$3,0,0,'Données projet'!$E$10+1,1))-AVERAGE(OFFSET($H$3,0,0,'Données projet'!$E$10+1,1))</f>
        <v>445.19118535527258</v>
      </c>
      <c r="AO97" s="59">
        <f t="shared" si="90"/>
        <v>270.93483242839363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36.326429756829803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36.326429756829803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67.732102387173299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6</v>
      </c>
      <c r="BD97" s="12">
        <f>IF('Données projet'!$A$88&gt;35,BD96+BC97-BL96,IF(A97&lt;'Données projet'!$A$88,$BA$205^A97,IF(A97='Données projet'!$A$88,'Données projet'!$B$88,BD96+BC97-BL96)))</f>
        <v>326.00000000000017</v>
      </c>
      <c r="BE97" s="13">
        <f>BD97*VLOOKUP('Données projet'!$B$11,Paramètres!$A$1:$I$89,3,0)*VLOOKUP('Données projet'!$B$11,Paramètres!$A$1:$I$89,5,0)</f>
        <v>330.56400000000019</v>
      </c>
      <c r="BF97" s="13">
        <f t="shared" si="91"/>
        <v>77.547227137682924</v>
      </c>
      <c r="BG97" s="20">
        <f t="shared" si="61"/>
        <v>710.79372059813147</v>
      </c>
      <c r="BH97" s="59">
        <f t="shared" si="62"/>
        <v>995.81142935110029</v>
      </c>
      <c r="BI97" s="59">
        <f ca="1">AVERAGE(OFFSET($BH$3,0,0,'Données projet'!$E$11+1,1))-AVERAGE(OFFSET($H$3,0,0,'Données projet'!$E$11+1,1))</f>
        <v>524.01140973345832</v>
      </c>
      <c r="BJ97" s="59">
        <f t="shared" si="92"/>
        <v>315.59942237999621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43.726258040628451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43.726258040628451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67.732102387173299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-2.8421709430404007E-13</v>
      </c>
      <c r="BZ97" s="13">
        <f>BY97*VLOOKUP('Données projet'!$B$12,Paramètres!$A$1:$I$89,3,0)*VLOOKUP('Données projet'!$B$12,Paramètres!$A$1:$I$89,5,0)</f>
        <v>-1.9065282685915009E-13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358.95222991910504</v>
      </c>
      <c r="CE97" s="59">
        <f t="shared" si="94"/>
        <v>347.37506646970905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107.62565189961069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107.62565189961069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67.732102387173299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-2.8421709430404007E-13</v>
      </c>
      <c r="CU97" s="17">
        <f>CT97*VLOOKUP('Données projet'!$B$13,Paramètres!$A$1:$I$89,3,0)*VLOOKUP('Données projet'!$B$13,Paramètres!$A$1:$I$89,5,0)</f>
        <v>-1.8621904018800707E-13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351.7266381615546</v>
      </c>
      <c r="CZ97" s="59">
        <f t="shared" si="96"/>
        <v>340.52483243761799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91.005407203604861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91.005407203604861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67.732102387173299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8.6</v>
      </c>
      <c r="DO97" s="12">
        <f>IF('Données projet'!$A$166&gt;35,DO96+DN97-DW96,IF(A97&lt;'Données projet'!$A$166,$DL$205^A97,IF(A97='Données projet'!$A$166,'Données projet'!$B$166,DO96+DN97-DW96)))</f>
        <v>454.40000000000003</v>
      </c>
      <c r="DP97" s="17">
        <f>DO97*VLOOKUP('Données projet'!$B$14,Paramètres!$A$1:$I$89,3,0)*VLOOKUP('Données projet'!$B$14,Paramètres!$A$1:$I$89,5,0)</f>
        <v>389.87520000000006</v>
      </c>
      <c r="DQ97" s="13">
        <f t="shared" si="97"/>
        <v>89.720964655579479</v>
      </c>
      <c r="DR97" s="20">
        <f t="shared" si="70"/>
        <v>835.29665344180091</v>
      </c>
      <c r="DS97" s="59">
        <f t="shared" si="71"/>
        <v>1120.3143621947697</v>
      </c>
      <c r="DT97" s="59">
        <f ca="1">AVERAGE(OFFSET($DS$3,0,0,'Données projet'!$E$14+1,1))-AVERAGE(OFFSET($H$3,0,0,'Données projet'!$E$14+1,1))</f>
        <v>569.21675741362196</v>
      </c>
      <c r="DU97" s="59">
        <f t="shared" si="98"/>
        <v>321.12410801891679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52.425876453238324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52.425876453238324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67.732102387173299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-2.8421709430404007E-13</v>
      </c>
      <c r="EK97" s="17">
        <f>EJ97*VLOOKUP('Données projet'!$B$15,Paramètres!$A$1:$I$89,3,0)*VLOOKUP('Données projet'!$B$15,Paramètres!$A$1:$I$89,5,0)</f>
        <v>-2.2612312022829427E-13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416.63597645452791</v>
      </c>
      <c r="EP97" s="59">
        <f t="shared" si="100"/>
        <v>402.05920382353497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136.20576725988033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136.20576725988033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67.732102387173299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>
        <f>FE97*VLOOKUP('Données projet'!$B$16,Paramètres!$A$1:$I$89,3,0)*VLOOKUP('Données projet'!$B$16,Paramètres!$A$1:$I$89,5,0)</f>
        <v>0</v>
      </c>
      <c r="FG97" s="13" t="e">
        <f t="shared" si="101"/>
        <v>#NUM!</v>
      </c>
      <c r="FH97" s="20" t="e">
        <f t="shared" si="76"/>
        <v>#NUM!</v>
      </c>
      <c r="FI97" s="59" t="e">
        <f t="shared" si="77"/>
        <v>#NUM!</v>
      </c>
      <c r="FJ97" s="59">
        <f ca="1">AVERAGE(OFFSET($FI$3,0,0,'Données projet'!$E$16+1,1))-AVERAGE(OFFSET($H$3,0,0,'Données projet'!$E$16+1,1))</f>
        <v>395.57130469647603</v>
      </c>
      <c r="FK97" s="59">
        <f t="shared" si="102"/>
        <v>383.97542781562674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129.20508084904353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129.20508084904353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67.732102387173299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>
        <f>FZ97*VLOOKUP('Données projet'!$B$17,Paramètres!$A$1:$I$89,3,0)*VLOOKUP('Données projet'!$B$17,Paramètres!$A$1:$I$89,5,0)</f>
        <v>0</v>
      </c>
      <c r="GB97" s="13" t="e">
        <f t="shared" si="103"/>
        <v>#NUM!</v>
      </c>
      <c r="GC97" s="20" t="e">
        <f t="shared" si="79"/>
        <v>#NUM!</v>
      </c>
      <c r="GD97" s="59" t="e">
        <f t="shared" si="80"/>
        <v>#NUM!</v>
      </c>
      <c r="GE97" s="59">
        <f ca="1">AVERAGE(OFFSET($GD$3,0,0,'Données projet'!$E$17+1,1))-AVERAGE(OFFSET($H$3,0,0,'Données projet'!$E$17+1,1))</f>
        <v>301.74744407733351</v>
      </c>
      <c r="GF97" s="59">
        <f t="shared" si="104"/>
        <v>292.46787700966991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67.10913072244756</v>
      </c>
      <c r="GM97" s="21">
        <f>EXP(-LN(2)/25)*GM96+(1-EXP(-LN(2)/25))/(LN(2)/25)*Calculateur!GH97*Calculateur!GJ97*VLOOKUP('Données projet'!$B$17,Paramètres!$A$1:$I$89,3,0)*0.475*44/12</f>
        <v>0</v>
      </c>
      <c r="GN97" s="21">
        <f>EXP(-LN(2)/2)*GN96+(1-EXP(-LN(2)/2))/(LN(2)/2)*GH97*GK97*VLOOKUP('Données projet'!$B$17,Paramètres!$A$1:$I$89,3,0)*0.475*44/12</f>
        <v>0</v>
      </c>
      <c r="GO97" s="21">
        <f t="shared" si="81"/>
        <v>67.10913072244756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67.732102387173299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-2.8421709430404007E-13</v>
      </c>
      <c r="GV97" s="17">
        <f>GU97*VLOOKUP('Données projet'!$B$18,Paramètres!$A$1:$I$89,3,0)*VLOOKUP('Données projet'!$B$18,Paramètres!$A$1:$I$89,5,0)</f>
        <v>-1.6848389350343495E-13</v>
      </c>
      <c r="GW97" s="13" t="e">
        <f t="shared" si="105"/>
        <v>#NUM!</v>
      </c>
      <c r="GX97" s="20" t="e">
        <f t="shared" si="82"/>
        <v>#NUM!</v>
      </c>
      <c r="GY97" s="59" t="e">
        <f t="shared" si="83"/>
        <v>#NUM!</v>
      </c>
      <c r="GZ97" s="59">
        <f ca="1">AVERAGE(OFFSET($GY$3,0,0,'Données projet'!$E$18+1,1))-AVERAGE(OFFSET($H$3,0,0,'Données projet'!$E$18+1,1))</f>
        <v>322.78672881269978</v>
      </c>
      <c r="HA97" s="59">
        <f t="shared" si="106"/>
        <v>313.08736327626434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107.67287684559568</v>
      </c>
      <c r="HH97" s="21">
        <f>EXP(-LN(2)/25)*HH96+(1-EXP(-LN(2)/25))/(LN(2)/25)*Calculateur!HC97*Calculateur!HE97*VLOOKUP('Données projet'!$B$18,Paramètres!$A$1:$I$89,3,0)*0.475*44/12</f>
        <v>0</v>
      </c>
      <c r="HI97" s="21">
        <f>EXP(-LN(2)/2)*HI96+(1-EXP(-LN(2)/2))/(LN(2)/2)*HC97*HF97*VLOOKUP('Données projet'!$B$18,Paramètres!$A$1:$I$89,3,0)*0.475*44/12</f>
        <v>0</v>
      </c>
      <c r="HJ97" s="22">
        <f t="shared" si="84"/>
        <v>107.67287684559568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2.3499999999999996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8.6166666666666654</v>
      </c>
      <c r="H98" s="67">
        <f t="shared" si="56"/>
        <v>222.20000000000002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67.771445340496356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6</v>
      </c>
      <c r="N98" s="13">
        <f>IF('Données projet'!$A$36&gt;35,N97+M98-V97,IF(A98&lt;'Données projet'!$A$36,$K$205^A98,IF(A98='Données projet'!$A$36,'Données projet'!$B$36,N97+M98-V97)))</f>
        <v>332.00000000000017</v>
      </c>
      <c r="O98" s="13">
        <f>N98*VLOOKUP('Données projet'!$B$9,Paramètres!$A$1:$I$89,3,0)*VLOOKUP('Données projet'!$B$9,Paramètres!$A$1:$I$89,5,0)</f>
        <v>300.39360000000016</v>
      </c>
      <c r="P98" s="13">
        <f t="shared" si="87"/>
        <v>71.258970856492738</v>
      </c>
      <c r="Q98" s="20">
        <f t="shared" si="54"/>
        <v>647.29489424172516</v>
      </c>
      <c r="R98" s="59">
        <f t="shared" si="55"/>
        <v>932.45686049021174</v>
      </c>
      <c r="S98" s="59">
        <f ca="1">AVERAGE(OFFSET($R$3,0,0,'Données projet'!$E$9+1,1))-AVERAGE(OFFSET($H$3,0,0,'Données projet'!$E$9+1,1))</f>
        <v>473.88815717313474</v>
      </c>
      <c r="T98" s="59">
        <f t="shared" si="88"/>
        <v>287.19790203552895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38.25217141336104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38.25217141336104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67.771445340496356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6</v>
      </c>
      <c r="AI98" s="13">
        <f>IF('Données projet'!$A$62&gt;35,AI97+AH98-AQ97,IF(A98&lt;'Données projet'!$A$62,$AF$205^A98,IF(A98='Données projet'!$A$62,'Données projet'!$B$62,AI97+AH98-AQ97)))</f>
        <v>332.00000000000017</v>
      </c>
      <c r="AJ98" s="13">
        <f>AI98*VLOOKUP('Données projet'!$B$10,Paramètres!$A$1:$I$89,3,0)*VLOOKUP('Données projet'!$B$10,Paramètres!$A$1:$I$89,5,0)</f>
        <v>279.67680000000018</v>
      </c>
      <c r="AK98" s="13">
        <f t="shared" si="89"/>
        <v>66.898702839783098</v>
      </c>
      <c r="AL98" s="20">
        <f t="shared" si="58"/>
        <v>603.61900077928919</v>
      </c>
      <c r="AM98" s="59">
        <f t="shared" si="59"/>
        <v>888.78096702777589</v>
      </c>
      <c r="AN98" s="59">
        <f ca="1">AVERAGE(OFFSET($AM$3,0,0,'Données projet'!$E$10+1,1))-AVERAGE(OFFSET($H$3,0,0,'Données projet'!$E$10+1,1))</f>
        <v>445.19118535527258</v>
      </c>
      <c r="AO98" s="59">
        <f t="shared" si="90"/>
        <v>270.93483242839363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35.614090626232709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35.614090626232709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67.771445340496356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6</v>
      </c>
      <c r="BD98" s="12">
        <f>IF('Données projet'!$A$88&gt;35,BD97+BC98-BL97,IF(A98&lt;'Données projet'!$A$88,$BA$205^A98,IF(A98='Données projet'!$A$88,'Données projet'!$B$88,BD97+BC98-BL97)))</f>
        <v>332.00000000000017</v>
      </c>
      <c r="BE98" s="13">
        <f>BD98*VLOOKUP('Données projet'!$B$11,Paramètres!$A$1:$I$89,3,0)*VLOOKUP('Données projet'!$B$11,Paramètres!$A$1:$I$89,5,0)</f>
        <v>336.6480000000002</v>
      </c>
      <c r="BF98" s="13">
        <f t="shared" si="91"/>
        <v>78.807003163010378</v>
      </c>
      <c r="BG98" s="20">
        <f t="shared" si="61"/>
        <v>723.58413050891011</v>
      </c>
      <c r="BH98" s="59">
        <f t="shared" si="62"/>
        <v>1008.7460967573968</v>
      </c>
      <c r="BI98" s="59">
        <f ca="1">AVERAGE(OFFSET($BH$3,0,0,'Données projet'!$E$11+1,1))-AVERAGE(OFFSET($H$3,0,0,'Données projet'!$E$11+1,1))</f>
        <v>524.01140973345832</v>
      </c>
      <c r="BJ98" s="59">
        <f t="shared" si="92"/>
        <v>315.59942237999621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42.868812790835648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42.868812790835648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67.771445340496356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-2.8421709430404007E-13</v>
      </c>
      <c r="BZ98" s="13">
        <f>BY98*VLOOKUP('Données projet'!$B$12,Paramètres!$A$1:$I$89,3,0)*VLOOKUP('Données projet'!$B$12,Paramètres!$A$1:$I$89,5,0)</f>
        <v>-1.9065282685915009E-13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358.95222991910504</v>
      </c>
      <c r="CE98" s="59">
        <f t="shared" si="94"/>
        <v>347.37506646970905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105.51517851102506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105.51517851102506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67.771445340496356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-2.8421709430404007E-13</v>
      </c>
      <c r="CU98" s="17">
        <f>CT98*VLOOKUP('Données projet'!$B$13,Paramètres!$A$1:$I$89,3,0)*VLOOKUP('Données projet'!$B$13,Paramètres!$A$1:$I$89,5,0)</f>
        <v>-1.8621904018800707E-13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351.7266381615546</v>
      </c>
      <c r="CZ98" s="59">
        <f t="shared" si="96"/>
        <v>340.52483243761799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89.220846676159624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89.220846676159624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67.771445340496356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>
        <f>VLOOKUP(A98,'Données projet'!$A$165:$I$185,2,0)</f>
        <v>463</v>
      </c>
      <c r="DM98" s="12">
        <f>VLOOKUP(A98,'Données projet'!$A$165:$I$185,9,0)</f>
        <v>8.6</v>
      </c>
      <c r="DN98" s="12">
        <f t="array" ref="DN98">INDEX(DM:DM,MIN(IF(ISNUMBER(DM98:DM294),ROW(DM98:DM294),"")))</f>
        <v>8.6</v>
      </c>
      <c r="DO98" s="12">
        <f>IF('Données projet'!$A$166&gt;35,DO97+DN98-DW97,IF(A98&lt;'Données projet'!$A$166,$DL$205^A98,IF(A98='Données projet'!$A$166,'Données projet'!$B$166,DO97+DN98-DW97)))</f>
        <v>463.00000000000006</v>
      </c>
      <c r="DP98" s="17">
        <f>DO98*VLOOKUP('Données projet'!$B$14,Paramètres!$A$1:$I$89,3,0)*VLOOKUP('Données projet'!$B$14,Paramètres!$A$1:$I$89,5,0)</f>
        <v>397.25400000000013</v>
      </c>
      <c r="DQ98" s="13">
        <f t="shared" si="97"/>
        <v>91.219732863167494</v>
      </c>
      <c r="DR98" s="20">
        <f t="shared" si="70"/>
        <v>850.75841807001689</v>
      </c>
      <c r="DS98" s="59">
        <f t="shared" si="71"/>
        <v>1135.9203843185035</v>
      </c>
      <c r="DT98" s="59">
        <f ca="1">AVERAGE(OFFSET($DS$3,0,0,'Données projet'!$E$14+1,1))-AVERAGE(OFFSET($H$3,0,0,'Données projet'!$E$14+1,1))</f>
        <v>569.21675741362196</v>
      </c>
      <c r="DU98" s="59">
        <f t="shared" si="98"/>
        <v>321.12410801891679</v>
      </c>
      <c r="DV98" s="15">
        <f>IF(ISNA(VLOOKUP(A98,'Données projet'!$A$165:$I$185,3,0)),0,VLOOKUP(A98,'Données projet'!$A$165:$I$185,3,0))</f>
        <v>16</v>
      </c>
      <c r="DW98" s="15">
        <f>IF(ISNA(VLOOKUP(A98,'Données projet'!$A$165:$I$185,4,0)),0,VLOOKUP(A98,'Données projet'!$A$165:$I$185,4,0))</f>
        <v>30</v>
      </c>
      <c r="DX98" s="16">
        <f>IF(ISNA(VLOOKUP(A98,'Données projet'!$A$165:$I$185,5,0)),0%,VLOOKUP(A98,'Données projet'!$A$165:$I$185,5,0)*VLOOKUP('Données projet'!$B$14,Paramètres!$A$1:$I$89,7,0))</f>
        <v>0.371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61.954570600782617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61.954570600782617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67.771445340496356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-2.8421709430404007E-13</v>
      </c>
      <c r="EK98" s="17">
        <f>EJ98*VLOOKUP('Données projet'!$B$15,Paramètres!$A$1:$I$89,3,0)*VLOOKUP('Données projet'!$B$15,Paramètres!$A$1:$I$89,5,0)</f>
        <v>-2.2612312022829427E-13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416.63597645452791</v>
      </c>
      <c r="EP98" s="59">
        <f t="shared" si="100"/>
        <v>402.05920382353497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133.53485524122891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133.53485524122891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67.771445340496356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>
        <f>FE98*VLOOKUP('Données projet'!$B$16,Paramètres!$A$1:$I$89,3,0)*VLOOKUP('Données projet'!$B$16,Paramètres!$A$1:$I$89,5,0)</f>
        <v>0</v>
      </c>
      <c r="FG98" s="13" t="e">
        <f t="shared" si="101"/>
        <v>#NUM!</v>
      </c>
      <c r="FH98" s="20" t="e">
        <f t="shared" si="76"/>
        <v>#NUM!</v>
      </c>
      <c r="FI98" s="59" t="e">
        <f t="shared" si="77"/>
        <v>#NUM!</v>
      </c>
      <c r="FJ98" s="59">
        <f ca="1">AVERAGE(OFFSET($FI$3,0,0,'Données projet'!$E$16+1,1))-AVERAGE(OFFSET($H$3,0,0,'Données projet'!$E$16+1,1))</f>
        <v>395.57130469647603</v>
      </c>
      <c r="FK98" s="59">
        <f t="shared" si="102"/>
        <v>383.97542781562674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126.67144802091153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126.67144802091153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67.771445340496356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>
        <f>FZ98*VLOOKUP('Données projet'!$B$17,Paramètres!$A$1:$I$89,3,0)*VLOOKUP('Données projet'!$B$17,Paramètres!$A$1:$I$89,5,0)</f>
        <v>0</v>
      </c>
      <c r="GB98" s="13" t="e">
        <f t="shared" si="103"/>
        <v>#NUM!</v>
      </c>
      <c r="GC98" s="20" t="e">
        <f t="shared" si="79"/>
        <v>#NUM!</v>
      </c>
      <c r="GD98" s="59" t="e">
        <f t="shared" si="80"/>
        <v>#NUM!</v>
      </c>
      <c r="GE98" s="59">
        <f ca="1">AVERAGE(OFFSET($GD$3,0,0,'Données projet'!$E$17+1,1))-AVERAGE(OFFSET($H$3,0,0,'Données projet'!$E$17+1,1))</f>
        <v>301.74744407733351</v>
      </c>
      <c r="GF98" s="59">
        <f t="shared" si="104"/>
        <v>292.46787700966991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65.793161601508359</v>
      </c>
      <c r="GM98" s="21">
        <f>EXP(-LN(2)/25)*GM97+(1-EXP(-LN(2)/25))/(LN(2)/25)*Calculateur!GH98*Calculateur!GJ98*VLOOKUP('Données projet'!$B$17,Paramètres!$A$1:$I$89,3,0)*0.475*44/12</f>
        <v>0</v>
      </c>
      <c r="GN98" s="21">
        <f>EXP(-LN(2)/2)*GN97+(1-EXP(-LN(2)/2))/(LN(2)/2)*GH98*GK98*VLOOKUP('Données projet'!$B$17,Paramètres!$A$1:$I$89,3,0)*0.475*44/12</f>
        <v>0</v>
      </c>
      <c r="GO98" s="21">
        <f t="shared" si="81"/>
        <v>65.793161601508359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67.771445340496356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-2.8421709430404007E-13</v>
      </c>
      <c r="GV98" s="17">
        <f>GU98*VLOOKUP('Données projet'!$B$18,Paramètres!$A$1:$I$89,3,0)*VLOOKUP('Données projet'!$B$18,Paramètres!$A$1:$I$89,5,0)</f>
        <v>-1.6848389350343495E-13</v>
      </c>
      <c r="GW98" s="13" t="e">
        <f t="shared" si="105"/>
        <v>#NUM!</v>
      </c>
      <c r="GX98" s="20" t="e">
        <f t="shared" si="82"/>
        <v>#NUM!</v>
      </c>
      <c r="GY98" s="59" t="e">
        <f t="shared" si="83"/>
        <v>#NUM!</v>
      </c>
      <c r="GZ98" s="59">
        <f ca="1">AVERAGE(OFFSET($GY$3,0,0,'Données projet'!$E$18+1,1))-AVERAGE(OFFSET($H$3,0,0,'Données projet'!$E$18+1,1))</f>
        <v>322.78672881269978</v>
      </c>
      <c r="HA98" s="59">
        <f t="shared" si="106"/>
        <v>313.08736327626434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projet'!$B$18,Paramètres!$A$1:$I$89,3,0)*0.475*44/12</f>
        <v>105.56147740462366</v>
      </c>
      <c r="HH98" s="21">
        <f>EXP(-LN(2)/25)*HH97+(1-EXP(-LN(2)/25))/(LN(2)/25)*Calculateur!HC98*Calculateur!HE98*VLOOKUP('Données projet'!$B$18,Paramètres!$A$1:$I$89,3,0)*0.475*44/12</f>
        <v>0</v>
      </c>
      <c r="HI98" s="21">
        <f>EXP(-LN(2)/2)*HI97+(1-EXP(-LN(2)/2))/(LN(2)/2)*HC98*HF98*VLOOKUP('Données projet'!$B$18,Paramètres!$A$1:$I$89,3,0)*0.475*44/12</f>
        <v>0</v>
      </c>
      <c r="HJ98" s="22">
        <f t="shared" si="84"/>
        <v>105.56147740462366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2.3499999999999996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8.6166666666666654</v>
      </c>
      <c r="H99" s="67">
        <f t="shared" si="56"/>
        <v>222.20000000000002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67.810105781536933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6</v>
      </c>
      <c r="N99" s="13">
        <f>IF('Données projet'!$A$36&gt;35,N98+M99-V98,IF(A99&lt;'Données projet'!$A$36,$K$205^A99,IF(A99='Données projet'!$A$36,'Données projet'!$B$36,N98+M99-V98)))</f>
        <v>338.00000000000017</v>
      </c>
      <c r="O99" s="13">
        <f>N99*VLOOKUP('Données projet'!$B$9,Paramètres!$A$1:$I$89,3,0)*VLOOKUP('Données projet'!$B$9,Paramètres!$A$1:$I$89,5,0)</f>
        <v>305.82240000000013</v>
      </c>
      <c r="P99" s="13">
        <f t="shared" si="87"/>
        <v>72.395693291268998</v>
      </c>
      <c r="Q99" s="20">
        <f t="shared" ref="Q99:Q130" si="107">(O99+P99)*0.475*44/12</f>
        <v>658.72984581562707</v>
      </c>
      <c r="R99" s="59">
        <f t="shared" si="55"/>
        <v>944.03356701459575</v>
      </c>
      <c r="S99" s="59">
        <f ca="1">AVERAGE(OFFSET($R$3,0,0,'Données projet'!$E$9+1,1))-AVERAGE(OFFSET($H$3,0,0,'Données projet'!$E$9+1,1))</f>
        <v>473.88815717313474</v>
      </c>
      <c r="T99" s="59">
        <f t="shared" si="88"/>
        <v>287.19790203552895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37.502069663465797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37.502069663465797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67.810105781536933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6</v>
      </c>
      <c r="AI99" s="13">
        <f>IF('Données projet'!$A$62&gt;35,AI98+AH99-AQ98,IF(A99&lt;'Données projet'!$A$62,$AF$205^A99,IF(A99='Données projet'!$A$62,'Données projet'!$B$62,AI98+AH99-AQ98)))</f>
        <v>338.00000000000017</v>
      </c>
      <c r="AJ99" s="13">
        <f>AI99*VLOOKUP('Données projet'!$B$10,Paramètres!$A$1:$I$89,3,0)*VLOOKUP('Données projet'!$B$10,Paramètres!$A$1:$I$89,5,0)</f>
        <v>284.73120000000017</v>
      </c>
      <c r="AK99" s="13">
        <f t="shared" si="89"/>
        <v>67.96587032005101</v>
      </c>
      <c r="AL99" s="20">
        <f t="shared" si="58"/>
        <v>614.2807308074224</v>
      </c>
      <c r="AM99" s="59">
        <f t="shared" si="59"/>
        <v>899.58445200639107</v>
      </c>
      <c r="AN99" s="59">
        <f ca="1">AVERAGE(OFFSET($AM$3,0,0,'Données projet'!$E$10+1,1))-AVERAGE(OFFSET($H$3,0,0,'Données projet'!$E$10+1,1))</f>
        <v>445.19118535527258</v>
      </c>
      <c r="AO99" s="59">
        <f t="shared" si="90"/>
        <v>270.93483242839363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34.915720031502651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34.915720031502651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67.810105781536933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6</v>
      </c>
      <c r="BD99" s="12">
        <f>IF('Données projet'!$A$88&gt;35,BD98+BC99-BL98,IF(A99&lt;'Données projet'!$A$88,$BA$205^A99,IF(A99='Données projet'!$A$88,'Données projet'!$B$88,BD98+BC99-BL98)))</f>
        <v>338.00000000000017</v>
      </c>
      <c r="BE99" s="13">
        <f>BD99*VLOOKUP('Données projet'!$B$11,Paramètres!$A$1:$I$89,3,0)*VLOOKUP('Données projet'!$B$11,Paramètres!$A$1:$I$89,5,0)</f>
        <v>342.7320000000002</v>
      </c>
      <c r="BF99" s="13">
        <f t="shared" si="91"/>
        <v>80.064131738348422</v>
      </c>
      <c r="BG99" s="20">
        <f t="shared" si="61"/>
        <v>736.36992944429039</v>
      </c>
      <c r="BH99" s="59">
        <f t="shared" si="62"/>
        <v>1021.6736506432592</v>
      </c>
      <c r="BI99" s="59">
        <f ca="1">AVERAGE(OFFSET($BH$3,0,0,'Données projet'!$E$11+1,1))-AVERAGE(OFFSET($H$3,0,0,'Données projet'!$E$11+1,1))</f>
        <v>524.01140973345832</v>
      </c>
      <c r="BJ99" s="59">
        <f t="shared" si="92"/>
        <v>315.59942237999621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42.028181519401322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42.028181519401322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67.810105781536933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-2.8421709430404007E-13</v>
      </c>
      <c r="BZ99" s="13">
        <f>BY99*VLOOKUP('Données projet'!$B$12,Paramètres!$A$1:$I$89,3,0)*VLOOKUP('Données projet'!$B$12,Paramètres!$A$1:$I$89,5,0)</f>
        <v>-1.9065282685915009E-13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358.95222991910504</v>
      </c>
      <c r="CE99" s="59">
        <f t="shared" si="94"/>
        <v>347.37506646970905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103.44609021832792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103.44609021832792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67.810105781536933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-2.8421709430404007E-13</v>
      </c>
      <c r="CU99" s="17">
        <f>CT99*VLOOKUP('Données projet'!$B$13,Paramètres!$A$1:$I$89,3,0)*VLOOKUP('Données projet'!$B$13,Paramètres!$A$1:$I$89,5,0)</f>
        <v>-1.8621904018800707E-13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351.7266381615546</v>
      </c>
      <c r="CZ99" s="59">
        <f t="shared" si="96"/>
        <v>340.52483243761799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87.471280292183138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87.471280292183138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67.810105781536933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8.1999999999999993</v>
      </c>
      <c r="DO99" s="12">
        <f>IF('Données projet'!$A$166&gt;35,DO98+DN99-DW98,IF(A99&lt;'Données projet'!$A$166,$DL$205^A99,IF(A99='Données projet'!$A$166,'Données projet'!$B$166,DO98+DN99-DW98)))</f>
        <v>441.20000000000005</v>
      </c>
      <c r="DP99" s="17">
        <f>DO99*VLOOKUP('Données projet'!$B$14,Paramètres!$A$1:$I$89,3,0)*VLOOKUP('Données projet'!$B$14,Paramètres!$A$1:$I$89,5,0)</f>
        <v>378.54960000000011</v>
      </c>
      <c r="DQ99" s="13">
        <f t="shared" si="97"/>
        <v>87.414074444191471</v>
      </c>
      <c r="DR99" s="20">
        <f t="shared" si="70"/>
        <v>811.55339965696703</v>
      </c>
      <c r="DS99" s="59">
        <f t="shared" si="71"/>
        <v>1096.8571208559358</v>
      </c>
      <c r="DT99" s="59">
        <f ca="1">AVERAGE(OFFSET($DS$3,0,0,'Données projet'!$E$14+1,1))-AVERAGE(OFFSET($H$3,0,0,'Données projet'!$E$14+1,1))</f>
        <v>569.21675741362196</v>
      </c>
      <c r="DU99" s="59">
        <f t="shared" si="98"/>
        <v>321.12410801891679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60.739679259858029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60.739679259858029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67.810105781536933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-2.8421709430404007E-13</v>
      </c>
      <c r="EK99" s="17">
        <f>EJ99*VLOOKUP('Données projet'!$B$15,Paramètres!$A$1:$I$89,3,0)*VLOOKUP('Données projet'!$B$15,Paramètres!$A$1:$I$89,5,0)</f>
        <v>-2.2612312022829427E-13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416.63597645452791</v>
      </c>
      <c r="EP99" s="59">
        <f t="shared" si="100"/>
        <v>402.05920382353497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130.91631817816776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130.91631817816776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67.810105781536933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>
        <f>FE99*VLOOKUP('Données projet'!$B$16,Paramètres!$A$1:$I$89,3,0)*VLOOKUP('Données projet'!$B$16,Paramètres!$A$1:$I$89,5,0)</f>
        <v>0</v>
      </c>
      <c r="FG99" s="13" t="e">
        <f t="shared" si="101"/>
        <v>#NUM!</v>
      </c>
      <c r="FH99" s="20" t="e">
        <f t="shared" si="76"/>
        <v>#NUM!</v>
      </c>
      <c r="FI99" s="59" t="e">
        <f t="shared" si="77"/>
        <v>#NUM!</v>
      </c>
      <c r="FJ99" s="59">
        <f ca="1">AVERAGE(OFFSET($FI$3,0,0,'Données projet'!$E$16+1,1))-AVERAGE(OFFSET($H$3,0,0,'Données projet'!$E$16+1,1))</f>
        <v>395.57130469647603</v>
      </c>
      <c r="FK99" s="59">
        <f t="shared" si="102"/>
        <v>383.97542781562674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124.18749818717576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124.18749818717576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67.810105781536933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>
        <f>FZ99*VLOOKUP('Données projet'!$B$17,Paramètres!$A$1:$I$89,3,0)*VLOOKUP('Données projet'!$B$17,Paramètres!$A$1:$I$89,5,0)</f>
        <v>0</v>
      </c>
      <c r="GB99" s="13" t="e">
        <f t="shared" si="103"/>
        <v>#NUM!</v>
      </c>
      <c r="GC99" s="20" t="e">
        <f t="shared" si="79"/>
        <v>#NUM!</v>
      </c>
      <c r="GD99" s="59" t="e">
        <f t="shared" si="80"/>
        <v>#NUM!</v>
      </c>
      <c r="GE99" s="59">
        <f ca="1">AVERAGE(OFFSET($GD$3,0,0,'Données projet'!$E$17+1,1))-AVERAGE(OFFSET($H$3,0,0,'Données projet'!$E$17+1,1))</f>
        <v>301.74744407733351</v>
      </c>
      <c r="GF99" s="59">
        <f t="shared" si="104"/>
        <v>292.46787700966991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64.502997832368862</v>
      </c>
      <c r="GM99" s="21">
        <f>EXP(-LN(2)/25)*GM98+(1-EXP(-LN(2)/25))/(LN(2)/25)*Calculateur!GH99*Calculateur!GJ99*VLOOKUP('Données projet'!$B$17,Paramètres!$A$1:$I$89,3,0)*0.475*44/12</f>
        <v>0</v>
      </c>
      <c r="GN99" s="21">
        <f>EXP(-LN(2)/2)*GN98+(1-EXP(-LN(2)/2))/(LN(2)/2)*GH99*GK99*VLOOKUP('Données projet'!$B$17,Paramètres!$A$1:$I$89,3,0)*0.475*44/12</f>
        <v>0</v>
      </c>
      <c r="GO99" s="21">
        <f t="shared" si="81"/>
        <v>64.502997832368862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67.810105781536933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-2.8421709430404007E-13</v>
      </c>
      <c r="GV99" s="17">
        <f>GU99*VLOOKUP('Données projet'!$B$18,Paramètres!$A$1:$I$89,3,0)*VLOOKUP('Données projet'!$B$18,Paramètres!$A$1:$I$89,5,0)</f>
        <v>-1.6848389350343495E-13</v>
      </c>
      <c r="GW99" s="13" t="e">
        <f t="shared" si="105"/>
        <v>#NUM!</v>
      </c>
      <c r="GX99" s="20" t="e">
        <f t="shared" si="82"/>
        <v>#NUM!</v>
      </c>
      <c r="GY99" s="59" t="e">
        <f t="shared" si="83"/>
        <v>#NUM!</v>
      </c>
      <c r="GZ99" s="59">
        <f ca="1">AVERAGE(OFFSET($GY$3,0,0,'Données projet'!$E$18+1,1))-AVERAGE(OFFSET($H$3,0,0,'Données projet'!$E$18+1,1))</f>
        <v>322.78672881269978</v>
      </c>
      <c r="HA99" s="59">
        <f t="shared" si="106"/>
        <v>313.08736327626434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103.4914812188626</v>
      </c>
      <c r="HH99" s="21">
        <f>EXP(-LN(2)/25)*HH98+(1-EXP(-LN(2)/25))/(LN(2)/25)*Calculateur!HC99*Calculateur!HE99*VLOOKUP('Données projet'!$B$18,Paramètres!$A$1:$I$89,3,0)*0.475*44/12</f>
        <v>0</v>
      </c>
      <c r="HI99" s="21">
        <f>EXP(-LN(2)/2)*HI98+(1-EXP(-LN(2)/2))/(LN(2)/2)*HC99*HF99*VLOOKUP('Données projet'!$B$18,Paramètres!$A$1:$I$89,3,0)*0.475*44/12</f>
        <v>0</v>
      </c>
      <c r="HJ99" s="22">
        <f t="shared" si="84"/>
        <v>103.4914812188626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2.3499999999999996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8.6166666666666654</v>
      </c>
      <c r="H100" s="67">
        <f t="shared" si="56"/>
        <v>222.20000000000002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67.848095550357243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6</v>
      </c>
      <c r="N100" s="13">
        <f>IF('Données projet'!$A$36&gt;35,N99+M100-V99,IF(A100&lt;'Données projet'!$A$36,$K$205^A100,IF(A100='Données projet'!$A$36,'Données projet'!$B$36,N99+M100-V99)))</f>
        <v>344.00000000000017</v>
      </c>
      <c r="O100" s="13">
        <f>N100*VLOOKUP('Données projet'!$B$9,Paramètres!$A$1:$I$89,3,0)*VLOOKUP('Données projet'!$B$9,Paramètres!$A$1:$I$89,5,0)</f>
        <v>311.25120000000015</v>
      </c>
      <c r="P100" s="13">
        <f t="shared" si="87"/>
        <v>73.530069242745114</v>
      </c>
      <c r="Q100" s="20">
        <f t="shared" si="107"/>
        <v>670.1607105977813</v>
      </c>
      <c r="R100" s="59">
        <f t="shared" si="55"/>
        <v>955.60372761575786</v>
      </c>
      <c r="S100" s="59">
        <f ca="1">AVERAGE(OFFSET($R$3,0,0,'Données projet'!$E$9+1,1))-AVERAGE(OFFSET($H$3,0,0,'Données projet'!$E$9+1,1))</f>
        <v>473.88815717313474</v>
      </c>
      <c r="T100" s="59">
        <f t="shared" si="88"/>
        <v>287.19790203552895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36.766676951369107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36.766676951369107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67.848095550357243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6</v>
      </c>
      <c r="AI100" s="13">
        <f>IF('Données projet'!$A$62&gt;35,AI99+AH100-AQ99,IF(A100&lt;'Données projet'!$A$62,$AF$205^A100,IF(A100='Données projet'!$A$62,'Données projet'!$B$62,AI99+AH100-AQ99)))</f>
        <v>344.00000000000017</v>
      </c>
      <c r="AJ100" s="13">
        <f>AI100*VLOOKUP('Données projet'!$B$10,Paramètres!$A$1:$I$89,3,0)*VLOOKUP('Données projet'!$B$10,Paramètres!$A$1:$I$89,5,0)</f>
        <v>289.78560000000016</v>
      </c>
      <c r="AK100" s="13">
        <f t="shared" si="89"/>
        <v>69.030834896079355</v>
      </c>
      <c r="AL100" s="20">
        <f t="shared" si="58"/>
        <v>624.93862411067175</v>
      </c>
      <c r="AM100" s="59">
        <f t="shared" si="59"/>
        <v>910.38164112864831</v>
      </c>
      <c r="AN100" s="59">
        <f ca="1">AVERAGE(OFFSET($AM$3,0,0,'Données projet'!$E$10+1,1))-AVERAGE(OFFSET($H$3,0,0,'Données projet'!$E$10+1,1))</f>
        <v>445.19118535527258</v>
      </c>
      <c r="AO100" s="59">
        <f t="shared" si="90"/>
        <v>270.93483242839363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34.23104405817125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34.23104405817125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67.848095550357243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6</v>
      </c>
      <c r="BD100" s="12">
        <f>IF('Données projet'!$A$88&gt;35,BD99+BC100-BL99,IF(A100&lt;'Données projet'!$A$88,$BA$205^A100,IF(A100='Données projet'!$A$88,'Données projet'!$B$88,BD99+BC100-BL99)))</f>
        <v>344.00000000000017</v>
      </c>
      <c r="BE100" s="13">
        <f>BD100*VLOOKUP('Données projet'!$B$11,Paramètres!$A$1:$I$89,3,0)*VLOOKUP('Données projet'!$B$11,Paramètres!$A$1:$I$89,5,0)</f>
        <v>348.8160000000002</v>
      </c>
      <c r="BF100" s="13">
        <f t="shared" si="91"/>
        <v>81.318665281585453</v>
      </c>
      <c r="BG100" s="20">
        <f t="shared" si="61"/>
        <v>749.15120869876171</v>
      </c>
      <c r="BH100" s="59">
        <f t="shared" si="62"/>
        <v>1034.5942257167383</v>
      </c>
      <c r="BI100" s="59">
        <f ca="1">AVERAGE(OFFSET($BH$3,0,0,'Données projet'!$E$11+1,1))-AVERAGE(OFFSET($H$3,0,0,'Données projet'!$E$11+1,1))</f>
        <v>524.01140973345832</v>
      </c>
      <c r="BJ100" s="59">
        <f t="shared" si="92"/>
        <v>315.59942237999621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41.204034514465377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41.204034514465377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67.848095550357243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-2.8421709430404007E-13</v>
      </c>
      <c r="BZ100" s="13">
        <f>BY100*VLOOKUP('Données projet'!$B$12,Paramètres!$A$1:$I$89,3,0)*VLOOKUP('Données projet'!$B$12,Paramètres!$A$1:$I$89,5,0)</f>
        <v>-1.9065282685915009E-13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358.95222991910504</v>
      </c>
      <c r="CE100" s="59">
        <f t="shared" si="94"/>
        <v>347.37506646970905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101.41757548503135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101.41757548503135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67.848095550357243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-2.8421709430404007E-13</v>
      </c>
      <c r="CU100" s="17">
        <f>CT100*VLOOKUP('Données projet'!$B$13,Paramètres!$A$1:$I$89,3,0)*VLOOKUP('Données projet'!$B$13,Paramètres!$A$1:$I$89,5,0)</f>
        <v>-1.8621904018800707E-13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351.7266381615546</v>
      </c>
      <c r="CZ100" s="59">
        <f t="shared" si="96"/>
        <v>340.52483243761799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85.756021837866314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85.756021837866314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67.848095550357243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8.1999999999999993</v>
      </c>
      <c r="DO100" s="12">
        <f>IF('Données projet'!$A$166&gt;35,DO99+DN100-DW99,IF(A100&lt;'Données projet'!$A$166,$DL$205^A100,IF(A100='Données projet'!$A$166,'Données projet'!$B$166,DO99+DN100-DW99)))</f>
        <v>449.40000000000003</v>
      </c>
      <c r="DP100" s="17">
        <f>DO100*VLOOKUP('Données projet'!$B$14,Paramètres!$A$1:$I$89,3,0)*VLOOKUP('Données projet'!$B$14,Paramètres!$A$1:$I$89,5,0)</f>
        <v>385.5852000000001</v>
      </c>
      <c r="DQ100" s="13">
        <f t="shared" si="97"/>
        <v>88.84807267555091</v>
      </c>
      <c r="DR100" s="20">
        <f t="shared" si="70"/>
        <v>826.30461657658464</v>
      </c>
      <c r="DS100" s="59">
        <f t="shared" si="71"/>
        <v>1111.7476335945612</v>
      </c>
      <c r="DT100" s="59">
        <f ca="1">AVERAGE(OFFSET($DS$3,0,0,'Données projet'!$E$14+1,1))-AVERAGE(OFFSET($H$3,0,0,'Données projet'!$E$14+1,1))</f>
        <v>569.21675741362196</v>
      </c>
      <c r="DU100" s="59">
        <f t="shared" si="98"/>
        <v>321.12410801891679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59.548611197118419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59.548611197118419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67.848095550357243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-2.8421709430404007E-13</v>
      </c>
      <c r="EK100" s="17">
        <f>EJ100*VLOOKUP('Données projet'!$B$15,Paramètres!$A$1:$I$89,3,0)*VLOOKUP('Données projet'!$B$15,Paramètres!$A$1:$I$89,5,0)</f>
        <v>-2.2612312022829427E-13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416.63597645452791</v>
      </c>
      <c r="EP100" s="59">
        <f t="shared" si="100"/>
        <v>402.05920382353497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128.34912902976333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128.34912902976333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67.848095550357243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>
        <f>FE100*VLOOKUP('Données projet'!$B$16,Paramètres!$A$1:$I$89,3,0)*VLOOKUP('Données projet'!$B$16,Paramètres!$A$1:$I$89,5,0)</f>
        <v>0</v>
      </c>
      <c r="FG100" s="13" t="e">
        <f t="shared" si="101"/>
        <v>#NUM!</v>
      </c>
      <c r="FH100" s="20" t="e">
        <f t="shared" si="76"/>
        <v>#NUM!</v>
      </c>
      <c r="FI100" s="59" t="e">
        <f t="shared" si="77"/>
        <v>#NUM!</v>
      </c>
      <c r="FJ100" s="59">
        <f ca="1">AVERAGE(OFFSET($FI$3,0,0,'Données projet'!$E$16+1,1))-AVERAGE(OFFSET($H$3,0,0,'Données projet'!$E$16+1,1))</f>
        <v>395.57130469647603</v>
      </c>
      <c r="FK100" s="59">
        <f t="shared" si="102"/>
        <v>383.97542781562674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121.75225709461975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121.75225709461975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67.848095550357243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>
        <f>FZ100*VLOOKUP('Données projet'!$B$17,Paramètres!$A$1:$I$89,3,0)*VLOOKUP('Données projet'!$B$17,Paramètres!$A$1:$I$89,5,0)</f>
        <v>0</v>
      </c>
      <c r="GB100" s="13" t="e">
        <f t="shared" si="103"/>
        <v>#NUM!</v>
      </c>
      <c r="GC100" s="20" t="e">
        <f t="shared" si="79"/>
        <v>#NUM!</v>
      </c>
      <c r="GD100" s="59" t="e">
        <f t="shared" si="80"/>
        <v>#NUM!</v>
      </c>
      <c r="GE100" s="59">
        <f ca="1">AVERAGE(OFFSET($GD$3,0,0,'Données projet'!$E$17+1,1))-AVERAGE(OFFSET($H$3,0,0,'Données projet'!$E$17+1,1))</f>
        <v>301.74744407733351</v>
      </c>
      <c r="GF100" s="59">
        <f t="shared" si="104"/>
        <v>292.46787700966991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63.238133387819992</v>
      </c>
      <c r="GM100" s="21">
        <f>EXP(-LN(2)/25)*GM99+(1-EXP(-LN(2)/25))/(LN(2)/25)*Calculateur!GH100*Calculateur!GJ100*VLOOKUP('Données projet'!$B$17,Paramètres!$A$1:$I$89,3,0)*0.475*44/12</f>
        <v>0</v>
      </c>
      <c r="GN100" s="21">
        <f>EXP(-LN(2)/2)*GN99+(1-EXP(-LN(2)/2))/(LN(2)/2)*GH100*GK100*VLOOKUP('Données projet'!$B$17,Paramètres!$A$1:$I$89,3,0)*0.475*44/12</f>
        <v>0</v>
      </c>
      <c r="GO100" s="21">
        <f t="shared" si="81"/>
        <v>63.238133387819992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67.848095550357243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-2.8421709430404007E-13</v>
      </c>
      <c r="GV100" s="17">
        <f>GU100*VLOOKUP('Données projet'!$B$18,Paramètres!$A$1:$I$89,3,0)*VLOOKUP('Données projet'!$B$18,Paramètres!$A$1:$I$89,5,0)</f>
        <v>-1.6848389350343495E-13</v>
      </c>
      <c r="GW100" s="13" t="e">
        <f t="shared" si="105"/>
        <v>#NUM!</v>
      </c>
      <c r="GX100" s="20" t="e">
        <f t="shared" si="82"/>
        <v>#NUM!</v>
      </c>
      <c r="GY100" s="59" t="e">
        <f t="shared" si="83"/>
        <v>#NUM!</v>
      </c>
      <c r="GZ100" s="59">
        <f ca="1">AVERAGE(OFFSET($GY$3,0,0,'Données projet'!$E$18+1,1))-AVERAGE(OFFSET($H$3,0,0,'Données projet'!$E$18+1,1))</f>
        <v>322.78672881269978</v>
      </c>
      <c r="HA100" s="59">
        <f t="shared" si="106"/>
        <v>313.08736327626434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101.46207639573132</v>
      </c>
      <c r="HH100" s="21">
        <f>EXP(-LN(2)/25)*HH99+(1-EXP(-LN(2)/25))/(LN(2)/25)*Calculateur!HC100*Calculateur!HE100*VLOOKUP('Données projet'!$B$18,Paramètres!$A$1:$I$89,3,0)*0.475*44/12</f>
        <v>0</v>
      </c>
      <c r="HI100" s="21">
        <f>EXP(-LN(2)/2)*HI99+(1-EXP(-LN(2)/2))/(LN(2)/2)*HC100*HF100*VLOOKUP('Données projet'!$B$18,Paramètres!$A$1:$I$89,3,0)*0.475*44/12</f>
        <v>0</v>
      </c>
      <c r="HJ100" s="22">
        <f t="shared" si="84"/>
        <v>101.46207639573132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2.3499999999999996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8.6166666666666654</v>
      </c>
      <c r="H101" s="67">
        <f t="shared" si="56"/>
        <v>222.20000000000002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67.885426281620937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6</v>
      </c>
      <c r="N101" s="13">
        <f>IF('Données projet'!$A$36&gt;35,N100+M101-V100,IF(A101&lt;'Données projet'!$A$36,$K$205^A101,IF(A101='Données projet'!$A$36,'Données projet'!$B$36,N100+M101-V100)))</f>
        <v>350.00000000000017</v>
      </c>
      <c r="O101" s="13">
        <f>N101*VLOOKUP('Données projet'!$B$9,Paramètres!$A$1:$I$89,3,0)*VLOOKUP('Données projet'!$B$9,Paramètres!$A$1:$I$89,5,0)</f>
        <v>316.68000000000012</v>
      </c>
      <c r="P101" s="13">
        <f t="shared" si="87"/>
        <v>74.662144360177763</v>
      </c>
      <c r="Q101" s="20">
        <f t="shared" si="107"/>
        <v>681.58756809397642</v>
      </c>
      <c r="R101" s="59">
        <f t="shared" si="55"/>
        <v>967.16746445991976</v>
      </c>
      <c r="S101" s="59">
        <f ca="1">AVERAGE(OFFSET($R$3,0,0,'Données projet'!$E$9+1,1))-AVERAGE(OFFSET($H$3,0,0,'Données projet'!$E$9+1,1))</f>
        <v>473.88815717313474</v>
      </c>
      <c r="T101" s="59">
        <f t="shared" si="88"/>
        <v>287.19790203552895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36.045704841811371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36.045704841811371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67.885426281620937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6</v>
      </c>
      <c r="AI101" s="13">
        <f>IF('Données projet'!$A$62&gt;35,AI100+AH101-AQ100,IF(A101&lt;'Données projet'!$A$62,$AF$205^A101,IF(A101='Données projet'!$A$62,'Données projet'!$B$62,AI100+AH101-AQ100)))</f>
        <v>350.00000000000017</v>
      </c>
      <c r="AJ101" s="13">
        <f>AI101*VLOOKUP('Données projet'!$B$10,Paramètres!$A$1:$I$89,3,0)*VLOOKUP('Données projet'!$B$10,Paramètres!$A$1:$I$89,5,0)</f>
        <v>294.8400000000002</v>
      </c>
      <c r="AK101" s="13">
        <f t="shared" si="89"/>
        <v>70.093639423890451</v>
      </c>
      <c r="AL101" s="20">
        <f t="shared" si="58"/>
        <v>635.59275532994286</v>
      </c>
      <c r="AM101" s="59">
        <f t="shared" si="59"/>
        <v>921.17265169588632</v>
      </c>
      <c r="AN101" s="59">
        <f ca="1">AVERAGE(OFFSET($AM$3,0,0,'Données projet'!$E$10+1,1))-AVERAGE(OFFSET($H$3,0,0,'Données projet'!$E$10+1,1))</f>
        <v>445.19118535527258</v>
      </c>
      <c r="AO101" s="59">
        <f t="shared" si="90"/>
        <v>270.93483242839363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33.559794163065767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33.559794163065767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67.885426281620937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6</v>
      </c>
      <c r="BD101" s="12">
        <f>IF('Données projet'!$A$88&gt;35,BD100+BC101-BL100,IF(A101&lt;'Données projet'!$A$88,$BA$205^A101,IF(A101='Données projet'!$A$88,'Données projet'!$B$88,BD100+BC101-BL100)))</f>
        <v>350.00000000000017</v>
      </c>
      <c r="BE101" s="13">
        <f>BD101*VLOOKUP('Données projet'!$B$11,Paramètres!$A$1:$I$89,3,0)*VLOOKUP('Données projet'!$B$11,Paramètres!$A$1:$I$89,5,0)</f>
        <v>354.9000000000002</v>
      </c>
      <c r="BF101" s="13">
        <f t="shared" si="91"/>
        <v>82.570654277328188</v>
      </c>
      <c r="BG101" s="20">
        <f t="shared" si="61"/>
        <v>761.92805619968021</v>
      </c>
      <c r="BH101" s="59">
        <f t="shared" si="62"/>
        <v>1047.5079525656236</v>
      </c>
      <c r="BI101" s="59">
        <f ca="1">AVERAGE(OFFSET($BH$3,0,0,'Données projet'!$E$11+1,1))-AVERAGE(OFFSET($H$3,0,0,'Données projet'!$E$11+1,1))</f>
        <v>524.01140973345832</v>
      </c>
      <c r="BJ101" s="59">
        <f t="shared" si="92"/>
        <v>315.59942237999621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40.396048529616188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40.396048529616188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67.885426281620937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-2.8421709430404007E-13</v>
      </c>
      <c r="BZ101" s="13">
        <f>BY101*VLOOKUP('Données projet'!$B$12,Paramètres!$A$1:$I$89,3,0)*VLOOKUP('Données projet'!$B$12,Paramètres!$A$1:$I$89,5,0)</f>
        <v>-1.9065282685915009E-13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358.95222991910504</v>
      </c>
      <c r="CE101" s="59">
        <f t="shared" si="94"/>
        <v>347.37506646970905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99.428838688382896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99.428838688382896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67.885426281620937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-2.8421709430404007E-13</v>
      </c>
      <c r="CU101" s="17">
        <f>CT101*VLOOKUP('Données projet'!$B$13,Paramètres!$A$1:$I$89,3,0)*VLOOKUP('Données projet'!$B$13,Paramètres!$A$1:$I$89,5,0)</f>
        <v>-1.8621904018800707E-13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351.7266381615546</v>
      </c>
      <c r="CZ101" s="59">
        <f t="shared" si="96"/>
        <v>340.52483243761799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84.074398555634289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84.074398555634289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67.885426281620937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8.1999999999999993</v>
      </c>
      <c r="DO101" s="12">
        <f>IF('Données projet'!$A$166&gt;35,DO100+DN101-DW100,IF(A101&lt;'Données projet'!$A$166,$DL$205^A101,IF(A101='Données projet'!$A$166,'Données projet'!$B$166,DO100+DN101-DW100)))</f>
        <v>457.6</v>
      </c>
      <c r="DP101" s="17">
        <f>DO101*VLOOKUP('Données projet'!$B$14,Paramètres!$A$1:$I$89,3,0)*VLOOKUP('Données projet'!$B$14,Paramètres!$A$1:$I$89,5,0)</f>
        <v>392.62080000000009</v>
      </c>
      <c r="DQ101" s="13">
        <f t="shared" si="97"/>
        <v>90.279028293744005</v>
      </c>
      <c r="DR101" s="20">
        <f t="shared" si="70"/>
        <v>841.0505342782709</v>
      </c>
      <c r="DS101" s="59">
        <f t="shared" si="71"/>
        <v>1126.6304306442144</v>
      </c>
      <c r="DT101" s="59">
        <f ca="1">AVERAGE(OFFSET($DS$3,0,0,'Données projet'!$E$14+1,1))-AVERAGE(OFFSET($H$3,0,0,'Données projet'!$E$14+1,1))</f>
        <v>569.21675741362196</v>
      </c>
      <c r="DU101" s="59">
        <f t="shared" si="98"/>
        <v>321.12410801891679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58.380899252609346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58.380899252609346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67.885426281620937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-2.8421709430404007E-13</v>
      </c>
      <c r="EK101" s="17">
        <f>EJ101*VLOOKUP('Données projet'!$B$15,Paramètres!$A$1:$I$89,3,0)*VLOOKUP('Données projet'!$B$15,Paramètres!$A$1:$I$89,5,0)</f>
        <v>-2.2612312022829427E-13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416.63597645452791</v>
      </c>
      <c r="EP101" s="59">
        <f t="shared" si="100"/>
        <v>402.05920382353497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125.83228089472836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125.83228089472836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67.885426281620937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>
        <f>FE101*VLOOKUP('Données projet'!$B$16,Paramètres!$A$1:$I$89,3,0)*VLOOKUP('Données projet'!$B$16,Paramètres!$A$1:$I$89,5,0)</f>
        <v>0</v>
      </c>
      <c r="FG101" s="13" t="e">
        <f t="shared" si="101"/>
        <v>#NUM!</v>
      </c>
      <c r="FH101" s="20" t="e">
        <f t="shared" si="76"/>
        <v>#NUM!</v>
      </c>
      <c r="FI101" s="59" t="e">
        <f t="shared" si="77"/>
        <v>#NUM!</v>
      </c>
      <c r="FJ101" s="59">
        <f ca="1">AVERAGE(OFFSET($FI$3,0,0,'Données projet'!$E$16+1,1))-AVERAGE(OFFSET($H$3,0,0,'Données projet'!$E$16+1,1))</f>
        <v>395.57130469647603</v>
      </c>
      <c r="FK101" s="59">
        <f t="shared" si="102"/>
        <v>383.97542781562674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119.36476959453837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119.36476959453837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67.885426281620937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>
        <f>FZ101*VLOOKUP('Données projet'!$B$17,Paramètres!$A$1:$I$89,3,0)*VLOOKUP('Données projet'!$B$17,Paramètres!$A$1:$I$89,5,0)</f>
        <v>0</v>
      </c>
      <c r="GB101" s="13" t="e">
        <f t="shared" si="103"/>
        <v>#NUM!</v>
      </c>
      <c r="GC101" s="20" t="e">
        <f t="shared" si="79"/>
        <v>#NUM!</v>
      </c>
      <c r="GD101" s="59" t="e">
        <f t="shared" si="80"/>
        <v>#NUM!</v>
      </c>
      <c r="GE101" s="59">
        <f ca="1">AVERAGE(OFFSET($GD$3,0,0,'Données projet'!$E$17+1,1))-AVERAGE(OFFSET($H$3,0,0,'Données projet'!$E$17+1,1))</f>
        <v>301.74744407733351</v>
      </c>
      <c r="GF101" s="59">
        <f t="shared" si="104"/>
        <v>292.46787700966991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61.998072163537593</v>
      </c>
      <c r="GM101" s="21">
        <f>EXP(-LN(2)/25)*GM100+(1-EXP(-LN(2)/25))/(LN(2)/25)*Calculateur!GH101*Calculateur!GJ101*VLOOKUP('Données projet'!$B$17,Paramètres!$A$1:$I$89,3,0)*0.475*44/12</f>
        <v>0</v>
      </c>
      <c r="GN101" s="21">
        <f>EXP(-LN(2)/2)*GN100+(1-EXP(-LN(2)/2))/(LN(2)/2)*GH101*GK101*VLOOKUP('Données projet'!$B$17,Paramètres!$A$1:$I$89,3,0)*0.475*44/12</f>
        <v>0</v>
      </c>
      <c r="GO101" s="21">
        <f t="shared" si="81"/>
        <v>61.998072163537593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67.885426281620937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-2.8421709430404007E-13</v>
      </c>
      <c r="GV101" s="17">
        <f>GU101*VLOOKUP('Données projet'!$B$18,Paramètres!$A$1:$I$89,3,0)*VLOOKUP('Données projet'!$B$18,Paramètres!$A$1:$I$89,5,0)</f>
        <v>-1.6848389350343495E-13</v>
      </c>
      <c r="GW101" s="13" t="e">
        <f t="shared" si="105"/>
        <v>#NUM!</v>
      </c>
      <c r="GX101" s="20" t="e">
        <f t="shared" si="82"/>
        <v>#NUM!</v>
      </c>
      <c r="GY101" s="59" t="e">
        <f t="shared" si="83"/>
        <v>#NUM!</v>
      </c>
      <c r="GZ101" s="59">
        <f ca="1">AVERAGE(OFFSET($GY$3,0,0,'Données projet'!$E$18+1,1))-AVERAGE(OFFSET($H$3,0,0,'Données projet'!$E$18+1,1))</f>
        <v>322.78672881269978</v>
      </c>
      <c r="HA101" s="59">
        <f t="shared" si="106"/>
        <v>313.08736327626434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99.472466963366912</v>
      </c>
      <c r="HH101" s="21">
        <f>EXP(-LN(2)/25)*HH100+(1-EXP(-LN(2)/25))/(LN(2)/25)*Calculateur!HC101*Calculateur!HE101*VLOOKUP('Données projet'!$B$18,Paramètres!$A$1:$I$89,3,0)*0.475*44/12</f>
        <v>0</v>
      </c>
      <c r="HI101" s="21">
        <f>EXP(-LN(2)/2)*HI100+(1-EXP(-LN(2)/2))/(LN(2)/2)*HC101*HF101*VLOOKUP('Données projet'!$B$18,Paramètres!$A$1:$I$89,3,0)*0.475*44/12</f>
        <v>0</v>
      </c>
      <c r="HJ101" s="22">
        <f t="shared" si="84"/>
        <v>99.472466963366912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2.3499999999999996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8.6166666666666654</v>
      </c>
      <c r="H102" s="67">
        <f t="shared" si="56"/>
        <v>222.20000000000002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67.922109408156203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6</v>
      </c>
      <c r="N102" s="13">
        <f>IF('Données projet'!$A$36&gt;35,N101+M102-V101,IF(A102&lt;'Données projet'!$A$36,$K$205^A102,IF(A102='Données projet'!$A$36,'Données projet'!$B$36,N101+M102-V101)))</f>
        <v>356.00000000000017</v>
      </c>
      <c r="O102" s="13">
        <f>N102*VLOOKUP('Données projet'!$B$9,Paramètres!$A$1:$I$89,3,0)*VLOOKUP('Données projet'!$B$9,Paramètres!$A$1:$I$89,5,0)</f>
        <v>322.10880000000014</v>
      </c>
      <c r="P102" s="13">
        <f t="shared" si="87"/>
        <v>75.791962638025339</v>
      </c>
      <c r="Q102" s="20">
        <f t="shared" si="107"/>
        <v>693.01049492789434</v>
      </c>
      <c r="R102" s="59">
        <f t="shared" si="55"/>
        <v>978.72489609113381</v>
      </c>
      <c r="S102" s="59">
        <f ca="1">AVERAGE(OFFSET($R$3,0,0,'Données projet'!$E$9+1,1))-AVERAGE(OFFSET($H$3,0,0,'Données projet'!$E$9+1,1))</f>
        <v>473.88815717313474</v>
      </c>
      <c r="T102" s="59">
        <f t="shared" si="88"/>
        <v>287.19790203552895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35.338870555572498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35.338870555572498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67.922109408156203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6</v>
      </c>
      <c r="AI102" s="13">
        <f>IF('Données projet'!$A$62&gt;35,AI101+AH102-AQ101,IF(A102&lt;'Données projet'!$A$62,$AF$205^A102,IF(A102='Données projet'!$A$62,'Données projet'!$B$62,AI101+AH102-AQ101)))</f>
        <v>356.00000000000017</v>
      </c>
      <c r="AJ102" s="13">
        <f>AI102*VLOOKUP('Données projet'!$B$10,Paramètres!$A$1:$I$89,3,0)*VLOOKUP('Données projet'!$B$10,Paramètres!$A$1:$I$89,5,0)</f>
        <v>299.89440000000013</v>
      </c>
      <c r="AK102" s="13">
        <f t="shared" si="89"/>
        <v>71.154325205964</v>
      </c>
      <c r="AL102" s="20">
        <f t="shared" si="58"/>
        <v>646.24319640038755</v>
      </c>
      <c r="AM102" s="59">
        <f t="shared" si="59"/>
        <v>931.9575975636269</v>
      </c>
      <c r="AN102" s="59">
        <f ca="1">AVERAGE(OFFSET($AM$3,0,0,'Données projet'!$E$10+1,1))-AVERAGE(OFFSET($H$3,0,0,'Données projet'!$E$10+1,1))</f>
        <v>445.19118535527258</v>
      </c>
      <c r="AO102" s="59">
        <f t="shared" si="90"/>
        <v>270.93483242839363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32.901707068981295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32.901707068981295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67.922109408156203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6</v>
      </c>
      <c r="BD102" s="12">
        <f>IF('Données projet'!$A$88&gt;35,BD101+BC102-BL101,IF(A102&lt;'Données projet'!$A$88,$BA$205^A102,IF(A102='Données projet'!$A$88,'Données projet'!$B$88,BD101+BC102-BL101)))</f>
        <v>356.00000000000017</v>
      </c>
      <c r="BE102" s="13">
        <f>BD102*VLOOKUP('Données projet'!$B$11,Paramètres!$A$1:$I$89,3,0)*VLOOKUP('Données projet'!$B$11,Paramètres!$A$1:$I$89,5,0)</f>
        <v>360.98400000000021</v>
      </c>
      <c r="BF102" s="13">
        <f t="shared" si="91"/>
        <v>83.820147380102171</v>
      </c>
      <c r="BG102" s="20">
        <f t="shared" si="61"/>
        <v>774.70055668701161</v>
      </c>
      <c r="BH102" s="59">
        <f t="shared" si="62"/>
        <v>1060.4149578502511</v>
      </c>
      <c r="BI102" s="59">
        <f ca="1">AVERAGE(OFFSET($BH$3,0,0,'Données projet'!$E$11+1,1))-AVERAGE(OFFSET($H$3,0,0,'Données projet'!$E$11+1,1))</f>
        <v>524.01140973345832</v>
      </c>
      <c r="BJ102" s="59">
        <f t="shared" si="92"/>
        <v>315.59942237999621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39.603906657107103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39.603906657107103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67.922109408156203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-2.8421709430404007E-13</v>
      </c>
      <c r="BZ102" s="13">
        <f>BY102*VLOOKUP('Données projet'!$B$12,Paramètres!$A$1:$I$89,3,0)*VLOOKUP('Données projet'!$B$12,Paramètres!$A$1:$I$89,5,0)</f>
        <v>-1.9065282685915009E-13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358.95222991910504</v>
      </c>
      <c r="CE102" s="59">
        <f t="shared" si="94"/>
        <v>347.37506646970905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97.479099807307051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97.479099807307051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67.922109408156203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-2.8421709430404007E-13</v>
      </c>
      <c r="CU102" s="17">
        <f>CT102*VLOOKUP('Données projet'!$B$13,Paramètres!$A$1:$I$89,3,0)*VLOOKUP('Données projet'!$B$13,Paramètres!$A$1:$I$89,5,0)</f>
        <v>-1.8621904018800707E-13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351.7266381615546</v>
      </c>
      <c r="CZ102" s="59">
        <f t="shared" si="96"/>
        <v>340.52483243761799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82.425750880277903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82.425750880277903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67.922109408156203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8.1999999999999993</v>
      </c>
      <c r="DO102" s="12">
        <f>IF('Données projet'!$A$166&gt;35,DO101+DN102-DW101,IF(A102&lt;'Données projet'!$A$166,$DL$205^A102,IF(A102='Données projet'!$A$166,'Données projet'!$B$166,DO101+DN102-DW101)))</f>
        <v>465.8</v>
      </c>
      <c r="DP102" s="17">
        <f>DO102*VLOOKUP('Données projet'!$B$14,Paramètres!$A$1:$I$89,3,0)*VLOOKUP('Données projet'!$B$14,Paramètres!$A$1:$I$89,5,0)</f>
        <v>399.65640000000008</v>
      </c>
      <c r="DQ102" s="13">
        <f t="shared" si="97"/>
        <v>91.707002110648844</v>
      </c>
      <c r="DR102" s="20">
        <f t="shared" si="70"/>
        <v>855.79125867604671</v>
      </c>
      <c r="DS102" s="59">
        <f t="shared" si="71"/>
        <v>1141.5056598392862</v>
      </c>
      <c r="DT102" s="59">
        <f ca="1">AVERAGE(OFFSET($DS$3,0,0,'Données projet'!$E$14+1,1))-AVERAGE(OFFSET($H$3,0,0,'Données projet'!$E$14+1,1))</f>
        <v>569.21675741362196</v>
      </c>
      <c r="DU102" s="59">
        <f t="shared" si="98"/>
        <v>321.12410801891679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57.236085427098139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57.236085427098139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67.922109408156203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-2.8421709430404007E-13</v>
      </c>
      <c r="EK102" s="17">
        <f>EJ102*VLOOKUP('Données projet'!$B$15,Paramètres!$A$1:$I$89,3,0)*VLOOKUP('Données projet'!$B$15,Paramètres!$A$1:$I$89,5,0)</f>
        <v>-2.2612312022829427E-13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416.63597645452791</v>
      </c>
      <c r="EP102" s="59">
        <f t="shared" si="100"/>
        <v>402.05920382353497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123.36478661649564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123.36478661649564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67.922109408156203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>
        <f>FE102*VLOOKUP('Données projet'!$B$16,Paramètres!$A$1:$I$89,3,0)*VLOOKUP('Données projet'!$B$16,Paramètres!$A$1:$I$89,5,0)</f>
        <v>0</v>
      </c>
      <c r="FG102" s="13" t="e">
        <f t="shared" si="101"/>
        <v>#NUM!</v>
      </c>
      <c r="FH102" s="20" t="e">
        <f t="shared" si="76"/>
        <v>#NUM!</v>
      </c>
      <c r="FI102" s="59" t="e">
        <f t="shared" si="77"/>
        <v>#NUM!</v>
      </c>
      <c r="FJ102" s="59">
        <f ca="1">AVERAGE(OFFSET($FI$3,0,0,'Données projet'!$E$16+1,1))-AVERAGE(OFFSET($H$3,0,0,'Données projet'!$E$16+1,1))</f>
        <v>395.57130469647603</v>
      </c>
      <c r="FK102" s="59">
        <f t="shared" si="102"/>
        <v>383.97542781562674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117.02409926811001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117.02409926811001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67.922109408156203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>
        <f>FZ102*VLOOKUP('Données projet'!$B$17,Paramètres!$A$1:$I$89,3,0)*VLOOKUP('Données projet'!$B$17,Paramètres!$A$1:$I$89,5,0)</f>
        <v>0</v>
      </c>
      <c r="GB102" s="13" t="e">
        <f t="shared" si="103"/>
        <v>#NUM!</v>
      </c>
      <c r="GC102" s="20" t="e">
        <f t="shared" si="79"/>
        <v>#NUM!</v>
      </c>
      <c r="GD102" s="59" t="e">
        <f t="shared" si="80"/>
        <v>#NUM!</v>
      </c>
      <c r="GE102" s="59">
        <f ca="1">AVERAGE(OFFSET($GD$3,0,0,'Données projet'!$E$17+1,1))-AVERAGE(OFFSET($H$3,0,0,'Données projet'!$E$17+1,1))</f>
        <v>301.74744407733351</v>
      </c>
      <c r="GF102" s="59">
        <f t="shared" si="104"/>
        <v>292.46787700966991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60.782327783500712</v>
      </c>
      <c r="GM102" s="21">
        <f>EXP(-LN(2)/25)*GM101+(1-EXP(-LN(2)/25))/(LN(2)/25)*Calculateur!GH102*Calculateur!GJ102*VLOOKUP('Données projet'!$B$17,Paramètres!$A$1:$I$89,3,0)*0.475*44/12</f>
        <v>0</v>
      </c>
      <c r="GN102" s="21">
        <f>EXP(-LN(2)/2)*GN101+(1-EXP(-LN(2)/2))/(LN(2)/2)*GH102*GK102*VLOOKUP('Données projet'!$B$17,Paramètres!$A$1:$I$89,3,0)*0.475*44/12</f>
        <v>0</v>
      </c>
      <c r="GO102" s="21">
        <f t="shared" si="81"/>
        <v>60.782327783500712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67.922109408156203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-2.8421709430404007E-13</v>
      </c>
      <c r="GV102" s="17">
        <f>GU102*VLOOKUP('Données projet'!$B$18,Paramètres!$A$1:$I$89,3,0)*VLOOKUP('Données projet'!$B$18,Paramètres!$A$1:$I$89,5,0)</f>
        <v>-1.6848389350343495E-13</v>
      </c>
      <c r="GW102" s="13" t="e">
        <f t="shared" si="105"/>
        <v>#NUM!</v>
      </c>
      <c r="GX102" s="20" t="e">
        <f t="shared" si="82"/>
        <v>#NUM!</v>
      </c>
      <c r="GY102" s="59" t="e">
        <f t="shared" si="83"/>
        <v>#NUM!</v>
      </c>
      <c r="GZ102" s="59">
        <f ca="1">AVERAGE(OFFSET($GY$3,0,0,'Données projet'!$E$18+1,1))-AVERAGE(OFFSET($H$3,0,0,'Données projet'!$E$18+1,1))</f>
        <v>322.78672881269978</v>
      </c>
      <c r="HA102" s="59">
        <f t="shared" si="106"/>
        <v>313.08736327626434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97.521872558429251</v>
      </c>
      <c r="HH102" s="21">
        <f>EXP(-LN(2)/25)*HH101+(1-EXP(-LN(2)/25))/(LN(2)/25)*Calculateur!HC102*Calculateur!HE102*VLOOKUP('Données projet'!$B$18,Paramètres!$A$1:$I$89,3,0)*0.475*44/12</f>
        <v>0</v>
      </c>
      <c r="HI102" s="21">
        <f>EXP(-LN(2)/2)*HI101+(1-EXP(-LN(2)/2))/(LN(2)/2)*HC102*HF102*VLOOKUP('Données projet'!$B$18,Paramètres!$A$1:$I$89,3,0)*0.475*44/12</f>
        <v>0</v>
      </c>
      <c r="HJ102" s="22">
        <f t="shared" si="84"/>
        <v>97.521872558429251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2.3499999999999996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8.6166666666666654</v>
      </c>
      <c r="H103" s="67">
        <f t="shared" si="56"/>
        <v>222.20000000000002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67.958156164457264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362</v>
      </c>
      <c r="L103" s="12">
        <f>VLOOKUP(A103,'Données projet'!$A$35:$I$55,9,0)</f>
        <v>6</v>
      </c>
      <c r="M103" s="12">
        <f t="array" ref="M103">INDEX(L:L,MIN(IF(ISNUMBER(L103:L299),ROW(L103:L299),"")))</f>
        <v>6</v>
      </c>
      <c r="N103" s="13">
        <f>IF('Données projet'!$A$36&gt;35,N102+M103-V102,IF(A103&lt;'Données projet'!$A$36,$K$205^A103,IF(A103='Données projet'!$A$36,'Données projet'!$B$36,N102+M103-V102)))</f>
        <v>362.00000000000017</v>
      </c>
      <c r="O103" s="13">
        <f>N103*VLOOKUP('Données projet'!$B$9,Paramètres!$A$1:$I$89,3,0)*VLOOKUP('Données projet'!$B$9,Paramètres!$A$1:$I$89,5,0)</f>
        <v>327.53760000000017</v>
      </c>
      <c r="P103" s="13">
        <f t="shared" si="87"/>
        <v>76.919566502794808</v>
      </c>
      <c r="Q103" s="20">
        <f t="shared" si="107"/>
        <v>704.42956499236789</v>
      </c>
      <c r="R103" s="59">
        <f t="shared" si="55"/>
        <v>990.2761375953778</v>
      </c>
      <c r="S103" s="59">
        <f ca="1">AVERAGE(OFFSET($R$3,0,0,'Données projet'!$E$9+1,1))-AVERAGE(OFFSET($H$3,0,0,'Données projet'!$E$9+1,1))</f>
        <v>473.88815717313474</v>
      </c>
      <c r="T103" s="59">
        <f t="shared" si="88"/>
        <v>287.19790203552895</v>
      </c>
      <c r="U103" s="15">
        <f>IF(ISNA(VLOOKUP(A103,'Données projet'!$A$35:$I$55,3,0)),0,VLOOKUP(A103,'Données projet'!$A$35:$I$55,3,0))</f>
        <v>17</v>
      </c>
      <c r="V103" s="15">
        <f>IF(ISNA(VLOOKUP(A103,'Données projet'!$A$35:$I$55,4,0)),0,VLOOKUP(A103,'Données projet'!$A$35:$I$55,4,0))</f>
        <v>56</v>
      </c>
      <c r="W103" s="16">
        <f>IF(ISNA(VLOOKUP(A103,'Données projet'!$A$35:$I$55,5,0)),0%,VLOOKUP(A103,'Données projet'!$A$35:$I$55,5,0)*VLOOKUP('Données projet'!$B$9,Paramètres!$A$1:$I$89,7,0))</f>
        <v>0.34400000000000003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53.914319861429249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53.914319861429249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67.958156164457264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362</v>
      </c>
      <c r="AG103" s="12">
        <f>VLOOKUP(A103,'Données projet'!$A$61:$I$81,9,0)</f>
        <v>6</v>
      </c>
      <c r="AH103" s="12">
        <f t="array" ref="AH103">INDEX(AG:AG,MIN(IF(ISNUMBER(AG103:AG299),ROW(AG103:AG299),"")))</f>
        <v>6</v>
      </c>
      <c r="AI103" s="13">
        <f>IF('Données projet'!$A$62&gt;35,AI102+AH103-AQ102,IF(A103&lt;'Données projet'!$A$62,$AF$205^A103,IF(A103='Données projet'!$A$62,'Données projet'!$B$62,AI102+AH103-AQ102)))</f>
        <v>362.00000000000017</v>
      </c>
      <c r="AJ103" s="13">
        <f>AI103*VLOOKUP('Données projet'!$B$10,Paramètres!$A$1:$I$89,3,0)*VLOOKUP('Données projet'!$B$10,Paramètres!$A$1:$I$89,5,0)</f>
        <v>304.94880000000018</v>
      </c>
      <c r="AK103" s="13">
        <f t="shared" si="89"/>
        <v>72.212932072769945</v>
      </c>
      <c r="AL103" s="20">
        <f t="shared" si="58"/>
        <v>656.89001669340792</v>
      </c>
      <c r="AM103" s="59">
        <f t="shared" si="59"/>
        <v>942.73658929641783</v>
      </c>
      <c r="AN103" s="59">
        <f ca="1">AVERAGE(OFFSET($AM$3,0,0,'Données projet'!$E$10+1,1))-AVERAGE(OFFSET($H$3,0,0,'Données projet'!$E$10+1,1))</f>
        <v>445.19118535527258</v>
      </c>
      <c r="AO103" s="59">
        <f t="shared" si="90"/>
        <v>270.93483242839363</v>
      </c>
      <c r="AP103" s="15">
        <f>IF(ISNA(VLOOKUP(A103,'Données projet'!$A$61:$I$81,3,0)),0,VLOOKUP(A103,'Données projet'!$A$61:$I$81,3,0))</f>
        <v>17</v>
      </c>
      <c r="AQ103" s="15">
        <f>IF(ISNA(VLOOKUP(A103,'Données projet'!$A$61:$I$81,4,0)),0,VLOOKUP(A103,'Données projet'!$A$61:$I$81,4,0))</f>
        <v>56</v>
      </c>
      <c r="AR103" s="16">
        <f>IF(ISNA(VLOOKUP(A103,'Données projet'!$A$61:$I$81,5,0)),0%,VLOOKUP(A103,'Données projet'!$A$61:$I$81,5,0)*VLOOKUP('Données projet'!$B$10,Paramètres!$A$1:$I$89,7,0))</f>
        <v>0.34400000000000003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50.196090905468616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50.196090905468616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67.958156164457264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362</v>
      </c>
      <c r="BB103" s="12">
        <f>VLOOKUP(A103,'Données projet'!$A$87:$I$107,9,0)</f>
        <v>6</v>
      </c>
      <c r="BC103" s="12">
        <f t="array" ref="BC103">INDEX(BB:BB,MIN(IF(ISNUMBER(BB103:BB299),ROW(BB103:BB299),"")))</f>
        <v>6</v>
      </c>
      <c r="BD103" s="12">
        <f>IF('Données projet'!$A$88&gt;35,BD102+BC103-BL102,IF(A103&lt;'Données projet'!$A$88,$BA$205^A103,IF(A103='Données projet'!$A$88,'Données projet'!$B$88,BD102+BC103-BL102)))</f>
        <v>362.00000000000017</v>
      </c>
      <c r="BE103" s="13">
        <f>BD103*VLOOKUP('Données projet'!$B$11,Paramètres!$A$1:$I$89,3,0)*VLOOKUP('Données projet'!$B$11,Paramètres!$A$1:$I$89,5,0)</f>
        <v>367.06800000000021</v>
      </c>
      <c r="BF103" s="13">
        <f t="shared" si="91"/>
        <v>85.067191510398061</v>
      </c>
      <c r="BG103" s="20">
        <f t="shared" si="61"/>
        <v>787.4687918806103</v>
      </c>
      <c r="BH103" s="59">
        <f t="shared" si="62"/>
        <v>1073.3153644836202</v>
      </c>
      <c r="BI103" s="59">
        <f ca="1">AVERAGE(OFFSET($BH$3,0,0,'Données projet'!$E$11+1,1))-AVERAGE(OFFSET($H$3,0,0,'Données projet'!$E$11+1,1))</f>
        <v>524.01140973345832</v>
      </c>
      <c r="BJ103" s="59">
        <f t="shared" si="92"/>
        <v>315.59942237999621</v>
      </c>
      <c r="BK103" s="15">
        <f>IF(ISNA(VLOOKUP(A103,'Données projet'!$A$87:$I$107,3,0)),0,VLOOKUP(A103,'Données projet'!$A$87:$I$107,3,0))</f>
        <v>17</v>
      </c>
      <c r="BL103" s="15">
        <f>IF(ISNA(VLOOKUP(A103,'Données projet'!$A$87:$I$107,4,0)),0,VLOOKUP(A103,'Données projet'!$A$87:$I$107,4,0))</f>
        <v>56</v>
      </c>
      <c r="BM103" s="16">
        <f>IF(ISNA(VLOOKUP(A103,'Données projet'!$A$87:$I$107,5,0)),0%,VLOOKUP(A103,'Données projet'!$A$87:$I$107,5,0)*VLOOKUP('Données projet'!$B$11,Paramètres!$A$1:$I$89,7,0))</f>
        <v>0.34400000000000003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60.421220534360359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60.421220534360359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67.958156164457264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-2.8421709430404007E-13</v>
      </c>
      <c r="BZ103" s="13">
        <f>BY103*VLOOKUP('Données projet'!$B$12,Paramètres!$A$1:$I$89,3,0)*VLOOKUP('Données projet'!$B$12,Paramètres!$A$1:$I$89,5,0)</f>
        <v>-1.9065282685915009E-13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358.95222991910504</v>
      </c>
      <c r="CE103" s="59">
        <f t="shared" si="94"/>
        <v>347.37506646970905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95.567594116465813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95.567594116465813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67.958156164457264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-2.8421709430404007E-13</v>
      </c>
      <c r="CU103" s="17">
        <f>CT103*VLOOKUP('Données projet'!$B$13,Paramètres!$A$1:$I$89,3,0)*VLOOKUP('Données projet'!$B$13,Paramètres!$A$1:$I$89,5,0)</f>
        <v>-1.8621904018800707E-13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351.7266381615546</v>
      </c>
      <c r="CZ103" s="59">
        <f t="shared" si="96"/>
        <v>340.52483243761799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80.809432180259478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80.809432180259478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67.958156164457264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>
        <f>VLOOKUP(A103,'Données projet'!$A$165:$I$185,2,0)</f>
        <v>474</v>
      </c>
      <c r="DM103" s="12">
        <f>VLOOKUP(A103,'Données projet'!$A$165:$I$185,9,0)</f>
        <v>8.1999999999999993</v>
      </c>
      <c r="DN103" s="12">
        <f t="array" ref="DN103">INDEX(DM:DM,MIN(IF(ISNUMBER(DM103:DM299),ROW(DM103:DM299),"")))</f>
        <v>8.1999999999999993</v>
      </c>
      <c r="DO103" s="12">
        <f>IF('Données projet'!$A$166&gt;35,DO102+DN103-DW102,IF(A103&lt;'Données projet'!$A$166,$DL$205^A103,IF(A103='Données projet'!$A$166,'Données projet'!$B$166,DO102+DN103-DW102)))</f>
        <v>474</v>
      </c>
      <c r="DP103" s="17">
        <f>DO103*VLOOKUP('Données projet'!$B$14,Paramètres!$A$1:$I$89,3,0)*VLOOKUP('Données projet'!$B$14,Paramètres!$A$1:$I$89,5,0)</f>
        <v>406.69200000000006</v>
      </c>
      <c r="DQ103" s="13">
        <f t="shared" si="97"/>
        <v>93.132052674423107</v>
      </c>
      <c r="DR103" s="20">
        <f t="shared" si="70"/>
        <v>870.52689174128693</v>
      </c>
      <c r="DS103" s="59">
        <f t="shared" si="71"/>
        <v>1156.373464344297</v>
      </c>
      <c r="DT103" s="59">
        <f ca="1">AVERAGE(OFFSET($DS$3,0,0,'Données projet'!$E$14+1,1))-AVERAGE(OFFSET($H$3,0,0,'Données projet'!$E$14+1,1))</f>
        <v>569.21675741362196</v>
      </c>
      <c r="DU103" s="59">
        <f t="shared" si="98"/>
        <v>321.12410801891679</v>
      </c>
      <c r="DV103" s="15">
        <f>IF(ISNA(VLOOKUP(A103,'Données projet'!$A$165:$I$185,3,0)),0,VLOOKUP(A103,'Données projet'!$A$165:$I$185,3,0))</f>
        <v>17</v>
      </c>
      <c r="DW103" s="15">
        <f>IF(ISNA(VLOOKUP(A103,'Données projet'!$A$165:$I$185,4,0)),0,VLOOKUP(A103,'Données projet'!$A$165:$I$185,4,0))</f>
        <v>29</v>
      </c>
      <c r="DX103" s="16">
        <f>IF(ISNA(VLOOKUP(A103,'Données projet'!$A$165:$I$185,5,0)),0%,VLOOKUP(A103,'Données projet'!$A$165:$I$185,5,0)*VLOOKUP('Données projet'!$B$14,Paramètres!$A$1:$I$89,7,0))</f>
        <v>0.42400000000000004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67.776397831458212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67.776397831458212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67.958156164457264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-2.8421709430404007E-13</v>
      </c>
      <c r="EK103" s="17">
        <f>EJ103*VLOOKUP('Données projet'!$B$15,Paramètres!$A$1:$I$89,3,0)*VLOOKUP('Données projet'!$B$15,Paramètres!$A$1:$I$89,5,0)</f>
        <v>-2.2612312022829427E-13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416.63597645452791</v>
      </c>
      <c r="EP103" s="59">
        <f t="shared" si="100"/>
        <v>402.05920382353497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120.94567839603616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120.94567839603616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67.958156164457264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>
        <f>FE103*VLOOKUP('Données projet'!$B$16,Paramètres!$A$1:$I$89,3,0)*VLOOKUP('Données projet'!$B$16,Paramètres!$A$1:$I$89,5,0)</f>
        <v>0</v>
      </c>
      <c r="FG103" s="13" t="e">
        <f t="shared" si="101"/>
        <v>#NUM!</v>
      </c>
      <c r="FH103" s="20" t="e">
        <f t="shared" si="76"/>
        <v>#NUM!</v>
      </c>
      <c r="FI103" s="59" t="e">
        <f t="shared" si="77"/>
        <v>#NUM!</v>
      </c>
      <c r="FJ103" s="59">
        <f ca="1">AVERAGE(OFFSET($FI$3,0,0,'Données projet'!$E$16+1,1))-AVERAGE(OFFSET($H$3,0,0,'Données projet'!$E$16+1,1))</f>
        <v>395.57130469647603</v>
      </c>
      <c r="FK103" s="59">
        <f t="shared" si="102"/>
        <v>383.97542781562674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114.72932805911496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114.72932805911496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67.958156164457264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>
        <f>FZ103*VLOOKUP('Données projet'!$B$17,Paramètres!$A$1:$I$89,3,0)*VLOOKUP('Données projet'!$B$17,Paramètres!$A$1:$I$89,5,0)</f>
        <v>0</v>
      </c>
      <c r="GB103" s="13" t="e">
        <f t="shared" si="103"/>
        <v>#NUM!</v>
      </c>
      <c r="GC103" s="20" t="e">
        <f t="shared" si="79"/>
        <v>#NUM!</v>
      </c>
      <c r="GD103" s="59" t="e">
        <f t="shared" si="80"/>
        <v>#NUM!</v>
      </c>
      <c r="GE103" s="59">
        <f ca="1">AVERAGE(OFFSET($GD$3,0,0,'Données projet'!$E$17+1,1))-AVERAGE(OFFSET($H$3,0,0,'Données projet'!$E$17+1,1))</f>
        <v>301.74744407733351</v>
      </c>
      <c r="GF103" s="59">
        <f t="shared" si="104"/>
        <v>292.46787700966991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59.590423409225501</v>
      </c>
      <c r="GM103" s="21">
        <f>EXP(-LN(2)/25)*GM102+(1-EXP(-LN(2)/25))/(LN(2)/25)*Calculateur!GH103*Calculateur!GJ103*VLOOKUP('Données projet'!$B$17,Paramètres!$A$1:$I$89,3,0)*0.475*44/12</f>
        <v>0</v>
      </c>
      <c r="GN103" s="21">
        <f>EXP(-LN(2)/2)*GN102+(1-EXP(-LN(2)/2))/(LN(2)/2)*GH103*GK103*VLOOKUP('Données projet'!$B$17,Paramètres!$A$1:$I$89,3,0)*0.475*44/12</f>
        <v>0</v>
      </c>
      <c r="GO103" s="21">
        <f t="shared" si="81"/>
        <v>59.590423409225501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67.958156164457264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-2.8421709430404007E-13</v>
      </c>
      <c r="GV103" s="17">
        <f>GU103*VLOOKUP('Données projet'!$B$18,Paramètres!$A$1:$I$89,3,0)*VLOOKUP('Données projet'!$B$18,Paramètres!$A$1:$I$89,5,0)</f>
        <v>-1.6848389350343495E-13</v>
      </c>
      <c r="GW103" s="13" t="e">
        <f t="shared" si="105"/>
        <v>#NUM!</v>
      </c>
      <c r="GX103" s="20" t="e">
        <f t="shared" si="82"/>
        <v>#NUM!</v>
      </c>
      <c r="GY103" s="59" t="e">
        <f t="shared" si="83"/>
        <v>#NUM!</v>
      </c>
      <c r="GZ103" s="59">
        <f ca="1">AVERAGE(OFFSET($GY$3,0,0,'Données projet'!$E$18+1,1))-AVERAGE(OFFSET($H$3,0,0,'Données projet'!$E$18+1,1))</f>
        <v>322.78672881269978</v>
      </c>
      <c r="HA103" s="59">
        <f t="shared" si="106"/>
        <v>313.08736327626434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projet'!$B$18,Paramètres!$A$1:$I$89,3,0)*0.475*44/12</f>
        <v>95.609528120027306</v>
      </c>
      <c r="HH103" s="21">
        <f>EXP(-LN(2)/25)*HH102+(1-EXP(-LN(2)/25))/(LN(2)/25)*Calculateur!HC103*Calculateur!HE103*VLOOKUP('Données projet'!$B$18,Paramètres!$A$1:$I$89,3,0)*0.475*44/12</f>
        <v>0</v>
      </c>
      <c r="HI103" s="21">
        <f>EXP(-LN(2)/2)*HI102+(1-EXP(-LN(2)/2))/(LN(2)/2)*HC103*HF103*VLOOKUP('Données projet'!$B$18,Paramètres!$A$1:$I$89,3,0)*0.475*44/12</f>
        <v>0</v>
      </c>
      <c r="HJ103" s="22">
        <f t="shared" si="84"/>
        <v>95.609528120027306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2.3499999999999996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8.6166666666666654</v>
      </c>
      <c r="H104" s="67">
        <f t="shared" si="56"/>
        <v>222.20000000000002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67.993577590124985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5.2</v>
      </c>
      <c r="N104" s="13">
        <f>IF('Données projet'!$A$36&gt;35,N103+M104-V103,IF(A104&lt;'Données projet'!$A$36,$K$205^A104,IF(A104='Données projet'!$A$36,'Données projet'!$B$36,N103+M104-V103)))</f>
        <v>311.20000000000016</v>
      </c>
      <c r="O104" s="13">
        <f>N104*VLOOKUP('Données projet'!$B$9,Paramètres!$A$1:$I$89,3,0)*VLOOKUP('Données projet'!$B$9,Paramètres!$A$1:$I$89,5,0)</f>
        <v>281.57376000000011</v>
      </c>
      <c r="P104" s="13">
        <f t="shared" si="87"/>
        <v>67.299481043335049</v>
      </c>
      <c r="Q104" s="20">
        <f t="shared" si="107"/>
        <v>607.62089481714213</v>
      </c>
      <c r="R104" s="59">
        <f t="shared" si="55"/>
        <v>893.59734598093382</v>
      </c>
      <c r="S104" s="59">
        <f ca="1">AVERAGE(OFFSET($R$3,0,0,'Données projet'!$E$9+1,1))-AVERAGE(OFFSET($H$3,0,0,'Données projet'!$E$9+1,1))</f>
        <v>473.88815717313474</v>
      </c>
      <c r="T104" s="59">
        <f t="shared" si="88"/>
        <v>287.19790203552895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52.857092933434664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52.857092933434664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67.993577590124985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5.2</v>
      </c>
      <c r="AI104" s="13">
        <f>IF('Données projet'!$A$62&gt;35,AI103+AH104-AQ103,IF(A104&lt;'Données projet'!$A$62,$AF$205^A104,IF(A104='Données projet'!$A$62,'Données projet'!$B$62,AI103+AH104-AQ103)))</f>
        <v>311.20000000000016</v>
      </c>
      <c r="AJ104" s="13">
        <f>AI104*VLOOKUP('Données projet'!$B$10,Paramètres!$A$1:$I$89,3,0)*VLOOKUP('Données projet'!$B$10,Paramètres!$A$1:$I$89,5,0)</f>
        <v>262.15488000000016</v>
      </c>
      <c r="AK104" s="13">
        <f t="shared" si="89"/>
        <v>63.181490407105237</v>
      </c>
      <c r="AL104" s="20">
        <f t="shared" si="58"/>
        <v>566.62751179237523</v>
      </c>
      <c r="AM104" s="59">
        <f t="shared" si="59"/>
        <v>852.60396295616692</v>
      </c>
      <c r="AN104" s="59">
        <f ca="1">AVERAGE(OFFSET($AM$3,0,0,'Données projet'!$E$10+1,1))-AVERAGE(OFFSET($H$3,0,0,'Données projet'!$E$10+1,1))</f>
        <v>445.19118535527258</v>
      </c>
      <c r="AO104" s="59">
        <f t="shared" si="90"/>
        <v>270.93483242839363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49.211776179404694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49.211776179404694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67.993577590124985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5.2</v>
      </c>
      <c r="BD104" s="12">
        <f>IF('Données projet'!$A$88&gt;35,BD103+BC104-BL103,IF(A104&lt;'Données projet'!$A$88,$BA$205^A104,IF(A104='Données projet'!$A$88,'Données projet'!$B$88,BD103+BC104-BL103)))</f>
        <v>311.20000000000016</v>
      </c>
      <c r="BE104" s="13">
        <f>BD104*VLOOKUP('Données projet'!$B$11,Paramètres!$A$1:$I$89,3,0)*VLOOKUP('Données projet'!$B$11,Paramètres!$A$1:$I$89,5,0)</f>
        <v>315.55680000000018</v>
      </c>
      <c r="BF104" s="13">
        <f t="shared" si="91"/>
        <v>74.42810851327107</v>
      </c>
      <c r="BG104" s="20">
        <f t="shared" si="61"/>
        <v>679.22371566061418</v>
      </c>
      <c r="BH104" s="59">
        <f t="shared" si="62"/>
        <v>965.20016682440587</v>
      </c>
      <c r="BI104" s="59">
        <f ca="1">AVERAGE(OFFSET($BH$3,0,0,'Données projet'!$E$11+1,1))-AVERAGE(OFFSET($H$3,0,0,'Données projet'!$E$11+1,1))</f>
        <v>524.01140973345832</v>
      </c>
      <c r="BJ104" s="59">
        <f t="shared" si="92"/>
        <v>315.59942237999621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59.236397252987118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59.236397252987118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67.993577590124985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-2.8421709430404007E-13</v>
      </c>
      <c r="BZ104" s="13">
        <f>BY104*VLOOKUP('Données projet'!$B$12,Paramètres!$A$1:$I$89,3,0)*VLOOKUP('Données projet'!$B$12,Paramètres!$A$1:$I$89,5,0)</f>
        <v>-1.9065282685915009E-13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358.95222991910504</v>
      </c>
      <c r="CE104" s="59">
        <f t="shared" si="94"/>
        <v>347.37506646970905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93.693571886318622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93.693571886318622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67.993577590124985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-2.8421709430404007E-13</v>
      </c>
      <c r="CU104" s="17">
        <f>CT104*VLOOKUP('Données projet'!$B$13,Paramètres!$A$1:$I$89,3,0)*VLOOKUP('Données projet'!$B$13,Paramètres!$A$1:$I$89,5,0)</f>
        <v>-1.8621904018800707E-13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351.7266381615546</v>
      </c>
      <c r="CZ104" s="59">
        <f t="shared" si="96"/>
        <v>340.52483243761799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79.224808504091342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79.224808504091342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67.993577590124985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4.8</v>
      </c>
      <c r="DO104" s="12">
        <f>IF('Données projet'!$A$166&gt;35,DO103+DN104-DW103,IF(A104&lt;'Données projet'!$A$166,$DL$205^A104,IF(A104='Données projet'!$A$166,'Données projet'!$B$166,DO103+DN104-DW103)))</f>
        <v>449.8</v>
      </c>
      <c r="DP104" s="17">
        <f>DO104*VLOOKUP('Données projet'!$B$14,Paramètres!$A$1:$I$89,3,0)*VLOOKUP('Données projet'!$B$14,Paramètres!$A$1:$I$89,5,0)</f>
        <v>385.92840000000001</v>
      </c>
      <c r="DQ104" s="13">
        <f t="shared" si="97"/>
        <v>88.917945476222783</v>
      </c>
      <c r="DR104" s="20">
        <f t="shared" si="70"/>
        <v>827.02405170442125</v>
      </c>
      <c r="DS104" s="59">
        <f t="shared" si="71"/>
        <v>1113.0005028682128</v>
      </c>
      <c r="DT104" s="59">
        <f ca="1">AVERAGE(OFFSET($DS$3,0,0,'Données projet'!$E$14+1,1))-AVERAGE(OFFSET($H$3,0,0,'Données projet'!$E$14+1,1))</f>
        <v>569.21675741362196</v>
      </c>
      <c r="DU104" s="59">
        <f t="shared" si="98"/>
        <v>321.12410801891679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66.44734400950405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66.44734400950405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67.993577590124985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-2.8421709430404007E-13</v>
      </c>
      <c r="EK104" s="17">
        <f>EJ104*VLOOKUP('Données projet'!$B$15,Paramètres!$A$1:$I$89,3,0)*VLOOKUP('Données projet'!$B$15,Paramètres!$A$1:$I$89,5,0)</f>
        <v>-2.2612312022829427E-13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416.63597645452791</v>
      </c>
      <c r="EP104" s="59">
        <f t="shared" si="100"/>
        <v>402.05920382353497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118.57400741226957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118.57400741226957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67.993577590124985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>
        <f>FE104*VLOOKUP('Données projet'!$B$16,Paramètres!$A$1:$I$89,3,0)*VLOOKUP('Données projet'!$B$16,Paramètres!$A$1:$I$89,5,0)</f>
        <v>0</v>
      </c>
      <c r="FG104" s="13" t="e">
        <f t="shared" si="101"/>
        <v>#NUM!</v>
      </c>
      <c r="FH104" s="20" t="e">
        <f t="shared" si="76"/>
        <v>#NUM!</v>
      </c>
      <c r="FI104" s="59" t="e">
        <f t="shared" si="77"/>
        <v>#NUM!</v>
      </c>
      <c r="FJ104" s="59">
        <f ca="1">AVERAGE(OFFSET($FI$3,0,0,'Données projet'!$E$16+1,1))-AVERAGE(OFFSET($H$3,0,0,'Données projet'!$E$16+1,1))</f>
        <v>395.57130469647603</v>
      </c>
      <c r="FK104" s="59">
        <f t="shared" si="102"/>
        <v>383.97542781562674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112.47955591385609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112.47955591385609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67.993577590124985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>
        <f>FZ104*VLOOKUP('Données projet'!$B$17,Paramètres!$A$1:$I$89,3,0)*VLOOKUP('Données projet'!$B$17,Paramètres!$A$1:$I$89,5,0)</f>
        <v>0</v>
      </c>
      <c r="GB104" s="13" t="e">
        <f t="shared" si="103"/>
        <v>#NUM!</v>
      </c>
      <c r="GC104" s="20" t="e">
        <f t="shared" si="79"/>
        <v>#NUM!</v>
      </c>
      <c r="GD104" s="59" t="e">
        <f t="shared" si="80"/>
        <v>#NUM!</v>
      </c>
      <c r="GE104" s="59">
        <f ca="1">AVERAGE(OFFSET($GD$3,0,0,'Données projet'!$E$17+1,1))-AVERAGE(OFFSET($H$3,0,0,'Données projet'!$E$17+1,1))</f>
        <v>301.74744407733351</v>
      </c>
      <c r="GF104" s="59">
        <f t="shared" si="104"/>
        <v>292.46787700966991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58.421891552739943</v>
      </c>
      <c r="GM104" s="21">
        <f>EXP(-LN(2)/25)*GM103+(1-EXP(-LN(2)/25))/(LN(2)/25)*Calculateur!GH104*Calculateur!GJ104*VLOOKUP('Données projet'!$B$17,Paramètres!$A$1:$I$89,3,0)*0.475*44/12</f>
        <v>0</v>
      </c>
      <c r="GN104" s="21">
        <f>EXP(-LN(2)/2)*GN103+(1-EXP(-LN(2)/2))/(LN(2)/2)*GH104*GK104*VLOOKUP('Données projet'!$B$17,Paramètres!$A$1:$I$89,3,0)*0.475*44/12</f>
        <v>0</v>
      </c>
      <c r="GO104" s="21">
        <f t="shared" si="81"/>
        <v>58.421891552739943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67.993577590124985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-2.8421709430404007E-13</v>
      </c>
      <c r="GV104" s="17">
        <f>GU104*VLOOKUP('Données projet'!$B$18,Paramètres!$A$1:$I$89,3,0)*VLOOKUP('Données projet'!$B$18,Paramètres!$A$1:$I$89,5,0)</f>
        <v>-1.6848389350343495E-13</v>
      </c>
      <c r="GW104" s="13" t="e">
        <f t="shared" si="105"/>
        <v>#NUM!</v>
      </c>
      <c r="GX104" s="20" t="e">
        <f t="shared" si="82"/>
        <v>#NUM!</v>
      </c>
      <c r="GY104" s="59" t="e">
        <f t="shared" si="83"/>
        <v>#NUM!</v>
      </c>
      <c r="GZ104" s="59">
        <f ca="1">AVERAGE(OFFSET($GY$3,0,0,'Données projet'!$E$18+1,1))-AVERAGE(OFFSET($H$3,0,0,'Données projet'!$E$18+1,1))</f>
        <v>322.78672881269978</v>
      </c>
      <c r="HA104" s="59">
        <f t="shared" si="106"/>
        <v>313.08736327626434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93.734683589647489</v>
      </c>
      <c r="HH104" s="21">
        <f>EXP(-LN(2)/25)*HH103+(1-EXP(-LN(2)/25))/(LN(2)/25)*Calculateur!HC104*Calculateur!HE104*VLOOKUP('Données projet'!$B$18,Paramètres!$A$1:$I$89,3,0)*0.475*44/12</f>
        <v>0</v>
      </c>
      <c r="HI104" s="21">
        <f>EXP(-LN(2)/2)*HI103+(1-EXP(-LN(2)/2))/(LN(2)/2)*HC104*HF104*VLOOKUP('Données projet'!$B$18,Paramètres!$A$1:$I$89,3,0)*0.475*44/12</f>
        <v>0</v>
      </c>
      <c r="HJ104" s="22">
        <f t="shared" si="84"/>
        <v>93.734683589647489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2.3499999999999996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8.6166666666666654</v>
      </c>
      <c r="H105" s="67">
        <f t="shared" si="56"/>
        <v>222.20000000000002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68.028384533247817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5.2</v>
      </c>
      <c r="N105" s="13">
        <f>IF('Données projet'!$A$36&gt;35,N104+M105-V104,IF(A105&lt;'Données projet'!$A$36,$K$205^A105,IF(A105='Données projet'!$A$36,'Données projet'!$B$36,N104+M105-V104)))</f>
        <v>316.40000000000015</v>
      </c>
      <c r="O105" s="13">
        <f>N105*VLOOKUP('Données projet'!$B$9,Paramètres!$A$1:$I$89,3,0)*VLOOKUP('Données projet'!$B$9,Paramètres!$A$1:$I$89,5,0)</f>
        <v>286.27872000000013</v>
      </c>
      <c r="P105" s="13">
        <f t="shared" si="87"/>
        <v>68.292165517667613</v>
      </c>
      <c r="Q105" s="20">
        <f t="shared" si="107"/>
        <v>617.54429227660466</v>
      </c>
      <c r="R105" s="59">
        <f t="shared" si="55"/>
        <v>903.64836889851335</v>
      </c>
      <c r="S105" s="59">
        <f ca="1">AVERAGE(OFFSET($R$3,0,0,'Données projet'!$E$9+1,1))-AVERAGE(OFFSET($H$3,0,0,'Données projet'!$E$9+1,1))</f>
        <v>473.88815717313474</v>
      </c>
      <c r="T105" s="59">
        <f t="shared" si="88"/>
        <v>287.19790203552895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51.820597580653299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51.820597580653299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68.028384533247817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5.2</v>
      </c>
      <c r="AI105" s="13">
        <f>IF('Données projet'!$A$62&gt;35,AI104+AH105-AQ104,IF(A105&lt;'Données projet'!$A$62,$AF$205^A105,IF(A105='Données projet'!$A$62,'Données projet'!$B$62,AI104+AH105-AQ104)))</f>
        <v>316.40000000000015</v>
      </c>
      <c r="AJ105" s="13">
        <f>AI105*VLOOKUP('Données projet'!$B$10,Paramètres!$A$1:$I$89,3,0)*VLOOKUP('Données projet'!$B$10,Paramètres!$A$1:$I$89,5,0)</f>
        <v>266.53536000000014</v>
      </c>
      <c r="AK105" s="13">
        <f t="shared" si="89"/>
        <v>64.113433471449795</v>
      </c>
      <c r="AL105" s="20">
        <f t="shared" si="58"/>
        <v>575.87998196277533</v>
      </c>
      <c r="AM105" s="59">
        <f t="shared" si="59"/>
        <v>861.98405858468391</v>
      </c>
      <c r="AN105" s="59">
        <f ca="1">AVERAGE(OFFSET($AM$3,0,0,'Données projet'!$E$10+1,1))-AVERAGE(OFFSET($H$3,0,0,'Données projet'!$E$10+1,1))</f>
        <v>445.19118535527258</v>
      </c>
      <c r="AO105" s="59">
        <f t="shared" si="90"/>
        <v>270.93483242839363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48.246763264746185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48.246763264746185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68.028384533247817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5.2</v>
      </c>
      <c r="BD105" s="12">
        <f>IF('Données projet'!$A$88&gt;35,BD104+BC105-BL104,IF(A105&lt;'Données projet'!$A$88,$BA$205^A105,IF(A105='Données projet'!$A$88,'Données projet'!$B$88,BD104+BC105-BL104)))</f>
        <v>316.40000000000015</v>
      </c>
      <c r="BE105" s="13">
        <f>BD105*VLOOKUP('Données projet'!$B$11,Paramètres!$A$1:$I$89,3,0)*VLOOKUP('Données projet'!$B$11,Paramètres!$A$1:$I$89,5,0)</f>
        <v>320.8296000000002</v>
      </c>
      <c r="BF105" s="13">
        <f t="shared" si="91"/>
        <v>75.525942057150743</v>
      </c>
      <c r="BG105" s="20">
        <f t="shared" si="61"/>
        <v>690.31923574953782</v>
      </c>
      <c r="BH105" s="59">
        <f t="shared" si="62"/>
        <v>976.4233123714464</v>
      </c>
      <c r="BI105" s="59">
        <f ca="1">AVERAGE(OFFSET($BH$3,0,0,'Données projet'!$E$11+1,1))-AVERAGE(OFFSET($H$3,0,0,'Données projet'!$E$11+1,1))</f>
        <v>524.01140973345832</v>
      </c>
      <c r="BJ105" s="59">
        <f t="shared" si="92"/>
        <v>315.59942237999621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58.074807633490764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58.074807633490764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68.028384533247817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-2.8421709430404007E-13</v>
      </c>
      <c r="BZ105" s="13">
        <f>BY105*VLOOKUP('Données projet'!$B$12,Paramètres!$A$1:$I$89,3,0)*VLOOKUP('Données projet'!$B$12,Paramètres!$A$1:$I$89,5,0)</f>
        <v>-1.9065282685915009E-13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358.95222991910504</v>
      </c>
      <c r="CE105" s="59">
        <f t="shared" si="94"/>
        <v>347.37506646970905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91.856298089063927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91.856298089063927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68.028384533247817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-2.8421709430404007E-13</v>
      </c>
      <c r="CU105" s="17">
        <f>CT105*VLOOKUP('Données projet'!$B$13,Paramètres!$A$1:$I$89,3,0)*VLOOKUP('Données projet'!$B$13,Paramètres!$A$1:$I$89,5,0)</f>
        <v>-1.8621904018800707E-13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351.7266381615546</v>
      </c>
      <c r="CZ105" s="59">
        <f t="shared" si="96"/>
        <v>340.52483243761799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77.671258331687866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77.671258331687866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68.028384533247817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4.8</v>
      </c>
      <c r="DO105" s="12">
        <f>IF('Données projet'!$A$166&gt;35,DO104+DN105-DW104,IF(A105&lt;'Données projet'!$A$166,$DL$205^A105,IF(A105='Données projet'!$A$166,'Données projet'!$B$166,DO104+DN105-DW104)))</f>
        <v>454.6</v>
      </c>
      <c r="DP105" s="17">
        <f>DO105*VLOOKUP('Données projet'!$B$14,Paramètres!$A$1:$I$89,3,0)*VLOOKUP('Données projet'!$B$14,Paramètres!$A$1:$I$89,5,0)</f>
        <v>390.04680000000008</v>
      </c>
      <c r="DQ105" s="13">
        <f t="shared" si="97"/>
        <v>89.755857003253595</v>
      </c>
      <c r="DR105" s="20">
        <f t="shared" si="70"/>
        <v>835.65629428066677</v>
      </c>
      <c r="DS105" s="59">
        <f t="shared" si="71"/>
        <v>1121.7603709025755</v>
      </c>
      <c r="DT105" s="59">
        <f ca="1">AVERAGE(OFFSET($DS$3,0,0,'Données projet'!$E$14+1,1))-AVERAGE(OFFSET($H$3,0,0,'Données projet'!$E$14+1,1))</f>
        <v>569.21675741362196</v>
      </c>
      <c r="DU105" s="59">
        <f t="shared" si="98"/>
        <v>321.12410801891679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65.144352122355627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65.144352122355627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68.028384533247817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-2.8421709430404007E-13</v>
      </c>
      <c r="EK105" s="17">
        <f>EJ105*VLOOKUP('Données projet'!$B$15,Paramètres!$A$1:$I$89,3,0)*VLOOKUP('Données projet'!$B$15,Paramètres!$A$1:$I$89,5,0)</f>
        <v>-2.2612312022829427E-13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416.63597645452791</v>
      </c>
      <c r="EP105" s="59">
        <f t="shared" si="100"/>
        <v>402.05920382353497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116.24884344991818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116.24884344991818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68.028384533247817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>
        <f>FE105*VLOOKUP('Données projet'!$B$16,Paramètres!$A$1:$I$89,3,0)*VLOOKUP('Données projet'!$B$16,Paramètres!$A$1:$I$89,5,0)</f>
        <v>0</v>
      </c>
      <c r="FG105" s="13" t="e">
        <f t="shared" si="101"/>
        <v>#NUM!</v>
      </c>
      <c r="FH105" s="20" t="e">
        <f t="shared" si="76"/>
        <v>#NUM!</v>
      </c>
      <c r="FI105" s="59" t="e">
        <f t="shared" si="77"/>
        <v>#NUM!</v>
      </c>
      <c r="FJ105" s="59">
        <f ca="1">AVERAGE(OFFSET($FI$3,0,0,'Données projet'!$E$16+1,1))-AVERAGE(OFFSET($H$3,0,0,'Données projet'!$E$16+1,1))</f>
        <v>395.57130469647603</v>
      </c>
      <c r="FK105" s="59">
        <f t="shared" si="102"/>
        <v>383.97542781562674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110.27390042814022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110.27390042814022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68.028384533247817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>
        <f>FZ105*VLOOKUP('Données projet'!$B$17,Paramètres!$A$1:$I$89,3,0)*VLOOKUP('Données projet'!$B$17,Paramètres!$A$1:$I$89,5,0)</f>
        <v>0</v>
      </c>
      <c r="GB105" s="13" t="e">
        <f t="shared" si="103"/>
        <v>#NUM!</v>
      </c>
      <c r="GC105" s="20" t="e">
        <f t="shared" si="79"/>
        <v>#NUM!</v>
      </c>
      <c r="GD105" s="59" t="e">
        <f t="shared" si="80"/>
        <v>#NUM!</v>
      </c>
      <c r="GE105" s="59">
        <f ca="1">AVERAGE(OFFSET($GD$3,0,0,'Données projet'!$E$17+1,1))-AVERAGE(OFFSET($H$3,0,0,'Données projet'!$E$17+1,1))</f>
        <v>301.74744407733351</v>
      </c>
      <c r="GF105" s="59">
        <f t="shared" si="104"/>
        <v>292.46787700966991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57.276273893226012</v>
      </c>
      <c r="GM105" s="21">
        <f>EXP(-LN(2)/25)*GM104+(1-EXP(-LN(2)/25))/(LN(2)/25)*Calculateur!GH105*Calculateur!GJ105*VLOOKUP('Données projet'!$B$17,Paramètres!$A$1:$I$89,3,0)*0.475*44/12</f>
        <v>0</v>
      </c>
      <c r="GN105" s="21">
        <f>EXP(-LN(2)/2)*GN104+(1-EXP(-LN(2)/2))/(LN(2)/2)*GH105*GK105*VLOOKUP('Données projet'!$B$17,Paramètres!$A$1:$I$89,3,0)*0.475*44/12</f>
        <v>0</v>
      </c>
      <c r="GO105" s="21">
        <f t="shared" si="81"/>
        <v>57.276273893226012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68.028384533247817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-2.8421709430404007E-13</v>
      </c>
      <c r="GV105" s="17">
        <f>GU105*VLOOKUP('Données projet'!$B$18,Paramètres!$A$1:$I$89,3,0)*VLOOKUP('Données projet'!$B$18,Paramètres!$A$1:$I$89,5,0)</f>
        <v>-1.6848389350343495E-13</v>
      </c>
      <c r="GW105" s="13" t="e">
        <f t="shared" si="105"/>
        <v>#NUM!</v>
      </c>
      <c r="GX105" s="20" t="e">
        <f t="shared" si="82"/>
        <v>#NUM!</v>
      </c>
      <c r="GY105" s="59" t="e">
        <f t="shared" si="83"/>
        <v>#NUM!</v>
      </c>
      <c r="GZ105" s="59">
        <f ca="1">AVERAGE(OFFSET($GY$3,0,0,'Données projet'!$E$18+1,1))-AVERAGE(OFFSET($H$3,0,0,'Données projet'!$E$18+1,1))</f>
        <v>322.78672881269978</v>
      </c>
      <c r="HA105" s="59">
        <f t="shared" si="106"/>
        <v>313.08736327626434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91.896603616966175</v>
      </c>
      <c r="HH105" s="21">
        <f>EXP(-LN(2)/25)*HH104+(1-EXP(-LN(2)/25))/(LN(2)/25)*Calculateur!HC105*Calculateur!HE105*VLOOKUP('Données projet'!$B$18,Paramètres!$A$1:$I$89,3,0)*0.475*44/12</f>
        <v>0</v>
      </c>
      <c r="HI105" s="21">
        <f>EXP(-LN(2)/2)*HI104+(1-EXP(-LN(2)/2))/(LN(2)/2)*HC105*HF105*VLOOKUP('Données projet'!$B$18,Paramètres!$A$1:$I$89,3,0)*0.475*44/12</f>
        <v>0</v>
      </c>
      <c r="HJ105" s="22">
        <f t="shared" si="84"/>
        <v>91.896603616966175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2.3499999999999996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8.6166666666666654</v>
      </c>
      <c r="H106" s="67">
        <f t="shared" si="56"/>
        <v>222.20000000000002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68.062587653724137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5.2</v>
      </c>
      <c r="N106" s="13">
        <f>IF('Données projet'!$A$36&gt;35,N105+M106-V105,IF(A106&lt;'Données projet'!$A$36,$K$205^A106,IF(A106='Données projet'!$A$36,'Données projet'!$B$36,N105+M106-V105)))</f>
        <v>321.60000000000014</v>
      </c>
      <c r="O106" s="13">
        <f>N106*VLOOKUP('Données projet'!$B$9,Paramètres!$A$1:$I$89,3,0)*VLOOKUP('Données projet'!$B$9,Paramètres!$A$1:$I$89,5,0)</f>
        <v>290.98368000000011</v>
      </c>
      <c r="P106" s="13">
        <f t="shared" si="87"/>
        <v>69.282952690245423</v>
      </c>
      <c r="Q106" s="20">
        <f t="shared" si="107"/>
        <v>627.46438526884424</v>
      </c>
      <c r="R106" s="59">
        <f t="shared" si="55"/>
        <v>913.69387333249938</v>
      </c>
      <c r="S106" s="59">
        <f ca="1">AVERAGE(OFFSET($R$3,0,0,'Données projet'!$E$9+1,1))-AVERAGE(OFFSET($H$3,0,0,'Données projet'!$E$9+1,1))</f>
        <v>473.88815717313474</v>
      </c>
      <c r="T106" s="59">
        <f t="shared" si="88"/>
        <v>287.19790203552895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50.804427269540234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50.804427269540234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68.062587653724137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5.2</v>
      </c>
      <c r="AI106" s="13">
        <f>IF('Données projet'!$A$62&gt;35,AI105+AH106-AQ105,IF(A106&lt;'Données projet'!$A$62,$AF$205^A106,IF(A106='Données projet'!$A$62,'Données projet'!$B$62,AI105+AH106-AQ105)))</f>
        <v>321.60000000000014</v>
      </c>
      <c r="AJ106" s="13">
        <f>AI106*VLOOKUP('Données projet'!$B$10,Paramètres!$A$1:$I$89,3,0)*VLOOKUP('Données projet'!$B$10,Paramètres!$A$1:$I$89,5,0)</f>
        <v>270.91584000000012</v>
      </c>
      <c r="AK106" s="13">
        <f t="shared" si="89"/>
        <v>65.043595328112545</v>
      </c>
      <c r="AL106" s="20">
        <f t="shared" si="58"/>
        <v>585.12934986312951</v>
      </c>
      <c r="AM106" s="59">
        <f t="shared" si="59"/>
        <v>871.35883792678464</v>
      </c>
      <c r="AN106" s="59">
        <f ca="1">AVERAGE(OFFSET($AM$3,0,0,'Données projet'!$E$10+1,1))-AVERAGE(OFFSET($H$3,0,0,'Données projet'!$E$10+1,1))</f>
        <v>445.19118535527258</v>
      </c>
      <c r="AO106" s="59">
        <f t="shared" si="90"/>
        <v>270.93483242839363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47.300673664744366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47.300673664744366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68.062587653724137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5.2</v>
      </c>
      <c r="BD106" s="12">
        <f>IF('Données projet'!$A$88&gt;35,BD105+BC106-BL105,IF(A106&lt;'Données projet'!$A$88,$BA$205^A106,IF(A106='Données projet'!$A$88,'Données projet'!$B$88,BD105+BC106-BL105)))</f>
        <v>321.60000000000014</v>
      </c>
      <c r="BE106" s="13">
        <f>BD106*VLOOKUP('Données projet'!$B$11,Paramètres!$A$1:$I$89,3,0)*VLOOKUP('Données projet'!$B$11,Paramètres!$A$1:$I$89,5,0)</f>
        <v>326.10240000000016</v>
      </c>
      <c r="BF106" s="13">
        <f t="shared" si="91"/>
        <v>76.621677329562345</v>
      </c>
      <c r="BG106" s="20">
        <f t="shared" si="61"/>
        <v>701.41110134898815</v>
      </c>
      <c r="BH106" s="59">
        <f t="shared" si="62"/>
        <v>987.64058941264329</v>
      </c>
      <c r="BI106" s="59">
        <f ca="1">AVERAGE(OFFSET($BH$3,0,0,'Données projet'!$E$11+1,1))-AVERAGE(OFFSET($H$3,0,0,'Données projet'!$E$11+1,1))</f>
        <v>524.01140973345832</v>
      </c>
      <c r="BJ106" s="59">
        <f t="shared" si="92"/>
        <v>315.59942237999621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56.935996077933019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56.935996077933019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68.062587653724137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-2.8421709430404007E-13</v>
      </c>
      <c r="BZ106" s="13">
        <f>BY106*VLOOKUP('Données projet'!$B$12,Paramètres!$A$1:$I$89,3,0)*VLOOKUP('Données projet'!$B$12,Paramètres!$A$1:$I$89,5,0)</f>
        <v>-1.9065282685915009E-13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358.95222991910504</v>
      </c>
      <c r="CE106" s="59">
        <f t="shared" si="94"/>
        <v>347.37506646970905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90.055052110347034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90.055052110347034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68.062587653724137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-2.8421709430404007E-13</v>
      </c>
      <c r="CU106" s="17">
        <f>CT106*VLOOKUP('Données projet'!$B$13,Paramètres!$A$1:$I$89,3,0)*VLOOKUP('Données projet'!$B$13,Paramètres!$A$1:$I$89,5,0)</f>
        <v>-1.8621904018800707E-13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351.7266381615546</v>
      </c>
      <c r="CZ106" s="59">
        <f t="shared" si="96"/>
        <v>340.52483243761799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76.148172330593184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76.148172330593184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68.062587653724137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4.8</v>
      </c>
      <c r="DO106" s="12">
        <f>IF('Données projet'!$A$166&gt;35,DO105+DN106-DW105,IF(A106&lt;'Données projet'!$A$166,$DL$205^A106,IF(A106='Données projet'!$A$166,'Données projet'!$B$166,DO105+DN106-DW105)))</f>
        <v>459.40000000000003</v>
      </c>
      <c r="DP106" s="17">
        <f>DO106*VLOOKUP('Données projet'!$B$14,Paramètres!$A$1:$I$89,3,0)*VLOOKUP('Données projet'!$B$14,Paramètres!$A$1:$I$89,5,0)</f>
        <v>394.16520000000008</v>
      </c>
      <c r="DQ106" s="13">
        <f t="shared" si="97"/>
        <v>90.592739318782193</v>
      </c>
      <c r="DR106" s="20">
        <f t="shared" si="70"/>
        <v>844.28674431354591</v>
      </c>
      <c r="DS106" s="59">
        <f t="shared" si="71"/>
        <v>1130.516232377201</v>
      </c>
      <c r="DT106" s="59">
        <f ca="1">AVERAGE(OFFSET($DS$3,0,0,'Données projet'!$E$14+1,1))-AVERAGE(OFFSET($H$3,0,0,'Données projet'!$E$14+1,1))</f>
        <v>569.21675741362196</v>
      </c>
      <c r="DU106" s="59">
        <f t="shared" si="98"/>
        <v>321.12410801891679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63.866911111367607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63.866911111367607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68.062587653724137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-2.8421709430404007E-13</v>
      </c>
      <c r="EK106" s="17">
        <f>EJ106*VLOOKUP('Données projet'!$B$15,Paramètres!$A$1:$I$89,3,0)*VLOOKUP('Données projet'!$B$15,Paramètres!$A$1:$I$89,5,0)</f>
        <v>-2.2612312022829427E-13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416.63597645452791</v>
      </c>
      <c r="EP106" s="59">
        <f t="shared" si="100"/>
        <v>402.05920382353497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113.96927453465852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113.96927453465852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68.062587653724137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>
        <f>FE106*VLOOKUP('Données projet'!$B$16,Paramètres!$A$1:$I$89,3,0)*VLOOKUP('Données projet'!$B$16,Paramètres!$A$1:$I$89,5,0)</f>
        <v>0</v>
      </c>
      <c r="FG106" s="13" t="e">
        <f t="shared" si="101"/>
        <v>#NUM!</v>
      </c>
      <c r="FH106" s="20" t="e">
        <f t="shared" si="76"/>
        <v>#NUM!</v>
      </c>
      <c r="FI106" s="59" t="e">
        <f t="shared" si="77"/>
        <v>#NUM!</v>
      </c>
      <c r="FJ106" s="59">
        <f ca="1">AVERAGE(OFFSET($FI$3,0,0,'Données projet'!$E$16+1,1))-AVERAGE(OFFSET($H$3,0,0,'Données projet'!$E$16+1,1))</f>
        <v>395.57130469647603</v>
      </c>
      <c r="FK106" s="59">
        <f t="shared" si="102"/>
        <v>383.97542781562674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108.11149650118224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108.11149650118224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68.062587653724137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>
        <f>FZ106*VLOOKUP('Données projet'!$B$17,Paramètres!$A$1:$I$89,3,0)*VLOOKUP('Données projet'!$B$17,Paramètres!$A$1:$I$89,5,0)</f>
        <v>0</v>
      </c>
      <c r="GB106" s="13" t="e">
        <f t="shared" si="103"/>
        <v>#NUM!</v>
      </c>
      <c r="GC106" s="20" t="e">
        <f t="shared" si="79"/>
        <v>#NUM!</v>
      </c>
      <c r="GD106" s="59" t="e">
        <f t="shared" si="80"/>
        <v>#NUM!</v>
      </c>
      <c r="GE106" s="59">
        <f ca="1">AVERAGE(OFFSET($GD$3,0,0,'Données projet'!$E$17+1,1))-AVERAGE(OFFSET($H$3,0,0,'Données projet'!$E$17+1,1))</f>
        <v>301.74744407733351</v>
      </c>
      <c r="GF106" s="59">
        <f t="shared" si="104"/>
        <v>292.46787700966991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56.153121097257369</v>
      </c>
      <c r="GM106" s="21">
        <f>EXP(-LN(2)/25)*GM105+(1-EXP(-LN(2)/25))/(LN(2)/25)*Calculateur!GH106*Calculateur!GJ106*VLOOKUP('Données projet'!$B$17,Paramètres!$A$1:$I$89,3,0)*0.475*44/12</f>
        <v>0</v>
      </c>
      <c r="GN106" s="21">
        <f>EXP(-LN(2)/2)*GN105+(1-EXP(-LN(2)/2))/(LN(2)/2)*GH106*GK106*VLOOKUP('Données projet'!$B$17,Paramètres!$A$1:$I$89,3,0)*0.475*44/12</f>
        <v>0</v>
      </c>
      <c r="GO106" s="21">
        <f t="shared" si="81"/>
        <v>56.153121097257369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68.062587653724137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-2.8421709430404007E-13</v>
      </c>
      <c r="GV106" s="17">
        <f>GU106*VLOOKUP('Données projet'!$B$18,Paramètres!$A$1:$I$89,3,0)*VLOOKUP('Données projet'!$B$18,Paramètres!$A$1:$I$89,5,0)</f>
        <v>-1.6848389350343495E-13</v>
      </c>
      <c r="GW106" s="13" t="e">
        <f t="shared" si="105"/>
        <v>#NUM!</v>
      </c>
      <c r="GX106" s="20" t="e">
        <f t="shared" si="82"/>
        <v>#NUM!</v>
      </c>
      <c r="GY106" s="59" t="e">
        <f t="shared" si="83"/>
        <v>#NUM!</v>
      </c>
      <c r="GZ106" s="59">
        <f ca="1">AVERAGE(OFFSET($GY$3,0,0,'Données projet'!$E$18+1,1))-AVERAGE(OFFSET($H$3,0,0,'Données projet'!$E$18+1,1))</f>
        <v>322.78672881269978</v>
      </c>
      <c r="HA106" s="59">
        <f t="shared" si="106"/>
        <v>313.08736327626434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90.09456727143106</v>
      </c>
      <c r="HH106" s="21">
        <f>EXP(-LN(2)/25)*HH105+(1-EXP(-LN(2)/25))/(LN(2)/25)*Calculateur!HC106*Calculateur!HE106*VLOOKUP('Données projet'!$B$18,Paramètres!$A$1:$I$89,3,0)*0.475*44/12</f>
        <v>0</v>
      </c>
      <c r="HI106" s="21">
        <f>EXP(-LN(2)/2)*HI105+(1-EXP(-LN(2)/2))/(LN(2)/2)*HC106*HF106*VLOOKUP('Données projet'!$B$18,Paramètres!$A$1:$I$89,3,0)*0.475*44/12</f>
        <v>0</v>
      </c>
      <c r="HJ106" s="22">
        <f t="shared" si="84"/>
        <v>90.09456727143106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2.3499999999999996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8.6166666666666654</v>
      </c>
      <c r="H107" s="67">
        <f t="shared" si="56"/>
        <v>222.20000000000002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68.096197426526899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5.2</v>
      </c>
      <c r="N107" s="13">
        <f>IF('Données projet'!$A$36&gt;35,N106+M107-V106,IF(A107&lt;'Données projet'!$A$36,$K$205^A107,IF(A107='Données projet'!$A$36,'Données projet'!$B$36,N106+M107-V106)))</f>
        <v>326.80000000000013</v>
      </c>
      <c r="O107" s="13">
        <f>N107*VLOOKUP('Données projet'!$B$9,Paramètres!$A$1:$I$89,3,0)*VLOOKUP('Données projet'!$B$9,Paramètres!$A$1:$I$89,5,0)</f>
        <v>295.68864000000013</v>
      </c>
      <c r="P107" s="13">
        <f t="shared" si="87"/>
        <v>70.271876780519804</v>
      </c>
      <c r="Q107" s="20">
        <f t="shared" si="107"/>
        <v>637.38123339273886</v>
      </c>
      <c r="R107" s="59">
        <f t="shared" si="55"/>
        <v>923.73395729000413</v>
      </c>
      <c r="S107" s="59">
        <f ca="1">AVERAGE(OFFSET($R$3,0,0,'Données projet'!$E$9+1,1))-AVERAGE(OFFSET($H$3,0,0,'Données projet'!$E$9+1,1))</f>
        <v>473.88815717313474</v>
      </c>
      <c r="T107" s="59">
        <f t="shared" si="88"/>
        <v>287.19790203552895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49.808183438425409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49.808183438425409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68.096197426526899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5.2</v>
      </c>
      <c r="AI107" s="13">
        <f>IF('Données projet'!$A$62&gt;35,AI106+AH107-AQ106,IF(A107&lt;'Données projet'!$A$62,$AF$205^A107,IF(A107='Données projet'!$A$62,'Données projet'!$B$62,AI106+AH107-AQ106)))</f>
        <v>326.80000000000013</v>
      </c>
      <c r="AJ107" s="13">
        <f>AI107*VLOOKUP('Données projet'!$B$10,Paramètres!$A$1:$I$89,3,0)*VLOOKUP('Données projet'!$B$10,Paramètres!$A$1:$I$89,5,0)</f>
        <v>275.29632000000009</v>
      </c>
      <c r="AK107" s="13">
        <f t="shared" si="89"/>
        <v>65.972008102689358</v>
      </c>
      <c r="AL107" s="20">
        <f t="shared" si="58"/>
        <v>594.37567144551747</v>
      </c>
      <c r="AM107" s="59">
        <f t="shared" si="59"/>
        <v>880.72839534278273</v>
      </c>
      <c r="AN107" s="59">
        <f ca="1">AVERAGE(OFFSET($AM$3,0,0,'Données projet'!$E$10+1,1))-AVERAGE(OFFSET($H$3,0,0,'Données projet'!$E$10+1,1))</f>
        <v>445.19118535527258</v>
      </c>
      <c r="AO107" s="59">
        <f t="shared" si="90"/>
        <v>270.93483242839363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46.37313630474091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46.37313630474091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68.096197426526899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5.2</v>
      </c>
      <c r="BD107" s="12">
        <f>IF('Données projet'!$A$88&gt;35,BD106+BC107-BL106,IF(A107&lt;'Données projet'!$A$88,$BA$205^A107,IF(A107='Données projet'!$A$88,'Données projet'!$B$88,BD106+BC107-BL106)))</f>
        <v>326.80000000000013</v>
      </c>
      <c r="BE107" s="13">
        <f>BD107*VLOOKUP('Données projet'!$B$11,Paramètres!$A$1:$I$89,3,0)*VLOOKUP('Données projet'!$B$11,Paramètres!$A$1:$I$89,5,0)</f>
        <v>331.37520000000018</v>
      </c>
      <c r="BF107" s="13">
        <f t="shared" si="91"/>
        <v>77.715352174616967</v>
      </c>
      <c r="BG107" s="20">
        <f t="shared" si="61"/>
        <v>712.49937837079142</v>
      </c>
      <c r="BH107" s="59">
        <f t="shared" si="62"/>
        <v>998.8521022680568</v>
      </c>
      <c r="BI107" s="59">
        <f ca="1">AVERAGE(OFFSET($BH$3,0,0,'Données projet'!$E$11+1,1))-AVERAGE(OFFSET($H$3,0,0,'Données projet'!$E$11+1,1))</f>
        <v>524.01140973345832</v>
      </c>
      <c r="BJ107" s="59">
        <f t="shared" si="92"/>
        <v>315.59942237999621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55.819515922373299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55.819515922373299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68.096197426526899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-2.8421709430404007E-13</v>
      </c>
      <c r="BZ107" s="13">
        <f>BY107*VLOOKUP('Données projet'!$B$12,Paramètres!$A$1:$I$89,3,0)*VLOOKUP('Données projet'!$B$12,Paramètres!$A$1:$I$89,5,0)</f>
        <v>-1.9065282685915009E-13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358.95222991910504</v>
      </c>
      <c r="CE107" s="59">
        <f t="shared" si="94"/>
        <v>347.37506646970905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88.28912746662121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88.28912746662121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68.096197426526899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-2.8421709430404007E-13</v>
      </c>
      <c r="CU107" s="17">
        <f>CT107*VLOOKUP('Données projet'!$B$13,Paramètres!$A$1:$I$89,3,0)*VLOOKUP('Données projet'!$B$13,Paramètres!$A$1:$I$89,5,0)</f>
        <v>-1.8621904018800707E-13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351.7266381615546</v>
      </c>
      <c r="CZ107" s="59">
        <f t="shared" si="96"/>
        <v>340.52483243761799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74.654953116989233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74.654953116989233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68.096197426526899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4.8</v>
      </c>
      <c r="DO107" s="12">
        <f>IF('Données projet'!$A$166&gt;35,DO106+DN107-DW106,IF(A107&lt;'Données projet'!$A$166,$DL$205^A107,IF(A107='Données projet'!$A$166,'Données projet'!$B$166,DO106+DN107-DW106)))</f>
        <v>464.20000000000005</v>
      </c>
      <c r="DP107" s="17">
        <f>DO107*VLOOKUP('Données projet'!$B$14,Paramètres!$A$1:$I$89,3,0)*VLOOKUP('Données projet'!$B$14,Paramètres!$A$1:$I$89,5,0)</f>
        <v>398.28360000000009</v>
      </c>
      <c r="DQ107" s="13">
        <f t="shared" si="97"/>
        <v>91.42860442129647</v>
      </c>
      <c r="DR107" s="20">
        <f t="shared" si="70"/>
        <v>852.91542270042476</v>
      </c>
      <c r="DS107" s="59">
        <f t="shared" si="71"/>
        <v>1139.26814659769</v>
      </c>
      <c r="DT107" s="59">
        <f ca="1">AVERAGE(OFFSET($DS$3,0,0,'Données projet'!$E$14+1,1))-AVERAGE(OFFSET($H$3,0,0,'Données projet'!$E$14+1,1))</f>
        <v>569.21675741362196</v>
      </c>
      <c r="DU107" s="59">
        <f t="shared" si="98"/>
        <v>321.12410801891679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62.614519939442985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62.614519939442985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68.096197426526899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-2.8421709430404007E-13</v>
      </c>
      <c r="EK107" s="17">
        <f>EJ107*VLOOKUP('Données projet'!$B$15,Paramètres!$A$1:$I$89,3,0)*VLOOKUP('Données projet'!$B$15,Paramètres!$A$1:$I$89,5,0)</f>
        <v>-2.2612312022829427E-13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416.63597645452791</v>
      </c>
      <c r="EP107" s="59">
        <f t="shared" si="100"/>
        <v>402.05920382353497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111.73440657542736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111.73440657542736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68.096197426526899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>
        <f>FE107*VLOOKUP('Données projet'!$B$16,Paramètres!$A$1:$I$89,3,0)*VLOOKUP('Données projet'!$B$16,Paramètres!$A$1:$I$89,5,0)</f>
        <v>0</v>
      </c>
      <c r="FG107" s="13" t="e">
        <f t="shared" si="101"/>
        <v>#NUM!</v>
      </c>
      <c r="FH107" s="20" t="e">
        <f t="shared" si="76"/>
        <v>#NUM!</v>
      </c>
      <c r="FI107" s="59" t="e">
        <f t="shared" si="77"/>
        <v>#NUM!</v>
      </c>
      <c r="FJ107" s="59">
        <f ca="1">AVERAGE(OFFSET($FI$3,0,0,'Données projet'!$E$16+1,1))-AVERAGE(OFFSET($H$3,0,0,'Données projet'!$E$16+1,1))</f>
        <v>395.57130469647603</v>
      </c>
      <c r="FK107" s="59">
        <f t="shared" si="102"/>
        <v>383.97542781562674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105.99149599629574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105.99149599629574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68.096197426526899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>
        <f>FZ107*VLOOKUP('Données projet'!$B$17,Paramètres!$A$1:$I$89,3,0)*VLOOKUP('Données projet'!$B$17,Paramètres!$A$1:$I$89,5,0)</f>
        <v>0</v>
      </c>
      <c r="GB107" s="13" t="e">
        <f t="shared" si="103"/>
        <v>#NUM!</v>
      </c>
      <c r="GC107" s="20" t="e">
        <f t="shared" si="79"/>
        <v>#NUM!</v>
      </c>
      <c r="GD107" s="59" t="e">
        <f t="shared" si="80"/>
        <v>#NUM!</v>
      </c>
      <c r="GE107" s="59">
        <f ca="1">AVERAGE(OFFSET($GD$3,0,0,'Données projet'!$E$17+1,1))-AVERAGE(OFFSET($H$3,0,0,'Données projet'!$E$17+1,1))</f>
        <v>301.74744407733351</v>
      </c>
      <c r="GF107" s="59">
        <f t="shared" si="104"/>
        <v>292.46787700966991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55.051992642562112</v>
      </c>
      <c r="GM107" s="21">
        <f>EXP(-LN(2)/25)*GM106+(1-EXP(-LN(2)/25))/(LN(2)/25)*Calculateur!GH107*Calculateur!GJ107*VLOOKUP('Données projet'!$B$17,Paramètres!$A$1:$I$89,3,0)*0.475*44/12</f>
        <v>0</v>
      </c>
      <c r="GN107" s="21">
        <f>EXP(-LN(2)/2)*GN106+(1-EXP(-LN(2)/2))/(LN(2)/2)*GH107*GK107*VLOOKUP('Données projet'!$B$17,Paramètres!$A$1:$I$89,3,0)*0.475*44/12</f>
        <v>0</v>
      </c>
      <c r="GO107" s="21">
        <f t="shared" si="81"/>
        <v>55.051992642562112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68.096197426526899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-2.8421709430404007E-13</v>
      </c>
      <c r="GV107" s="17">
        <f>GU107*VLOOKUP('Données projet'!$B$18,Paramètres!$A$1:$I$89,3,0)*VLOOKUP('Données projet'!$B$18,Paramètres!$A$1:$I$89,5,0)</f>
        <v>-1.6848389350343495E-13</v>
      </c>
      <c r="GW107" s="13" t="e">
        <f t="shared" si="105"/>
        <v>#NUM!</v>
      </c>
      <c r="GX107" s="20" t="e">
        <f t="shared" si="82"/>
        <v>#NUM!</v>
      </c>
      <c r="GY107" s="59" t="e">
        <f t="shared" si="83"/>
        <v>#NUM!</v>
      </c>
      <c r="GZ107" s="59">
        <f ca="1">AVERAGE(OFFSET($GY$3,0,0,'Données projet'!$E$18+1,1))-AVERAGE(OFFSET($H$3,0,0,'Données projet'!$E$18+1,1))</f>
        <v>322.78672881269978</v>
      </c>
      <c r="HA107" s="59">
        <f t="shared" si="106"/>
        <v>313.08736327626434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88.327867759498247</v>
      </c>
      <c r="HH107" s="21">
        <f>EXP(-LN(2)/25)*HH106+(1-EXP(-LN(2)/25))/(LN(2)/25)*Calculateur!HC107*Calculateur!HE107*VLOOKUP('Données projet'!$B$18,Paramètres!$A$1:$I$89,3,0)*0.475*44/12</f>
        <v>0</v>
      </c>
      <c r="HI107" s="21">
        <f>EXP(-LN(2)/2)*HI106+(1-EXP(-LN(2)/2))/(LN(2)/2)*HC107*HF107*VLOOKUP('Données projet'!$B$18,Paramètres!$A$1:$I$89,3,0)*0.475*44/12</f>
        <v>0</v>
      </c>
      <c r="HJ107" s="22">
        <f t="shared" si="84"/>
        <v>88.327867759498247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2.3499999999999996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8.6166666666666654</v>
      </c>
      <c r="H108" s="67">
        <f t="shared" si="56"/>
        <v>222.20000000000002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68.129224144911745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5.2</v>
      </c>
      <c r="N108" s="13">
        <f>IF('Données projet'!$A$36&gt;35,N107+M108-V107,IF(A108&lt;'Données projet'!$A$36,$K$205^A108,IF(A108='Données projet'!$A$36,'Données projet'!$B$36,N107+M108-V107)))</f>
        <v>332.00000000000011</v>
      </c>
      <c r="O108" s="13">
        <f>N108*VLOOKUP('Données projet'!$B$9,Paramètres!$A$1:$I$89,3,0)*VLOOKUP('Données projet'!$B$9,Paramètres!$A$1:$I$89,5,0)</f>
        <v>300.39360000000011</v>
      </c>
      <c r="P108" s="13">
        <f t="shared" si="87"/>
        <v>71.258970856492738</v>
      </c>
      <c r="Q108" s="20">
        <f t="shared" si="107"/>
        <v>647.29489424172505</v>
      </c>
      <c r="R108" s="59">
        <f t="shared" si="55"/>
        <v>933.76871610640137</v>
      </c>
      <c r="S108" s="59">
        <f ca="1">AVERAGE(OFFSET($R$3,0,0,'Données projet'!$E$9+1,1))-AVERAGE(OFFSET($H$3,0,0,'Données projet'!$E$9+1,1))</f>
        <v>473.88815717313474</v>
      </c>
      <c r="T108" s="59">
        <f t="shared" si="88"/>
        <v>287.19790203552895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48.831475341190007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48.831475341190007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68.129224144911745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5.2</v>
      </c>
      <c r="AI108" s="13">
        <f>IF('Données projet'!$A$62&gt;35,AI107+AH108-AQ107,IF(A108&lt;'Données projet'!$A$62,$AF$205^A108,IF(A108='Données projet'!$A$62,'Données projet'!$B$62,AI107+AH108-AQ107)))</f>
        <v>332.00000000000011</v>
      </c>
      <c r="AJ108" s="13">
        <f>AI108*VLOOKUP('Données projet'!$B$10,Paramètres!$A$1:$I$89,3,0)*VLOOKUP('Données projet'!$B$10,Paramètres!$A$1:$I$89,5,0)</f>
        <v>279.67680000000013</v>
      </c>
      <c r="AK108" s="13">
        <f t="shared" si="89"/>
        <v>66.898702839783098</v>
      </c>
      <c r="AL108" s="20">
        <f t="shared" si="58"/>
        <v>603.61900077928908</v>
      </c>
      <c r="AM108" s="59">
        <f t="shared" si="59"/>
        <v>890.09282264396552</v>
      </c>
      <c r="AN108" s="59">
        <f ca="1">AVERAGE(OFFSET($AM$3,0,0,'Données projet'!$E$10+1,1))-AVERAGE(OFFSET($H$3,0,0,'Données projet'!$E$10+1,1))</f>
        <v>445.19118535527258</v>
      </c>
      <c r="AO108" s="59">
        <f t="shared" si="90"/>
        <v>270.93483242839363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45.463787386625192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45.463787386625192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68.129224144911745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5.2</v>
      </c>
      <c r="BD108" s="12">
        <f>IF('Données projet'!$A$88&gt;35,BD107+BC108-BL107,IF(A108&lt;'Données projet'!$A$88,$BA$205^A108,IF(A108='Données projet'!$A$88,'Données projet'!$B$88,BD107+BC108-BL107)))</f>
        <v>332.00000000000011</v>
      </c>
      <c r="BE108" s="13">
        <f>BD108*VLOOKUP('Données projet'!$B$11,Paramètres!$A$1:$I$89,3,0)*VLOOKUP('Données projet'!$B$11,Paramètres!$A$1:$I$89,5,0)</f>
        <v>336.64800000000014</v>
      </c>
      <c r="BF108" s="13">
        <f t="shared" si="91"/>
        <v>78.807003163010378</v>
      </c>
      <c r="BG108" s="20">
        <f t="shared" si="61"/>
        <v>723.58413050891011</v>
      </c>
      <c r="BH108" s="59">
        <f t="shared" si="62"/>
        <v>1010.0579523735864</v>
      </c>
      <c r="BI108" s="59">
        <f ca="1">AVERAGE(OFFSET($BH$3,0,0,'Données projet'!$E$11+1,1))-AVERAGE(OFFSET($H$3,0,0,'Données projet'!$E$11+1,1))</f>
        <v>524.01140973345832</v>
      </c>
      <c r="BJ108" s="59">
        <f t="shared" si="92"/>
        <v>315.59942237999621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54.724929261678454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54.724929261678454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68.129224144911745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-2.8421709430404007E-13</v>
      </c>
      <c r="BZ108" s="13">
        <f>BY108*VLOOKUP('Données projet'!$B$12,Paramètres!$A$1:$I$89,3,0)*VLOOKUP('Données projet'!$B$12,Paramètres!$A$1:$I$89,5,0)</f>
        <v>-1.9065282685915009E-13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358.95222991910504</v>
      </c>
      <c r="CE108" s="59">
        <f t="shared" si="94"/>
        <v>347.37506646970905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86.557831528051167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86.557831528051167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68.129224144911745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-2.8421709430404007E-13</v>
      </c>
      <c r="CU108" s="17">
        <f>CT108*VLOOKUP('Données projet'!$B$13,Paramètres!$A$1:$I$89,3,0)*VLOOKUP('Données projet'!$B$13,Paramètres!$A$1:$I$89,5,0)</f>
        <v>-1.8621904018800707E-13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351.7266381615546</v>
      </c>
      <c r="CZ108" s="59">
        <f t="shared" si="96"/>
        <v>340.52483243761799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73.191015021390271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73.191015021390271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68.129224144911745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4.8</v>
      </c>
      <c r="DO108" s="12">
        <f>IF('Données projet'!$A$166&gt;35,DO107+DN108-DW107,IF(A108&lt;'Données projet'!$A$166,$DL$205^A108,IF(A108='Données projet'!$A$166,'Données projet'!$B$166,DO107+DN108-DW107)))</f>
        <v>469.00000000000006</v>
      </c>
      <c r="DP108" s="17">
        <f>DO108*VLOOKUP('Données projet'!$B$14,Paramètres!$A$1:$I$89,3,0)*VLOOKUP('Données projet'!$B$14,Paramètres!$A$1:$I$89,5,0)</f>
        <v>402.4020000000001</v>
      </c>
      <c r="DQ108" s="13">
        <f t="shared" si="97"/>
        <v>92.263464046848981</v>
      </c>
      <c r="DR108" s="20">
        <f t="shared" si="70"/>
        <v>861.54234988159533</v>
      </c>
      <c r="DS108" s="59">
        <f t="shared" si="71"/>
        <v>1148.0161717462718</v>
      </c>
      <c r="DT108" s="59">
        <f ca="1">AVERAGE(OFFSET($DS$3,0,0,'Données projet'!$E$14+1,1))-AVERAGE(OFFSET($H$3,0,0,'Données projet'!$E$14+1,1))</f>
        <v>569.21675741362196</v>
      </c>
      <c r="DU108" s="59">
        <f t="shared" si="98"/>
        <v>321.12410801891679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61.386687394516613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61.386687394516613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68.129224144911745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-2.8421709430404007E-13</v>
      </c>
      <c r="EK108" s="17">
        <f>EJ108*VLOOKUP('Données projet'!$B$15,Paramètres!$A$1:$I$89,3,0)*VLOOKUP('Données projet'!$B$15,Paramètres!$A$1:$I$89,5,0)</f>
        <v>-2.2612312022829427E-13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416.63597645452791</v>
      </c>
      <c r="EP108" s="59">
        <f t="shared" si="100"/>
        <v>402.05920382353497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109.54336301374185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109.54336301374185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68.129224144911745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>
        <f>FE108*VLOOKUP('Données projet'!$B$16,Paramètres!$A$1:$I$89,3,0)*VLOOKUP('Données projet'!$B$16,Paramètres!$A$1:$I$89,5,0)</f>
        <v>0</v>
      </c>
      <c r="FG108" s="13" t="e">
        <f t="shared" si="101"/>
        <v>#NUM!</v>
      </c>
      <c r="FH108" s="20" t="e">
        <f t="shared" si="76"/>
        <v>#NUM!</v>
      </c>
      <c r="FI108" s="59" t="e">
        <f t="shared" si="77"/>
        <v>#NUM!</v>
      </c>
      <c r="FJ108" s="59">
        <f ca="1">AVERAGE(OFFSET($FI$3,0,0,'Données projet'!$E$16+1,1))-AVERAGE(OFFSET($H$3,0,0,'Données projet'!$E$16+1,1))</f>
        <v>395.57130469647603</v>
      </c>
      <c r="FK108" s="59">
        <f t="shared" si="102"/>
        <v>383.97542781562674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103.91306740823744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103.91306740823744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68.129224144911745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>
        <f>FZ108*VLOOKUP('Données projet'!$B$17,Paramètres!$A$1:$I$89,3,0)*VLOOKUP('Données projet'!$B$17,Paramètres!$A$1:$I$89,5,0)</f>
        <v>0</v>
      </c>
      <c r="GB108" s="13" t="e">
        <f t="shared" si="103"/>
        <v>#NUM!</v>
      </c>
      <c r="GC108" s="20" t="e">
        <f t="shared" si="79"/>
        <v>#NUM!</v>
      </c>
      <c r="GD108" s="59" t="e">
        <f t="shared" si="80"/>
        <v>#NUM!</v>
      </c>
      <c r="GE108" s="59">
        <f ca="1">AVERAGE(OFFSET($GD$3,0,0,'Données projet'!$E$17+1,1))-AVERAGE(OFFSET($H$3,0,0,'Données projet'!$E$17+1,1))</f>
        <v>301.74744407733351</v>
      </c>
      <c r="GF108" s="59">
        <f t="shared" si="104"/>
        <v>292.46787700966991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53.972456645241387</v>
      </c>
      <c r="GM108" s="21">
        <f>EXP(-LN(2)/25)*GM107+(1-EXP(-LN(2)/25))/(LN(2)/25)*Calculateur!GH108*Calculateur!GJ108*VLOOKUP('Données projet'!$B$17,Paramètres!$A$1:$I$89,3,0)*0.475*44/12</f>
        <v>0</v>
      </c>
      <c r="GN108" s="21">
        <f>EXP(-LN(2)/2)*GN107+(1-EXP(-LN(2)/2))/(LN(2)/2)*GH108*GK108*VLOOKUP('Données projet'!$B$17,Paramètres!$A$1:$I$89,3,0)*0.475*44/12</f>
        <v>0</v>
      </c>
      <c r="GO108" s="21">
        <f t="shared" si="81"/>
        <v>53.972456645241387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68.129224144911745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-2.8421709430404007E-13</v>
      </c>
      <c r="GV108" s="17">
        <f>GU108*VLOOKUP('Données projet'!$B$18,Paramètres!$A$1:$I$89,3,0)*VLOOKUP('Données projet'!$B$18,Paramètres!$A$1:$I$89,5,0)</f>
        <v>-1.6848389350343495E-13</v>
      </c>
      <c r="GW108" s="13" t="e">
        <f t="shared" si="105"/>
        <v>#NUM!</v>
      </c>
      <c r="GX108" s="20" t="e">
        <f t="shared" si="82"/>
        <v>#NUM!</v>
      </c>
      <c r="GY108" s="59" t="e">
        <f t="shared" si="83"/>
        <v>#NUM!</v>
      </c>
      <c r="GZ108" s="59">
        <f ca="1">AVERAGE(OFFSET($GY$3,0,0,'Données projet'!$E$18+1,1))-AVERAGE(OFFSET($H$3,0,0,'Données projet'!$E$18+1,1))</f>
        <v>322.78672881269978</v>
      </c>
      <c r="HA108" s="59">
        <f t="shared" si="106"/>
        <v>313.08736327626434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86.595812147414136</v>
      </c>
      <c r="HH108" s="21">
        <f>EXP(-LN(2)/25)*HH107+(1-EXP(-LN(2)/25))/(LN(2)/25)*Calculateur!HC108*Calculateur!HE108*VLOOKUP('Données projet'!$B$18,Paramètres!$A$1:$I$89,3,0)*0.475*44/12</f>
        <v>0</v>
      </c>
      <c r="HI108" s="21">
        <f>EXP(-LN(2)/2)*HI107+(1-EXP(-LN(2)/2))/(LN(2)/2)*HC108*HF108*VLOOKUP('Données projet'!$B$18,Paramètres!$A$1:$I$89,3,0)*0.475*44/12</f>
        <v>0</v>
      </c>
      <c r="HJ108" s="22">
        <f t="shared" si="84"/>
        <v>86.595812147414136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2.3499999999999996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8.6166666666666654</v>
      </c>
      <c r="H109" s="67">
        <f t="shared" si="56"/>
        <v>222.20000000000002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68.161677923569272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5.2</v>
      </c>
      <c r="N109" s="13">
        <f>IF('Données projet'!$A$36&gt;35,N108+M109-V108,IF(A109&lt;'Données projet'!$A$36,$K$205^A109,IF(A109='Données projet'!$A$36,'Données projet'!$B$36,N108+M109-V108)))</f>
        <v>337.2000000000001</v>
      </c>
      <c r="O109" s="13">
        <f>N109*VLOOKUP('Données projet'!$B$9,Paramètres!$A$1:$I$89,3,0)*VLOOKUP('Données projet'!$B$9,Paramètres!$A$1:$I$89,5,0)</f>
        <v>305.09856000000008</v>
      </c>
      <c r="P109" s="13">
        <f t="shared" si="87"/>
        <v>72.244266890878862</v>
      </c>
      <c r="Q109" s="20">
        <f t="shared" si="107"/>
        <v>657.20542350161418</v>
      </c>
      <c r="R109" s="59">
        <f t="shared" si="55"/>
        <v>943.79824255470157</v>
      </c>
      <c r="S109" s="59">
        <f ca="1">AVERAGE(OFFSET($R$3,0,0,'Données projet'!$E$9+1,1))-AVERAGE(OFFSET($H$3,0,0,'Données projet'!$E$9+1,1))</f>
        <v>473.88815717313474</v>
      </c>
      <c r="T109" s="59">
        <f t="shared" si="88"/>
        <v>287.19790203552895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47.873919894008274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47.873919894008274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68.161677923569272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5.2</v>
      </c>
      <c r="AI109" s="13">
        <f>IF('Données projet'!$A$62&gt;35,AI108+AH109-AQ108,IF(A109&lt;'Données projet'!$A$62,$AF$205^A109,IF(A109='Données projet'!$A$62,'Données projet'!$B$62,AI108+AH109-AQ108)))</f>
        <v>337.2000000000001</v>
      </c>
      <c r="AJ109" s="13">
        <f>AI109*VLOOKUP('Données projet'!$B$10,Paramètres!$A$1:$I$89,3,0)*VLOOKUP('Données projet'!$B$10,Paramètres!$A$1:$I$89,5,0)</f>
        <v>284.05728000000011</v>
      </c>
      <c r="AK109" s="13">
        <f t="shared" si="89"/>
        <v>67.823709555728442</v>
      </c>
      <c r="AL109" s="20">
        <f t="shared" si="58"/>
        <v>612.85939014289386</v>
      </c>
      <c r="AM109" s="59">
        <f t="shared" si="59"/>
        <v>899.45220919598114</v>
      </c>
      <c r="AN109" s="59">
        <f ca="1">AVERAGE(OFFSET($AM$3,0,0,'Données projet'!$E$10+1,1))-AVERAGE(OFFSET($H$3,0,0,'Données projet'!$E$10+1,1))</f>
        <v>445.19118535527258</v>
      </c>
      <c r="AO109" s="59">
        <f t="shared" si="90"/>
        <v>270.93483242839363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44.572270246145649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44.572270246145649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68.161677923569272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5.2</v>
      </c>
      <c r="BD109" s="12">
        <f>IF('Données projet'!$A$88&gt;35,BD108+BC109-BL108,IF(A109&lt;'Données projet'!$A$88,$BA$205^A109,IF(A109='Données projet'!$A$88,'Données projet'!$B$88,BD108+BC109-BL108)))</f>
        <v>337.2000000000001</v>
      </c>
      <c r="BE109" s="13">
        <f>BD109*VLOOKUP('Données projet'!$B$11,Paramètres!$A$1:$I$89,3,0)*VLOOKUP('Données projet'!$B$11,Paramètres!$A$1:$I$89,5,0)</f>
        <v>341.9208000000001</v>
      </c>
      <c r="BF109" s="13">
        <f t="shared" si="91"/>
        <v>79.89666565413367</v>
      </c>
      <c r="BG109" s="20">
        <f t="shared" si="61"/>
        <v>734.66541934761642</v>
      </c>
      <c r="BH109" s="59">
        <f t="shared" si="62"/>
        <v>1021.2582384007037</v>
      </c>
      <c r="BI109" s="59">
        <f ca="1">AVERAGE(OFFSET($BH$3,0,0,'Données projet'!$E$11+1,1))-AVERAGE(OFFSET($H$3,0,0,'Données projet'!$E$11+1,1))</f>
        <v>524.01140973345832</v>
      </c>
      <c r="BJ109" s="59">
        <f t="shared" si="92"/>
        <v>315.59942237999621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53.651806777767895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53.651806777767895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68.161677923569272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-2.8421709430404007E-13</v>
      </c>
      <c r="BZ109" s="13">
        <f>BY109*VLOOKUP('Données projet'!$B$12,Paramètres!$A$1:$I$89,3,0)*VLOOKUP('Données projet'!$B$12,Paramètres!$A$1:$I$89,5,0)</f>
        <v>-1.9065282685915009E-13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358.95222991910504</v>
      </c>
      <c r="CE109" s="59">
        <f t="shared" si="94"/>
        <v>347.37506646970905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84.860485246850232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84.860485246850232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68.161677923569272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-2.8421709430404007E-13</v>
      </c>
      <c r="CU109" s="17">
        <f>CT109*VLOOKUP('Données projet'!$B$13,Paramètres!$A$1:$I$89,3,0)*VLOOKUP('Données projet'!$B$13,Paramètres!$A$1:$I$89,5,0)</f>
        <v>-1.8621904018800707E-13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351.7266381615546</v>
      </c>
      <c r="CZ109" s="59">
        <f t="shared" si="96"/>
        <v>340.52483243761799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71.755783858931935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71.755783858931935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68.161677923569272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4.8</v>
      </c>
      <c r="DO109" s="12">
        <f>IF('Données projet'!$A$166&gt;35,DO108+DN109-DW108,IF(A109&lt;'Données projet'!$A$166,$DL$205^A109,IF(A109='Données projet'!$A$166,'Données projet'!$B$166,DO108+DN109-DW108)))</f>
        <v>473.80000000000007</v>
      </c>
      <c r="DP109" s="17">
        <f>DO109*VLOOKUP('Données projet'!$B$14,Paramètres!$A$1:$I$89,3,0)*VLOOKUP('Données projet'!$B$14,Paramètres!$A$1:$I$89,5,0)</f>
        <v>406.52040000000005</v>
      </c>
      <c r="DQ109" s="13">
        <f t="shared" si="97"/>
        <v>93.097329677423431</v>
      </c>
      <c r="DR109" s="20">
        <f t="shared" si="70"/>
        <v>870.1675458548458</v>
      </c>
      <c r="DS109" s="59">
        <f t="shared" si="71"/>
        <v>1156.7603649079331</v>
      </c>
      <c r="DT109" s="59">
        <f ca="1">AVERAGE(OFFSET($DS$3,0,0,'Données projet'!$E$14+1,1))-AVERAGE(OFFSET($H$3,0,0,'Données projet'!$E$14+1,1))</f>
        <v>569.21675741362196</v>
      </c>
      <c r="DU109" s="59">
        <f t="shared" si="98"/>
        <v>321.12410801891679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60.182931896892342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60.182931896892342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68.161677923569272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-2.8421709430404007E-13</v>
      </c>
      <c r="EK109" s="17">
        <f>EJ109*VLOOKUP('Données projet'!$B$15,Paramètres!$A$1:$I$89,3,0)*VLOOKUP('Données projet'!$B$15,Paramètres!$A$1:$I$89,5,0)</f>
        <v>-2.2612312022829427E-13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416.63597645452791</v>
      </c>
      <c r="EP109" s="59">
        <f t="shared" si="100"/>
        <v>402.05920382353497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107.39528447989639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107.39528447989639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68.161677923569272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>
        <f>FE109*VLOOKUP('Données projet'!$B$16,Paramètres!$A$1:$I$89,3,0)*VLOOKUP('Données projet'!$B$16,Paramètres!$A$1:$I$89,5,0)</f>
        <v>0</v>
      </c>
      <c r="FG109" s="13" t="e">
        <f t="shared" si="101"/>
        <v>#NUM!</v>
      </c>
      <c r="FH109" s="20" t="e">
        <f t="shared" si="76"/>
        <v>#NUM!</v>
      </c>
      <c r="FI109" s="59" t="e">
        <f t="shared" si="77"/>
        <v>#NUM!</v>
      </c>
      <c r="FJ109" s="59">
        <f ca="1">AVERAGE(OFFSET($FI$3,0,0,'Données projet'!$E$16+1,1))-AVERAGE(OFFSET($H$3,0,0,'Données projet'!$E$16+1,1))</f>
        <v>395.57130469647603</v>
      </c>
      <c r="FK109" s="59">
        <f t="shared" si="102"/>
        <v>383.97542781562674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101.8753955370747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101.8753955370747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68.161677923569272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>
        <f>FZ109*VLOOKUP('Données projet'!$B$17,Paramètres!$A$1:$I$89,3,0)*VLOOKUP('Données projet'!$B$17,Paramètres!$A$1:$I$89,5,0)</f>
        <v>0</v>
      </c>
      <c r="GB109" s="13" t="e">
        <f t="shared" si="103"/>
        <v>#NUM!</v>
      </c>
      <c r="GC109" s="20" t="e">
        <f t="shared" si="79"/>
        <v>#NUM!</v>
      </c>
      <c r="GD109" s="59" t="e">
        <f t="shared" si="80"/>
        <v>#NUM!</v>
      </c>
      <c r="GE109" s="59">
        <f ca="1">AVERAGE(OFFSET($GD$3,0,0,'Données projet'!$E$17+1,1))-AVERAGE(OFFSET($H$3,0,0,'Données projet'!$E$17+1,1))</f>
        <v>301.74744407733351</v>
      </c>
      <c r="GF109" s="59">
        <f t="shared" si="104"/>
        <v>292.46787700966991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52.91408969037618</v>
      </c>
      <c r="GM109" s="21">
        <f>EXP(-LN(2)/25)*GM108+(1-EXP(-LN(2)/25))/(LN(2)/25)*Calculateur!GH109*Calculateur!GJ109*VLOOKUP('Données projet'!$B$17,Paramètres!$A$1:$I$89,3,0)*0.475*44/12</f>
        <v>0</v>
      </c>
      <c r="GN109" s="21">
        <f>EXP(-LN(2)/2)*GN108+(1-EXP(-LN(2)/2))/(LN(2)/2)*GH109*GK109*VLOOKUP('Données projet'!$B$17,Paramètres!$A$1:$I$89,3,0)*0.475*44/12</f>
        <v>0</v>
      </c>
      <c r="GO109" s="21">
        <f t="shared" si="81"/>
        <v>52.91408969037618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68.161677923569272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-2.8421709430404007E-13</v>
      </c>
      <c r="GV109" s="17">
        <f>GU109*VLOOKUP('Données projet'!$B$18,Paramètres!$A$1:$I$89,3,0)*VLOOKUP('Données projet'!$B$18,Paramètres!$A$1:$I$89,5,0)</f>
        <v>-1.6848389350343495E-13</v>
      </c>
      <c r="GW109" s="13" t="e">
        <f t="shared" si="105"/>
        <v>#NUM!</v>
      </c>
      <c r="GX109" s="20" t="e">
        <f t="shared" si="82"/>
        <v>#NUM!</v>
      </c>
      <c r="GY109" s="59" t="e">
        <f t="shared" si="83"/>
        <v>#NUM!</v>
      </c>
      <c r="GZ109" s="59">
        <f ca="1">AVERAGE(OFFSET($GY$3,0,0,'Données projet'!$E$18+1,1))-AVERAGE(OFFSET($H$3,0,0,'Données projet'!$E$18+1,1))</f>
        <v>322.78672881269978</v>
      </c>
      <c r="HA109" s="59">
        <f t="shared" si="106"/>
        <v>313.08736327626434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84.897721089433389</v>
      </c>
      <c r="HH109" s="21">
        <f>EXP(-LN(2)/25)*HH108+(1-EXP(-LN(2)/25))/(LN(2)/25)*Calculateur!HC109*Calculateur!HE109*VLOOKUP('Données projet'!$B$18,Paramètres!$A$1:$I$89,3,0)*0.475*44/12</f>
        <v>0</v>
      </c>
      <c r="HI109" s="21">
        <f>EXP(-LN(2)/2)*HI108+(1-EXP(-LN(2)/2))/(LN(2)/2)*HC109*HF109*VLOOKUP('Données projet'!$B$18,Paramètres!$A$1:$I$89,3,0)*0.475*44/12</f>
        <v>0</v>
      </c>
      <c r="HJ109" s="22">
        <f t="shared" si="84"/>
        <v>84.897721089433389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2.3499999999999996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8.6166666666666654</v>
      </c>
      <c r="H110" s="67">
        <f t="shared" si="56"/>
        <v>222.20000000000002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68.193568701722896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5.2</v>
      </c>
      <c r="N110" s="13">
        <f>IF('Données projet'!$A$36&gt;35,N109+M110-V109,IF(A110&lt;'Données projet'!$A$36,$K$205^A110,IF(A110='Données projet'!$A$36,'Données projet'!$B$36,N109+M110-V109)))</f>
        <v>342.40000000000009</v>
      </c>
      <c r="O110" s="13">
        <f>N110*VLOOKUP('Données projet'!$B$9,Paramètres!$A$1:$I$89,3,0)*VLOOKUP('Données projet'!$B$9,Paramètres!$A$1:$I$89,5,0)</f>
        <v>309.80352000000005</v>
      </c>
      <c r="P110" s="13">
        <f t="shared" si="87"/>
        <v>73.227795813703821</v>
      </c>
      <c r="Q110" s="20">
        <f t="shared" si="107"/>
        <v>667.11287504220093</v>
      </c>
      <c r="R110" s="59">
        <f t="shared" si="55"/>
        <v>953.82262694851829</v>
      </c>
      <c r="S110" s="59">
        <f ca="1">AVERAGE(OFFSET($R$3,0,0,'Données projet'!$E$9+1,1))-AVERAGE(OFFSET($H$3,0,0,'Données projet'!$E$9+1,1))</f>
        <v>473.88815717313474</v>
      </c>
      <c r="T110" s="59">
        <f t="shared" si="88"/>
        <v>287.19790203552895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46.935141525094629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46.935141525094629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68.193568701722896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5.2</v>
      </c>
      <c r="AI110" s="13">
        <f>IF('Données projet'!$A$62&gt;35,AI109+AH110-AQ109,IF(A110&lt;'Données projet'!$A$62,$AF$205^A110,IF(A110='Données projet'!$A$62,'Données projet'!$B$62,AI109+AH110-AQ109)))</f>
        <v>342.40000000000009</v>
      </c>
      <c r="AJ110" s="13">
        <f>AI110*VLOOKUP('Données projet'!$B$10,Paramètres!$A$1:$I$89,3,0)*VLOOKUP('Données projet'!$B$10,Paramètres!$A$1:$I$89,5,0)</f>
        <v>288.43776000000014</v>
      </c>
      <c r="AK110" s="13">
        <f t="shared" si="89"/>
        <v>68.747057287972723</v>
      </c>
      <c r="AL110" s="20">
        <f t="shared" si="58"/>
        <v>622.09689010988598</v>
      </c>
      <c r="AM110" s="59">
        <f t="shared" si="59"/>
        <v>908.80664201620334</v>
      </c>
      <c r="AN110" s="59">
        <f ca="1">AVERAGE(OFFSET($AM$3,0,0,'Données projet'!$E$10+1,1))-AVERAGE(OFFSET($H$3,0,0,'Données projet'!$E$10+1,1))</f>
        <v>445.19118535527258</v>
      </c>
      <c r="AO110" s="59">
        <f t="shared" si="90"/>
        <v>270.93483242839363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43.698235213019146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43.698235213019146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68.193568701722896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5.2</v>
      </c>
      <c r="BD110" s="12">
        <f>IF('Données projet'!$A$88&gt;35,BD109+BC110-BL109,IF(A110&lt;'Données projet'!$A$88,$BA$205^A110,IF(A110='Données projet'!$A$88,'Données projet'!$B$88,BD109+BC110-BL109)))</f>
        <v>342.40000000000009</v>
      </c>
      <c r="BE110" s="13">
        <f>BD110*VLOOKUP('Données projet'!$B$11,Paramètres!$A$1:$I$89,3,0)*VLOOKUP('Données projet'!$B$11,Paramètres!$A$1:$I$89,5,0)</f>
        <v>347.19360000000012</v>
      </c>
      <c r="BF110" s="13">
        <f t="shared" si="91"/>
        <v>80.984373854243287</v>
      </c>
      <c r="BG110" s="20">
        <f t="shared" si="61"/>
        <v>745.74330446280726</v>
      </c>
      <c r="BH110" s="59">
        <f t="shared" si="62"/>
        <v>1032.4530563691246</v>
      </c>
      <c r="BI110" s="59">
        <f ca="1">AVERAGE(OFFSET($BH$3,0,0,'Données projet'!$E$11+1,1))-AVERAGE(OFFSET($H$3,0,0,'Données projet'!$E$11+1,1))</f>
        <v>524.01140973345832</v>
      </c>
      <c r="BJ110" s="59">
        <f t="shared" si="92"/>
        <v>315.59942237999621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52.599727571226737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52.599727571226737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68.193568701722896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-2.8421709430404007E-13</v>
      </c>
      <c r="BZ110" s="13">
        <f>BY110*VLOOKUP('Données projet'!$B$12,Paramètres!$A$1:$I$89,3,0)*VLOOKUP('Données projet'!$B$12,Paramètres!$A$1:$I$89,5,0)</f>
        <v>-1.9065282685915009E-13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358.95222991910504</v>
      </c>
      <c r="CE110" s="59">
        <f t="shared" si="94"/>
        <v>347.37506646970905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83.196422890944646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83.196422890944646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68.193568701722896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-2.8421709430404007E-13</v>
      </c>
      <c r="CU110" s="17">
        <f>CT110*VLOOKUP('Données projet'!$B$13,Paramètres!$A$1:$I$89,3,0)*VLOOKUP('Données projet'!$B$13,Paramètres!$A$1:$I$89,5,0)</f>
        <v>-1.8621904018800707E-13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351.7266381615546</v>
      </c>
      <c r="CZ110" s="59">
        <f t="shared" si="96"/>
        <v>340.52483243761799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70.348696704164837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70.348696704164837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68.193568701722896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4.8</v>
      </c>
      <c r="DO110" s="12">
        <f>IF('Données projet'!$A$166&gt;35,DO109+DN110-DW109,IF(A110&lt;'Données projet'!$A$166,$DL$205^A110,IF(A110='Données projet'!$A$166,'Données projet'!$B$166,DO109+DN110-DW109)))</f>
        <v>478.60000000000008</v>
      </c>
      <c r="DP110" s="17">
        <f>DO110*VLOOKUP('Données projet'!$B$14,Paramètres!$A$1:$I$89,3,0)*VLOOKUP('Données projet'!$B$14,Paramètres!$A$1:$I$89,5,0)</f>
        <v>410.63880000000012</v>
      </c>
      <c r="DQ110" s="13">
        <f t="shared" si="97"/>
        <v>93.93021254895109</v>
      </c>
      <c r="DR110" s="20">
        <f t="shared" si="70"/>
        <v>878.7910301894234</v>
      </c>
      <c r="DS110" s="59">
        <f t="shared" si="71"/>
        <v>1165.5007820957408</v>
      </c>
      <c r="DT110" s="59">
        <f ca="1">AVERAGE(OFFSET($DS$3,0,0,'Données projet'!$E$14+1,1))-AVERAGE(OFFSET($H$3,0,0,'Données projet'!$E$14+1,1))</f>
        <v>569.21675741362196</v>
      </c>
      <c r="DU110" s="59">
        <f t="shared" si="98"/>
        <v>321.12410801891679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59.002781310358131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59.002781310358131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68.193568701722896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-2.8421709430404007E-13</v>
      </c>
      <c r="EK110" s="17">
        <f>EJ110*VLOOKUP('Données projet'!$B$15,Paramètres!$A$1:$I$89,3,0)*VLOOKUP('Données projet'!$B$15,Paramètres!$A$1:$I$89,5,0)</f>
        <v>-2.2612312022829427E-13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416.63597645452791</v>
      </c>
      <c r="EP110" s="59">
        <f t="shared" si="100"/>
        <v>402.05920382353497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105.28932845590111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105.28932845590111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68.193568701722896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>
        <f>FE110*VLOOKUP('Données projet'!$B$16,Paramètres!$A$1:$I$89,3,0)*VLOOKUP('Données projet'!$B$16,Paramètres!$A$1:$I$89,5,0)</f>
        <v>0</v>
      </c>
      <c r="FG110" s="13" t="e">
        <f t="shared" si="101"/>
        <v>#NUM!</v>
      </c>
      <c r="FH110" s="20" t="e">
        <f t="shared" si="76"/>
        <v>#NUM!</v>
      </c>
      <c r="FI110" s="59" t="e">
        <f t="shared" si="77"/>
        <v>#NUM!</v>
      </c>
      <c r="FJ110" s="59">
        <f ca="1">AVERAGE(OFFSET($FI$3,0,0,'Données projet'!$E$16+1,1))-AVERAGE(OFFSET($H$3,0,0,'Données projet'!$E$16+1,1))</f>
        <v>395.57130469647603</v>
      </c>
      <c r="FK110" s="59">
        <f t="shared" si="102"/>
        <v>383.97542781562674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99.877681168448333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99.877681168448333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68.193568701722896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>
        <f>FZ110*VLOOKUP('Données projet'!$B$17,Paramètres!$A$1:$I$89,3,0)*VLOOKUP('Données projet'!$B$17,Paramètres!$A$1:$I$89,5,0)</f>
        <v>0</v>
      </c>
      <c r="GB110" s="13" t="e">
        <f t="shared" si="103"/>
        <v>#NUM!</v>
      </c>
      <c r="GC110" s="20" t="e">
        <f t="shared" si="79"/>
        <v>#NUM!</v>
      </c>
      <c r="GD110" s="59" t="e">
        <f t="shared" si="80"/>
        <v>#NUM!</v>
      </c>
      <c r="GE110" s="59">
        <f ca="1">AVERAGE(OFFSET($GD$3,0,0,'Données projet'!$E$17+1,1))-AVERAGE(OFFSET($H$3,0,0,'Données projet'!$E$17+1,1))</f>
        <v>301.74744407733351</v>
      </c>
      <c r="GF110" s="59">
        <f t="shared" si="104"/>
        <v>292.46787700966991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51.876476665955778</v>
      </c>
      <c r="GM110" s="21">
        <f>EXP(-LN(2)/25)*GM109+(1-EXP(-LN(2)/25))/(LN(2)/25)*Calculateur!GH110*Calculateur!GJ110*VLOOKUP('Données projet'!$B$17,Paramètres!$A$1:$I$89,3,0)*0.475*44/12</f>
        <v>0</v>
      </c>
      <c r="GN110" s="21">
        <f>EXP(-LN(2)/2)*GN109+(1-EXP(-LN(2)/2))/(LN(2)/2)*GH110*GK110*VLOOKUP('Données projet'!$B$17,Paramètres!$A$1:$I$89,3,0)*0.475*44/12</f>
        <v>0</v>
      </c>
      <c r="GO110" s="21">
        <f t="shared" si="81"/>
        <v>51.876476665955778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68.193568701722896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-2.8421709430404007E-13</v>
      </c>
      <c r="GV110" s="17">
        <f>GU110*VLOOKUP('Données projet'!$B$18,Paramètres!$A$1:$I$89,3,0)*VLOOKUP('Données projet'!$B$18,Paramètres!$A$1:$I$89,5,0)</f>
        <v>-1.6848389350343495E-13</v>
      </c>
      <c r="GW110" s="13" t="e">
        <f t="shared" si="105"/>
        <v>#NUM!</v>
      </c>
      <c r="GX110" s="20" t="e">
        <f t="shared" si="82"/>
        <v>#NUM!</v>
      </c>
      <c r="GY110" s="59" t="e">
        <f t="shared" si="83"/>
        <v>#NUM!</v>
      </c>
      <c r="GZ110" s="59">
        <f ca="1">AVERAGE(OFFSET($GY$3,0,0,'Données projet'!$E$18+1,1))-AVERAGE(OFFSET($H$3,0,0,'Données projet'!$E$18+1,1))</f>
        <v>322.78672881269978</v>
      </c>
      <c r="HA110" s="59">
        <f t="shared" si="106"/>
        <v>313.08736327626434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83.232928561366364</v>
      </c>
      <c r="HH110" s="21">
        <f>EXP(-LN(2)/25)*HH109+(1-EXP(-LN(2)/25))/(LN(2)/25)*Calculateur!HC110*Calculateur!HE110*VLOOKUP('Données projet'!$B$18,Paramètres!$A$1:$I$89,3,0)*0.475*44/12</f>
        <v>0</v>
      </c>
      <c r="HI110" s="21">
        <f>EXP(-LN(2)/2)*HI109+(1-EXP(-LN(2)/2))/(LN(2)/2)*HC110*HF110*VLOOKUP('Données projet'!$B$18,Paramètres!$A$1:$I$89,3,0)*0.475*44/12</f>
        <v>0</v>
      </c>
      <c r="HJ110" s="22">
        <f t="shared" si="84"/>
        <v>83.232928561366364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2.3499999999999996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8.6166666666666654</v>
      </c>
      <c r="H111" s="67">
        <f t="shared" si="56"/>
        <v>222.20000000000002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68.224906246172651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5.2</v>
      </c>
      <c r="N111" s="13">
        <f>IF('Données projet'!$A$36&gt;35,N110+M111-V110,IF(A111&lt;'Données projet'!$A$36,$K$205^A111,IF(A111='Données projet'!$A$36,'Données projet'!$B$36,N110+M111-V110)))</f>
        <v>347.60000000000008</v>
      </c>
      <c r="O111" s="13">
        <f>N111*VLOOKUP('Données projet'!$B$9,Paramètres!$A$1:$I$89,3,0)*VLOOKUP('Données projet'!$B$9,Paramètres!$A$1:$I$89,5,0)</f>
        <v>314.50848000000008</v>
      </c>
      <c r="P111" s="13">
        <f t="shared" si="87"/>
        <v>74.20958756161744</v>
      </c>
      <c r="Q111" s="20">
        <f t="shared" si="107"/>
        <v>677.01730100315046</v>
      </c>
      <c r="R111" s="59">
        <f t="shared" si="55"/>
        <v>963.84195723911694</v>
      </c>
      <c r="S111" s="59">
        <f ca="1">AVERAGE(OFFSET($R$3,0,0,'Données projet'!$E$9+1,1))-AVERAGE(OFFSET($H$3,0,0,'Données projet'!$E$9+1,1))</f>
        <v>473.88815717313474</v>
      </c>
      <c r="T111" s="59">
        <f t="shared" si="88"/>
        <v>287.19790203552895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46.014772027397115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46.014772027397115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68.224906246172651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5.2</v>
      </c>
      <c r="AI111" s="13">
        <f>IF('Données projet'!$A$62&gt;35,AI110+AH111-AQ110,IF(A111&lt;'Données projet'!$A$62,$AF$205^A111,IF(A111='Données projet'!$A$62,'Données projet'!$B$62,AI110+AH111-AQ110)))</f>
        <v>347.60000000000008</v>
      </c>
      <c r="AJ111" s="13">
        <f>AI111*VLOOKUP('Données projet'!$B$10,Paramètres!$A$1:$I$89,3,0)*VLOOKUP('Données projet'!$B$10,Paramètres!$A$1:$I$89,5,0)</f>
        <v>292.81824000000012</v>
      </c>
      <c r="AK111" s="13">
        <f t="shared" si="89"/>
        <v>69.668774141370704</v>
      </c>
      <c r="AL111" s="20">
        <f t="shared" si="58"/>
        <v>631.33154962955416</v>
      </c>
      <c r="AM111" s="59">
        <f t="shared" si="59"/>
        <v>918.15620586552063</v>
      </c>
      <c r="AN111" s="59">
        <f ca="1">AVERAGE(OFFSET($AM$3,0,0,'Données projet'!$E$10+1,1))-AVERAGE(OFFSET($H$3,0,0,'Données projet'!$E$10+1,1))</f>
        <v>445.19118535527258</v>
      </c>
      <c r="AO111" s="59">
        <f t="shared" si="90"/>
        <v>270.93483242839363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42.841339473783528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42.841339473783528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68.224906246172651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5.2</v>
      </c>
      <c r="BD111" s="12">
        <f>IF('Données projet'!$A$88&gt;35,BD110+BC111-BL110,IF(A111&lt;'Données projet'!$A$88,$BA$205^A111,IF(A111='Données projet'!$A$88,'Données projet'!$B$88,BD110+BC111-BL110)))</f>
        <v>347.60000000000008</v>
      </c>
      <c r="BE111" s="13">
        <f>BD111*VLOOKUP('Données projet'!$B$11,Paramètres!$A$1:$I$89,3,0)*VLOOKUP('Données projet'!$B$11,Paramètres!$A$1:$I$89,5,0)</f>
        <v>352.46640000000008</v>
      </c>
      <c r="BF111" s="13">
        <f t="shared" si="91"/>
        <v>82.070160870997498</v>
      </c>
      <c r="BG111" s="20">
        <f t="shared" si="61"/>
        <v>756.81784351698741</v>
      </c>
      <c r="BH111" s="59">
        <f t="shared" si="62"/>
        <v>1043.6424997529539</v>
      </c>
      <c r="BI111" s="59">
        <f ca="1">AVERAGE(OFFSET($BH$3,0,0,'Données projet'!$E$11+1,1))-AVERAGE(OFFSET($H$3,0,0,'Données projet'!$E$11+1,1))</f>
        <v>524.01140973345832</v>
      </c>
      <c r="BJ111" s="59">
        <f t="shared" si="92"/>
        <v>315.59942237999621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51.568278996220897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51.568278996220897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68.224906246172651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-2.8421709430404007E-13</v>
      </c>
      <c r="BZ111" s="13">
        <f>BY111*VLOOKUP('Données projet'!$B$12,Paramètres!$A$1:$I$89,3,0)*VLOOKUP('Données projet'!$B$12,Paramètres!$A$1:$I$89,5,0)</f>
        <v>-1.9065282685915009E-13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358.95222991910504</v>
      </c>
      <c r="CE111" s="59">
        <f t="shared" si="94"/>
        <v>347.37506646970905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81.564991782860545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81.564991782860545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68.224906246172651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-2.8421709430404007E-13</v>
      </c>
      <c r="CU111" s="17">
        <f>CT111*VLOOKUP('Données projet'!$B$13,Paramètres!$A$1:$I$89,3,0)*VLOOKUP('Données projet'!$B$13,Paramètres!$A$1:$I$89,5,0)</f>
        <v>-1.8621904018800707E-13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351.7266381615546</v>
      </c>
      <c r="CZ111" s="59">
        <f t="shared" si="96"/>
        <v>340.52483243761799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68.969201670264297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68.969201670264297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68.224906246172651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4.8</v>
      </c>
      <c r="DO111" s="12">
        <f>IF('Données projet'!$A$166&gt;35,DO110+DN111-DW110,IF(A111&lt;'Données projet'!$A$166,$DL$205^A111,IF(A111='Données projet'!$A$166,'Données projet'!$B$166,DO110+DN111-DW110)))</f>
        <v>483.40000000000009</v>
      </c>
      <c r="DP111" s="17">
        <f>DO111*VLOOKUP('Données projet'!$B$14,Paramètres!$A$1:$I$89,3,0)*VLOOKUP('Données projet'!$B$14,Paramètres!$A$1:$I$89,5,0)</f>
        <v>414.75720000000013</v>
      </c>
      <c r="DQ111" s="13">
        <f t="shared" si="97"/>
        <v>94.762123658998163</v>
      </c>
      <c r="DR111" s="20">
        <f t="shared" si="70"/>
        <v>887.41282203942194</v>
      </c>
      <c r="DS111" s="59">
        <f t="shared" si="71"/>
        <v>1174.2374782753884</v>
      </c>
      <c r="DT111" s="59">
        <f ca="1">AVERAGE(OFFSET($DS$3,0,0,'Données projet'!$E$14+1,1))-AVERAGE(OFFSET($H$3,0,0,'Données projet'!$E$14+1,1))</f>
        <v>569.21675741362196</v>
      </c>
      <c r="DU111" s="59">
        <f t="shared" si="98"/>
        <v>321.12410801891679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57.845772757005072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57.845772757005072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68.224906246172651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-2.8421709430404007E-13</v>
      </c>
      <c r="EK111" s="17">
        <f>EJ111*VLOOKUP('Données projet'!$B$15,Paramètres!$A$1:$I$89,3,0)*VLOOKUP('Données projet'!$B$15,Paramètres!$A$1:$I$89,5,0)</f>
        <v>-2.2612312022829427E-13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416.63597645452791</v>
      </c>
      <c r="EP111" s="59">
        <f t="shared" si="100"/>
        <v>402.05920382353497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103.22466894503003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103.22466894503003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68.224906246172651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>
        <f>FE111*VLOOKUP('Données projet'!$B$16,Paramètres!$A$1:$I$89,3,0)*VLOOKUP('Données projet'!$B$16,Paramètres!$A$1:$I$89,5,0)</f>
        <v>0</v>
      </c>
      <c r="FG111" s="13" t="e">
        <f t="shared" si="101"/>
        <v>#NUM!</v>
      </c>
      <c r="FH111" s="20" t="e">
        <f t="shared" si="76"/>
        <v>#NUM!</v>
      </c>
      <c r="FI111" s="59" t="e">
        <f t="shared" si="77"/>
        <v>#NUM!</v>
      </c>
      <c r="FJ111" s="59">
        <f ca="1">AVERAGE(OFFSET($FI$3,0,0,'Données projet'!$E$16+1,1))-AVERAGE(OFFSET($H$3,0,0,'Données projet'!$E$16+1,1))</f>
        <v>395.57130469647603</v>
      </c>
      <c r="FK111" s="59">
        <f t="shared" si="102"/>
        <v>383.97542781562674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97.919140760105293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97.919140760105293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68.224906246172651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>
        <f>FZ111*VLOOKUP('Données projet'!$B$17,Paramètres!$A$1:$I$89,3,0)*VLOOKUP('Données projet'!$B$17,Paramètres!$A$1:$I$89,5,0)</f>
        <v>0</v>
      </c>
      <c r="GB111" s="13" t="e">
        <f t="shared" si="103"/>
        <v>#NUM!</v>
      </c>
      <c r="GC111" s="20" t="e">
        <f t="shared" si="79"/>
        <v>#NUM!</v>
      </c>
      <c r="GD111" s="59" t="e">
        <f t="shared" si="80"/>
        <v>#NUM!</v>
      </c>
      <c r="GE111" s="59">
        <f ca="1">AVERAGE(OFFSET($GD$3,0,0,'Données projet'!$E$17+1,1))-AVERAGE(OFFSET($H$3,0,0,'Données projet'!$E$17+1,1))</f>
        <v>301.74744407733351</v>
      </c>
      <c r="GF111" s="59">
        <f t="shared" si="104"/>
        <v>292.46787700966991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50.859210600062809</v>
      </c>
      <c r="GM111" s="21">
        <f>EXP(-LN(2)/25)*GM110+(1-EXP(-LN(2)/25))/(LN(2)/25)*Calculateur!GH111*Calculateur!GJ111*VLOOKUP('Données projet'!$B$17,Paramètres!$A$1:$I$89,3,0)*0.475*44/12</f>
        <v>0</v>
      </c>
      <c r="GN111" s="21">
        <f>EXP(-LN(2)/2)*GN110+(1-EXP(-LN(2)/2))/(LN(2)/2)*GH111*GK111*VLOOKUP('Données projet'!$B$17,Paramètres!$A$1:$I$89,3,0)*0.475*44/12</f>
        <v>0</v>
      </c>
      <c r="GO111" s="21">
        <f t="shared" si="81"/>
        <v>50.859210600062809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68.224906246172651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-2.8421709430404007E-13</v>
      </c>
      <c r="GV111" s="17">
        <f>GU111*VLOOKUP('Données projet'!$B$18,Paramètres!$A$1:$I$89,3,0)*VLOOKUP('Données projet'!$B$18,Paramètres!$A$1:$I$89,5,0)</f>
        <v>-1.6848389350343495E-13</v>
      </c>
      <c r="GW111" s="13" t="e">
        <f t="shared" si="105"/>
        <v>#NUM!</v>
      </c>
      <c r="GX111" s="20" t="e">
        <f t="shared" si="82"/>
        <v>#NUM!</v>
      </c>
      <c r="GY111" s="59" t="e">
        <f t="shared" si="83"/>
        <v>#NUM!</v>
      </c>
      <c r="GZ111" s="59">
        <f ca="1">AVERAGE(OFFSET($GY$3,0,0,'Données projet'!$E$18+1,1))-AVERAGE(OFFSET($H$3,0,0,'Données projet'!$E$18+1,1))</f>
        <v>322.78672881269978</v>
      </c>
      <c r="HA111" s="59">
        <f t="shared" si="106"/>
        <v>313.08736327626434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81.600781599351564</v>
      </c>
      <c r="HH111" s="21">
        <f>EXP(-LN(2)/25)*HH110+(1-EXP(-LN(2)/25))/(LN(2)/25)*Calculateur!HC111*Calculateur!HE111*VLOOKUP('Données projet'!$B$18,Paramètres!$A$1:$I$89,3,0)*0.475*44/12</f>
        <v>0</v>
      </c>
      <c r="HI111" s="21">
        <f>EXP(-LN(2)/2)*HI110+(1-EXP(-LN(2)/2))/(LN(2)/2)*HC111*HF111*VLOOKUP('Données projet'!$B$18,Paramètres!$A$1:$I$89,3,0)*0.475*44/12</f>
        <v>0</v>
      </c>
      <c r="HJ111" s="22">
        <f t="shared" si="84"/>
        <v>81.600781599351564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2.3499999999999996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8.6166666666666654</v>
      </c>
      <c r="H112" s="67">
        <f t="shared" si="56"/>
        <v>222.20000000000002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68.255700154286444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5.2</v>
      </c>
      <c r="N112" s="13">
        <f>IF('Données projet'!$A$36&gt;35,N111+M112-V111,IF(A112&lt;'Données projet'!$A$36,$K$205^A112,IF(A112='Données projet'!$A$36,'Données projet'!$B$36,N111+M112-V111)))</f>
        <v>352.80000000000007</v>
      </c>
      <c r="O112" s="13">
        <f>N112*VLOOKUP('Données projet'!$B$9,Paramètres!$A$1:$I$89,3,0)*VLOOKUP('Données projet'!$B$9,Paramètres!$A$1:$I$89,5,0)</f>
        <v>319.21344000000005</v>
      </c>
      <c r="P112" s="13">
        <f t="shared" si="87"/>
        <v>75.18967112417171</v>
      </c>
      <c r="Q112" s="20">
        <f t="shared" si="107"/>
        <v>686.91875187459902</v>
      </c>
      <c r="R112" s="59">
        <f t="shared" si="55"/>
        <v>973.85631910698271</v>
      </c>
      <c r="S112" s="59">
        <f ca="1">AVERAGE(OFFSET($R$3,0,0,'Données projet'!$E$9+1,1))-AVERAGE(OFFSET($H$3,0,0,'Données projet'!$E$9+1,1))</f>
        <v>473.88815717313474</v>
      </c>
      <c r="T112" s="59">
        <f t="shared" si="88"/>
        <v>287.19790203552895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45.112450414179484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45.112450414179484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68.255700154286444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5.2</v>
      </c>
      <c r="AI112" s="13">
        <f>IF('Données projet'!$A$62&gt;35,AI111+AH112-AQ111,IF(A112&lt;'Données projet'!$A$62,$AF$205^A112,IF(A112='Données projet'!$A$62,'Données projet'!$B$62,AI111+AH112-AQ111)))</f>
        <v>352.80000000000007</v>
      </c>
      <c r="AJ112" s="13">
        <f>AI112*VLOOKUP('Données projet'!$B$10,Paramètres!$A$1:$I$89,3,0)*VLOOKUP('Données projet'!$B$10,Paramètres!$A$1:$I$89,5,0)</f>
        <v>297.19872000000009</v>
      </c>
      <c r="AK112" s="13">
        <f t="shared" si="89"/>
        <v>70.588887331631568</v>
      </c>
      <c r="AL112" s="20">
        <f t="shared" si="58"/>
        <v>640.56341610259176</v>
      </c>
      <c r="AM112" s="59">
        <f t="shared" si="59"/>
        <v>927.50098333497544</v>
      </c>
      <c r="AN112" s="59">
        <f ca="1">AVERAGE(OFFSET($AM$3,0,0,'Données projet'!$E$10+1,1))-AVERAGE(OFFSET($H$3,0,0,'Données projet'!$E$10+1,1))</f>
        <v>445.19118535527258</v>
      </c>
      <c r="AO112" s="59">
        <f t="shared" si="90"/>
        <v>270.93483242839363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42.001246937339523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42.001246937339523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68.255700154286444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5.2</v>
      </c>
      <c r="BD112" s="12">
        <f>IF('Données projet'!$A$88&gt;35,BD111+BC112-BL111,IF(A112&lt;'Données projet'!$A$88,$BA$205^A112,IF(A112='Données projet'!$A$88,'Données projet'!$B$88,BD111+BC112-BL111)))</f>
        <v>352.80000000000007</v>
      </c>
      <c r="BE112" s="13">
        <f>BD112*VLOOKUP('Données projet'!$B$11,Paramètres!$A$1:$I$89,3,0)*VLOOKUP('Données projet'!$B$11,Paramètres!$A$1:$I$89,5,0)</f>
        <v>357.7392000000001</v>
      </c>
      <c r="BF112" s="13">
        <f t="shared" si="91"/>
        <v>83.154058764636403</v>
      </c>
      <c r="BG112" s="20">
        <f t="shared" si="61"/>
        <v>767.88909234840855</v>
      </c>
      <c r="BH112" s="59">
        <f t="shared" si="62"/>
        <v>1054.8266595807922</v>
      </c>
      <c r="BI112" s="59">
        <f ca="1">AVERAGE(OFFSET($BH$3,0,0,'Données projet'!$E$11+1,1))-AVERAGE(OFFSET($H$3,0,0,'Données projet'!$E$11+1,1))</f>
        <v>524.01140973345832</v>
      </c>
      <c r="BJ112" s="59">
        <f t="shared" si="92"/>
        <v>315.59942237999621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50.557056498649416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50.557056498649416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68.255700154286444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-2.8421709430404007E-13</v>
      </c>
      <c r="BZ112" s="13">
        <f>BY112*VLOOKUP('Données projet'!$B$12,Paramètres!$A$1:$I$89,3,0)*VLOOKUP('Données projet'!$B$12,Paramètres!$A$1:$I$89,5,0)</f>
        <v>-1.9065282685915009E-13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358.95222991910504</v>
      </c>
      <c r="CE112" s="59">
        <f t="shared" si="94"/>
        <v>347.37506646970905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79.965552043731265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79.965552043731265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68.255700154286444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-2.8421709430404007E-13</v>
      </c>
      <c r="CU112" s="17">
        <f>CT112*VLOOKUP('Données projet'!$B$13,Paramètres!$A$1:$I$89,3,0)*VLOOKUP('Données projet'!$B$13,Paramètres!$A$1:$I$89,5,0)</f>
        <v>-1.8621904018800707E-13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351.7266381615546</v>
      </c>
      <c r="CZ112" s="59">
        <f t="shared" si="96"/>
        <v>340.52483243761799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67.616757692569649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67.616757692569649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68.255700154286444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4.8</v>
      </c>
      <c r="DO112" s="12">
        <f>IF('Données projet'!$A$166&gt;35,DO111+DN112-DW111,IF(A112&lt;'Données projet'!$A$166,$DL$205^A112,IF(A112='Données projet'!$A$166,'Données projet'!$B$166,DO111+DN112-DW111)))</f>
        <v>488.2000000000001</v>
      </c>
      <c r="DP112" s="17">
        <f>DO112*VLOOKUP('Données projet'!$B$14,Paramètres!$A$1:$I$89,3,0)*VLOOKUP('Données projet'!$B$14,Paramètres!$A$1:$I$89,5,0)</f>
        <v>418.87560000000019</v>
      </c>
      <c r="DQ112" s="13">
        <f t="shared" si="97"/>
        <v>95.59307377413711</v>
      </c>
      <c r="DR112" s="20">
        <f t="shared" si="70"/>
        <v>896.03294015662232</v>
      </c>
      <c r="DS112" s="59">
        <f t="shared" si="71"/>
        <v>1182.9705073890059</v>
      </c>
      <c r="DT112" s="59">
        <f ca="1">AVERAGE(OFFSET($DS$3,0,0,'Données projet'!$E$14+1,1))-AVERAGE(OFFSET($H$3,0,0,'Données projet'!$E$14+1,1))</f>
        <v>569.21675741362196</v>
      </c>
      <c r="DU112" s="59">
        <f t="shared" si="98"/>
        <v>321.12410801891679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56.711452435677735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56.711452435677735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68.255700154286444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-2.8421709430404007E-13</v>
      </c>
      <c r="EK112" s="17">
        <f>EJ112*VLOOKUP('Données projet'!$B$15,Paramètres!$A$1:$I$89,3,0)*VLOOKUP('Données projet'!$B$15,Paramètres!$A$1:$I$89,5,0)</f>
        <v>-2.2612312022829427E-13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416.63597645452791</v>
      </c>
      <c r="EP112" s="59">
        <f t="shared" si="100"/>
        <v>402.05920382353497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101.20049614784918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101.20049614784918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68.255700154286444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>
        <f>FE112*VLOOKUP('Données projet'!$B$16,Paramètres!$A$1:$I$89,3,0)*VLOOKUP('Données projet'!$B$16,Paramètres!$A$1:$I$89,5,0)</f>
        <v>0</v>
      </c>
      <c r="FG112" s="13" t="e">
        <f t="shared" si="101"/>
        <v>#NUM!</v>
      </c>
      <c r="FH112" s="20" t="e">
        <f t="shared" si="76"/>
        <v>#NUM!</v>
      </c>
      <c r="FI112" s="59" t="e">
        <f t="shared" si="77"/>
        <v>#NUM!</v>
      </c>
      <c r="FJ112" s="59">
        <f ca="1">AVERAGE(OFFSET($FI$3,0,0,'Données projet'!$E$16+1,1))-AVERAGE(OFFSET($H$3,0,0,'Données projet'!$E$16+1,1))</f>
        <v>395.57130469647603</v>
      </c>
      <c r="FK112" s="59">
        <f t="shared" si="102"/>
        <v>383.97542781562674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95.999006134578167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95.999006134578167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68.255700154286444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>
        <f>FZ112*VLOOKUP('Données projet'!$B$17,Paramètres!$A$1:$I$89,3,0)*VLOOKUP('Données projet'!$B$17,Paramètres!$A$1:$I$89,5,0)</f>
        <v>0</v>
      </c>
      <c r="GB112" s="13" t="e">
        <f t="shared" si="103"/>
        <v>#NUM!</v>
      </c>
      <c r="GC112" s="20" t="e">
        <f t="shared" si="79"/>
        <v>#NUM!</v>
      </c>
      <c r="GD112" s="59" t="e">
        <f t="shared" si="80"/>
        <v>#NUM!</v>
      </c>
      <c r="GE112" s="59">
        <f ca="1">AVERAGE(OFFSET($GD$3,0,0,'Données projet'!$E$17+1,1))-AVERAGE(OFFSET($H$3,0,0,'Données projet'!$E$17+1,1))</f>
        <v>301.74744407733351</v>
      </c>
      <c r="GF112" s="59">
        <f t="shared" si="104"/>
        <v>292.46787700966991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49.861892501250971</v>
      </c>
      <c r="GM112" s="21">
        <f>EXP(-LN(2)/25)*GM111+(1-EXP(-LN(2)/25))/(LN(2)/25)*Calculateur!GH112*Calculateur!GJ112*VLOOKUP('Données projet'!$B$17,Paramètres!$A$1:$I$89,3,0)*0.475*44/12</f>
        <v>0</v>
      </c>
      <c r="GN112" s="21">
        <f>EXP(-LN(2)/2)*GN111+(1-EXP(-LN(2)/2))/(LN(2)/2)*GH112*GK112*VLOOKUP('Données projet'!$B$17,Paramètres!$A$1:$I$89,3,0)*0.475*44/12</f>
        <v>0</v>
      </c>
      <c r="GO112" s="21">
        <f t="shared" si="81"/>
        <v>49.861892501250971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68.255700154286444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-2.8421709430404007E-13</v>
      </c>
      <c r="GV112" s="17">
        <f>GU112*VLOOKUP('Données projet'!$B$18,Paramètres!$A$1:$I$89,3,0)*VLOOKUP('Données projet'!$B$18,Paramètres!$A$1:$I$89,5,0)</f>
        <v>-1.6848389350343495E-13</v>
      </c>
      <c r="GW112" s="13" t="e">
        <f t="shared" si="105"/>
        <v>#NUM!</v>
      </c>
      <c r="GX112" s="20" t="e">
        <f t="shared" si="82"/>
        <v>#NUM!</v>
      </c>
      <c r="GY112" s="59" t="e">
        <f t="shared" si="83"/>
        <v>#NUM!</v>
      </c>
      <c r="GZ112" s="59">
        <f ca="1">AVERAGE(OFFSET($GY$3,0,0,'Données projet'!$E$18+1,1))-AVERAGE(OFFSET($H$3,0,0,'Données projet'!$E$18+1,1))</f>
        <v>322.78672881269978</v>
      </c>
      <c r="HA112" s="59">
        <f t="shared" si="106"/>
        <v>313.08736327626434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80.000640043750522</v>
      </c>
      <c r="HH112" s="21">
        <f>EXP(-LN(2)/25)*HH111+(1-EXP(-LN(2)/25))/(LN(2)/25)*Calculateur!HC112*Calculateur!HE112*VLOOKUP('Données projet'!$B$18,Paramètres!$A$1:$I$89,3,0)*0.475*44/12</f>
        <v>0</v>
      </c>
      <c r="HI112" s="21">
        <f>EXP(-LN(2)/2)*HI111+(1-EXP(-LN(2)/2))/(LN(2)/2)*HC112*HF112*VLOOKUP('Données projet'!$B$18,Paramètres!$A$1:$I$89,3,0)*0.475*44/12</f>
        <v>0</v>
      </c>
      <c r="HJ112" s="22">
        <f t="shared" si="84"/>
        <v>80.000640043750522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2.3499999999999996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8.6166666666666654</v>
      </c>
      <c r="H113" s="67">
        <f t="shared" si="56"/>
        <v>222.20000000000002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68.285959856939328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358</v>
      </c>
      <c r="L113" s="12">
        <f>VLOOKUP(A113,'Données projet'!$A$35:$I$55,9,0)</f>
        <v>5.2</v>
      </c>
      <c r="M113" s="12">
        <f t="array" ref="M113">INDEX(L:L,MIN(IF(ISNUMBER(L113:L309),ROW(L113:L309),"")))</f>
        <v>5.2</v>
      </c>
      <c r="N113" s="13">
        <f>IF('Données projet'!$A$36&gt;35,N112+M113-V112,IF(A113&lt;'Données projet'!$A$36,$K$205^A113,IF(A113='Données projet'!$A$36,'Données projet'!$B$36,N112+M113-V112)))</f>
        <v>358.00000000000006</v>
      </c>
      <c r="O113" s="13">
        <f>N113*VLOOKUP('Données projet'!$B$9,Paramètres!$A$1:$I$89,3,0)*VLOOKUP('Données projet'!$B$9,Paramètres!$A$1:$I$89,5,0)</f>
        <v>323.91840000000002</v>
      </c>
      <c r="P113" s="13">
        <f t="shared" si="87"/>
        <v>76.168074587293091</v>
      </c>
      <c r="Q113" s="20">
        <f t="shared" si="107"/>
        <v>696.81727657286876</v>
      </c>
      <c r="R113" s="59">
        <f t="shared" si="55"/>
        <v>983.86579604831297</v>
      </c>
      <c r="S113" s="59">
        <f ca="1">AVERAGE(OFFSET($R$3,0,0,'Données projet'!$E$9+1,1))-AVERAGE(OFFSET($H$3,0,0,'Données projet'!$E$9+1,1))</f>
        <v>473.88815717313474</v>
      </c>
      <c r="T113" s="59">
        <f t="shared" si="88"/>
        <v>287.19790203552895</v>
      </c>
      <c r="U113" s="15">
        <f>IF(ISNA(VLOOKUP(A113,'Données projet'!$A$35:$I$55,3,0)),0,VLOOKUP(A113,'Données projet'!$A$35:$I$55,3,0))</f>
        <v>19</v>
      </c>
      <c r="V113" s="15">
        <f>IF(ISNA(VLOOKUP(A113,'Données projet'!$A$35:$I$55,4,0)),0,VLOOKUP(A113,'Données projet'!$A$35:$I$55,4,0))</f>
        <v>51</v>
      </c>
      <c r="W113" s="16">
        <f>IF(ISNA(VLOOKUP(A113,'Données projet'!$A$35:$I$55,5,0)),0%,VLOOKUP(A113,'Données projet'!$A$35:$I$55,5,0)*VLOOKUP('Données projet'!$B$9,Paramètres!$A$1:$I$89,7,0))</f>
        <v>0.34400000000000003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61.775850869333603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61.775850869333603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68.285959856939328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358</v>
      </c>
      <c r="AG113" s="12">
        <f>VLOOKUP(A113,'Données projet'!$A$61:$I$81,9,0)</f>
        <v>5.2</v>
      </c>
      <c r="AH113" s="12">
        <f t="array" ref="AH113">INDEX(AG:AG,MIN(IF(ISNUMBER(AG113:AG309),ROW(AG113:AG309),"")))</f>
        <v>5.2</v>
      </c>
      <c r="AI113" s="13">
        <f>IF('Données projet'!$A$62&gt;35,AI112+AH113-AQ112,IF(A113&lt;'Données projet'!$A$62,$AF$205^A113,IF(A113='Données projet'!$A$62,'Données projet'!$B$62,AI112+AH113-AQ112)))</f>
        <v>358.00000000000006</v>
      </c>
      <c r="AJ113" s="13">
        <f>AI113*VLOOKUP('Données projet'!$B$10,Paramètres!$A$1:$I$89,3,0)*VLOOKUP('Données projet'!$B$10,Paramètres!$A$1:$I$89,5,0)</f>
        <v>301.57920000000007</v>
      </c>
      <c r="AK113" s="13">
        <f t="shared" si="89"/>
        <v>71.507423226130925</v>
      </c>
      <c r="AL113" s="20">
        <f t="shared" si="58"/>
        <v>649.79253545217807</v>
      </c>
      <c r="AM113" s="59">
        <f t="shared" si="59"/>
        <v>936.84105492762228</v>
      </c>
      <c r="AN113" s="59">
        <f ca="1">AVERAGE(OFFSET($AM$3,0,0,'Données projet'!$E$10+1,1))-AVERAGE(OFFSET($H$3,0,0,'Données projet'!$E$10+1,1))</f>
        <v>445.19118535527258</v>
      </c>
      <c r="AO113" s="59">
        <f t="shared" si="90"/>
        <v>270.93483242839363</v>
      </c>
      <c r="AP113" s="15">
        <f>IF(ISNA(VLOOKUP(A113,'Données projet'!$A$61:$I$81,3,0)),0,VLOOKUP(A113,'Données projet'!$A$61:$I$81,3,0))</f>
        <v>19</v>
      </c>
      <c r="AQ113" s="15">
        <f>IF(ISNA(VLOOKUP(A113,'Données projet'!$A$61:$I$81,4,0)),0,VLOOKUP(A113,'Données projet'!$A$61:$I$81,4,0))</f>
        <v>51</v>
      </c>
      <c r="AR113" s="16">
        <f>IF(ISNA(VLOOKUP(A113,'Données projet'!$A$61:$I$81,5,0)),0%,VLOOKUP(A113,'Données projet'!$A$61:$I$81,5,0)*VLOOKUP('Données projet'!$B$10,Paramètres!$A$1:$I$89,7,0))</f>
        <v>0.34400000000000003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57.51544736110371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57.51544736110371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68.285959856939328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358</v>
      </c>
      <c r="BB113" s="12">
        <f>VLOOKUP(A113,'Données projet'!$A$87:$I$107,9,0)</f>
        <v>5.2</v>
      </c>
      <c r="BC113" s="12">
        <f t="array" ref="BC113">INDEX(BB:BB,MIN(IF(ISNUMBER(BB113:BB309),ROW(BB113:BB309),"")))</f>
        <v>5.2</v>
      </c>
      <c r="BD113" s="12">
        <f>IF('Données projet'!$A$88&gt;35,BD112+BC113-BL112,IF(A113&lt;'Données projet'!$A$88,$BA$205^A113,IF(A113='Données projet'!$A$88,'Données projet'!$B$88,BD112+BC113-BL112)))</f>
        <v>358.00000000000006</v>
      </c>
      <c r="BE113" s="13">
        <f>BD113*VLOOKUP('Données projet'!$B$11,Paramètres!$A$1:$I$89,3,0)*VLOOKUP('Données projet'!$B$11,Paramètres!$A$1:$I$89,5,0)</f>
        <v>363.01200000000006</v>
      </c>
      <c r="BF113" s="13">
        <f t="shared" si="91"/>
        <v>84.236098596059009</v>
      </c>
      <c r="BG113" s="20">
        <f t="shared" si="61"/>
        <v>778.95710505480292</v>
      </c>
      <c r="BH113" s="59">
        <f t="shared" si="62"/>
        <v>1066.0056245302471</v>
      </c>
      <c r="BI113" s="59">
        <f ca="1">AVERAGE(OFFSET($BH$3,0,0,'Données projet'!$E$11+1,1))-AVERAGE(OFFSET($H$3,0,0,'Données projet'!$E$11+1,1))</f>
        <v>524.01140973345832</v>
      </c>
      <c r="BJ113" s="59">
        <f t="shared" si="92"/>
        <v>315.59942237999621</v>
      </c>
      <c r="BK113" s="15">
        <f>IF(ISNA(VLOOKUP(A113,'Données projet'!$A$87:$I$107,3,0)),0,VLOOKUP(A113,'Données projet'!$A$87:$I$107,3,0))</f>
        <v>19</v>
      </c>
      <c r="BL113" s="15">
        <f>IF(ISNA(VLOOKUP(A113,'Données projet'!$A$87:$I$107,4,0)),0,VLOOKUP(A113,'Données projet'!$A$87:$I$107,4,0))</f>
        <v>51</v>
      </c>
      <c r="BM113" s="16">
        <f>IF(ISNA(VLOOKUP(A113,'Données projet'!$A$87:$I$107,5,0)),0%,VLOOKUP(A113,'Données projet'!$A$87:$I$107,5,0)*VLOOKUP('Données projet'!$B$11,Paramètres!$A$1:$I$89,7,0))</f>
        <v>0.34400000000000003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69.231557008735933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69.231557008735933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68.285959856939328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-2.8421709430404007E-13</v>
      </c>
      <c r="BZ113" s="13">
        <f>BY113*VLOOKUP('Données projet'!$B$12,Paramètres!$A$1:$I$89,3,0)*VLOOKUP('Données projet'!$B$12,Paramètres!$A$1:$I$89,5,0)</f>
        <v>-1.9065282685915009E-13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358.95222991910504</v>
      </c>
      <c r="CE113" s="59">
        <f t="shared" si="94"/>
        <v>347.37506646970905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78.397476342324396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78.397476342324396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68.285959856939328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-2.8421709430404007E-13</v>
      </c>
      <c r="CU113" s="17">
        <f>CT113*VLOOKUP('Données projet'!$B$13,Paramètres!$A$1:$I$89,3,0)*VLOOKUP('Données projet'!$B$13,Paramètres!$A$1:$I$89,5,0)</f>
        <v>-1.8621904018800707E-13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351.7266381615546</v>
      </c>
      <c r="CZ113" s="59">
        <f t="shared" si="96"/>
        <v>340.52483243761799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66.290834316368233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66.290834316368233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68.285959856939328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>
        <f>VLOOKUP(A113,'Données projet'!$A$165:$I$185,2,0)</f>
        <v>493</v>
      </c>
      <c r="DM113" s="12">
        <f>VLOOKUP(A113,'Données projet'!$A$165:$I$185,9,0)</f>
        <v>4.8</v>
      </c>
      <c r="DN113" s="12">
        <f t="array" ref="DN113">INDEX(DM:DM,MIN(IF(ISNUMBER(DM113:DM309),ROW(DM113:DM309),"")))</f>
        <v>4.8</v>
      </c>
      <c r="DO113" s="12">
        <f>IF('Données projet'!$A$166&gt;35,DO112+DN113-DW112,IF(A113&lt;'Données projet'!$A$166,$DL$205^A113,IF(A113='Données projet'!$A$166,'Données projet'!$B$166,DO112+DN113-DW112)))</f>
        <v>493.00000000000011</v>
      </c>
      <c r="DP113" s="17">
        <f>DO113*VLOOKUP('Données projet'!$B$14,Paramètres!$A$1:$I$89,3,0)*VLOOKUP('Données projet'!$B$14,Paramètres!$A$1:$I$89,5,0)</f>
        <v>422.99400000000014</v>
      </c>
      <c r="DQ113" s="13">
        <f t="shared" si="97"/>
        <v>96.423073437021841</v>
      </c>
      <c r="DR113" s="20">
        <f t="shared" si="70"/>
        <v>904.65140290281317</v>
      </c>
      <c r="DS113" s="59">
        <f t="shared" si="71"/>
        <v>1191.6999223782573</v>
      </c>
      <c r="DT113" s="59">
        <f ca="1">AVERAGE(OFFSET($DS$3,0,0,'Données projet'!$E$14+1,1))-AVERAGE(OFFSET($H$3,0,0,'Données projet'!$E$14+1,1))</f>
        <v>569.21675741362196</v>
      </c>
      <c r="DU113" s="59">
        <f t="shared" si="98"/>
        <v>321.12410801891679</v>
      </c>
      <c r="DV113" s="15">
        <f>IF(ISNA(VLOOKUP(A113,'Données projet'!$A$165:$I$185,3,0)),0,VLOOKUP(A113,'Données projet'!$A$165:$I$185,3,0))</f>
        <v>19</v>
      </c>
      <c r="DW113" s="15">
        <f>IF(ISNA(VLOOKUP(A113,'Données projet'!$A$165:$I$185,4,0)),0,VLOOKUP(A113,'Données projet'!$A$165:$I$185,4,0))</f>
        <v>27</v>
      </c>
      <c r="DX113" s="16">
        <f>IF(ISNA(VLOOKUP(A113,'Données projet'!$A$165:$I$185,5,0)),0%,VLOOKUP(A113,'Données projet'!$A$165:$I$185,5,0)*VLOOKUP('Données projet'!$B$14,Paramètres!$A$1:$I$89,7,0))</f>
        <v>0.42400000000000004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66.457730012382925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66.457730012382925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68.285959856939328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-2.8421709430404007E-13</v>
      </c>
      <c r="EK113" s="17">
        <f>EJ113*VLOOKUP('Données projet'!$B$15,Paramètres!$A$1:$I$89,3,0)*VLOOKUP('Données projet'!$B$15,Paramètres!$A$1:$I$89,5,0)</f>
        <v>-2.2612312022829427E-13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416.63597645452791</v>
      </c>
      <c r="EP113" s="59">
        <f t="shared" si="100"/>
        <v>402.05920382353497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99.216016144597546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99.216016144597546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68.285959856939328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>
        <f>FE113*VLOOKUP('Données projet'!$B$16,Paramètres!$A$1:$I$89,3,0)*VLOOKUP('Données projet'!$B$16,Paramètres!$A$1:$I$89,5,0)</f>
        <v>0</v>
      </c>
      <c r="FG113" s="13" t="e">
        <f t="shared" si="101"/>
        <v>#NUM!</v>
      </c>
      <c r="FH113" s="20" t="e">
        <f t="shared" si="76"/>
        <v>#NUM!</v>
      </c>
      <c r="FI113" s="59" t="e">
        <f t="shared" si="77"/>
        <v>#NUM!</v>
      </c>
      <c r="FJ113" s="59">
        <f ca="1">AVERAGE(OFFSET($FI$3,0,0,'Données projet'!$E$16+1,1))-AVERAGE(OFFSET($H$3,0,0,'Données projet'!$E$16+1,1))</f>
        <v>395.57130469647603</v>
      </c>
      <c r="FK113" s="59">
        <f t="shared" si="102"/>
        <v>383.97542781562674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94.116524177891137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94.116524177891137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68.285959856939328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>
        <f>FZ113*VLOOKUP('Données projet'!$B$17,Paramètres!$A$1:$I$89,3,0)*VLOOKUP('Données projet'!$B$17,Paramètres!$A$1:$I$89,5,0)</f>
        <v>0</v>
      </c>
      <c r="GB113" s="13" t="e">
        <f t="shared" si="103"/>
        <v>#NUM!</v>
      </c>
      <c r="GC113" s="20" t="e">
        <f t="shared" si="79"/>
        <v>#NUM!</v>
      </c>
      <c r="GD113" s="59" t="e">
        <f t="shared" si="80"/>
        <v>#NUM!</v>
      </c>
      <c r="GE113" s="59">
        <f ca="1">AVERAGE(OFFSET($GD$3,0,0,'Données projet'!$E$17+1,1))-AVERAGE(OFFSET($H$3,0,0,'Données projet'!$E$17+1,1))</f>
        <v>301.74744407733351</v>
      </c>
      <c r="GF113" s="59">
        <f t="shared" si="104"/>
        <v>292.46787700966991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48.884131202052856</v>
      </c>
      <c r="GM113" s="21">
        <f>EXP(-LN(2)/25)*GM112+(1-EXP(-LN(2)/25))/(LN(2)/25)*Calculateur!GH113*Calculateur!GJ113*VLOOKUP('Données projet'!$B$17,Paramètres!$A$1:$I$89,3,0)*0.475*44/12</f>
        <v>0</v>
      </c>
      <c r="GN113" s="21">
        <f>EXP(-LN(2)/2)*GN112+(1-EXP(-LN(2)/2))/(LN(2)/2)*GH113*GK113*VLOOKUP('Données projet'!$B$17,Paramètres!$A$1:$I$89,3,0)*0.475*44/12</f>
        <v>0</v>
      </c>
      <c r="GO113" s="21">
        <f t="shared" si="81"/>
        <v>48.884131202052856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68.285959856939328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-2.8421709430404007E-13</v>
      </c>
      <c r="GV113" s="17">
        <f>GU113*VLOOKUP('Données projet'!$B$18,Paramètres!$A$1:$I$89,3,0)*VLOOKUP('Données projet'!$B$18,Paramètres!$A$1:$I$89,5,0)</f>
        <v>-1.6848389350343495E-13</v>
      </c>
      <c r="GW113" s="13" t="e">
        <f t="shared" si="105"/>
        <v>#NUM!</v>
      </c>
      <c r="GX113" s="20" t="e">
        <f t="shared" si="82"/>
        <v>#NUM!</v>
      </c>
      <c r="GY113" s="59" t="e">
        <f t="shared" si="83"/>
        <v>#NUM!</v>
      </c>
      <c r="GZ113" s="59">
        <f ca="1">AVERAGE(OFFSET($GY$3,0,0,'Données projet'!$E$18+1,1))-AVERAGE(OFFSET($H$3,0,0,'Données projet'!$E$18+1,1))</f>
        <v>322.78672881269978</v>
      </c>
      <c r="HA113" s="59">
        <f t="shared" si="106"/>
        <v>313.08736327626434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78.431876288064842</v>
      </c>
      <c r="HH113" s="21">
        <f>EXP(-LN(2)/25)*HH112+(1-EXP(-LN(2)/25))/(LN(2)/25)*Calculateur!HC113*Calculateur!HE113*VLOOKUP('Données projet'!$B$18,Paramètres!$A$1:$I$89,3,0)*0.475*44/12</f>
        <v>0</v>
      </c>
      <c r="HI113" s="21">
        <f>EXP(-LN(2)/2)*HI112+(1-EXP(-LN(2)/2))/(LN(2)/2)*HC113*HF113*VLOOKUP('Données projet'!$B$18,Paramètres!$A$1:$I$89,3,0)*0.475*44/12</f>
        <v>0</v>
      </c>
      <c r="HJ113" s="22">
        <f t="shared" si="84"/>
        <v>78.431876288064842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2.3499999999999996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8.6166666666666654</v>
      </c>
      <c r="H114" s="67">
        <f t="shared" si="56"/>
        <v>222.20000000000002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68.315694621401747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4.5</v>
      </c>
      <c r="N114" s="13">
        <f>IF('Données projet'!$A$36&gt;35,N113+M114-V113,IF(A114&lt;'Données projet'!$A$36,$K$205^A114,IF(A114='Données projet'!$A$36,'Données projet'!$B$36,N113+M114-V113)))</f>
        <v>311.50000000000006</v>
      </c>
      <c r="O114" s="13">
        <f>N114*VLOOKUP('Données projet'!$B$9,Paramètres!$A$1:$I$89,3,0)*VLOOKUP('Données projet'!$B$9,Paramètres!$A$1:$I$89,5,0)</f>
        <v>281.84520000000003</v>
      </c>
      <c r="P114" s="13">
        <f t="shared" si="87"/>
        <v>67.356803491560484</v>
      </c>
      <c r="Q114" s="20">
        <f t="shared" si="107"/>
        <v>608.19348941446788</v>
      </c>
      <c r="R114" s="59">
        <f t="shared" si="55"/>
        <v>895.35103635960763</v>
      </c>
      <c r="S114" s="59">
        <f ca="1">AVERAGE(OFFSET($R$3,0,0,'Données projet'!$E$9+1,1))-AVERAGE(OFFSET($H$3,0,0,'Données projet'!$E$9+1,1))</f>
        <v>473.88815717313474</v>
      </c>
      <c r="T114" s="59">
        <f t="shared" si="88"/>
        <v>287.19790203552895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60.564464113334452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60.564464113334452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68.315694621401747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4.5</v>
      </c>
      <c r="AI114" s="13">
        <f>IF('Données projet'!$A$62&gt;35,AI113+AH114-AQ113,IF(A114&lt;'Données projet'!$A$62,$AF$205^A114,IF(A114='Données projet'!$A$62,'Données projet'!$B$62,AI113+AH114-AQ113)))</f>
        <v>311.50000000000006</v>
      </c>
      <c r="AJ114" s="13">
        <f>AI114*VLOOKUP('Données projet'!$B$10,Paramètres!$A$1:$I$89,3,0)*VLOOKUP('Données projet'!$B$10,Paramètres!$A$1:$I$89,5,0)</f>
        <v>262.40760000000006</v>
      </c>
      <c r="AK114" s="13">
        <f t="shared" si="89"/>
        <v>63.23530534975442</v>
      </c>
      <c r="AL114" s="20">
        <f t="shared" si="58"/>
        <v>567.16139348415561</v>
      </c>
      <c r="AM114" s="59">
        <f t="shared" si="59"/>
        <v>854.31894042929537</v>
      </c>
      <c r="AN114" s="59">
        <f ca="1">AVERAGE(OFFSET($AM$3,0,0,'Données projet'!$E$10+1,1))-AVERAGE(OFFSET($H$3,0,0,'Données projet'!$E$10+1,1))</f>
        <v>445.19118535527258</v>
      </c>
      <c r="AO114" s="59">
        <f t="shared" si="90"/>
        <v>270.93483242839363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56.387604519311402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56.387604519311402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68.315694621401747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4.5</v>
      </c>
      <c r="BD114" s="12">
        <f>IF('Données projet'!$A$88&gt;35,BD113+BC114-BL113,IF(A114&lt;'Données projet'!$A$88,$BA$205^A114,IF(A114='Données projet'!$A$88,'Données projet'!$B$88,BD113+BC114-BL113)))</f>
        <v>311.50000000000006</v>
      </c>
      <c r="BE114" s="13">
        <f>BD114*VLOOKUP('Données projet'!$B$11,Paramètres!$A$1:$I$89,3,0)*VLOOKUP('Données projet'!$B$11,Paramètres!$A$1:$I$89,5,0)</f>
        <v>315.8610000000001</v>
      </c>
      <c r="BF114" s="13">
        <f t="shared" si="91"/>
        <v>74.491502782151485</v>
      </c>
      <c r="BG114" s="20">
        <f t="shared" si="61"/>
        <v>679.86394234558054</v>
      </c>
      <c r="BH114" s="59">
        <f t="shared" si="62"/>
        <v>967.0214892907203</v>
      </c>
      <c r="BI114" s="59">
        <f ca="1">AVERAGE(OFFSET($BH$3,0,0,'Données projet'!$E$11+1,1))-AVERAGE(OFFSET($H$3,0,0,'Données projet'!$E$11+1,1))</f>
        <v>524.01140973345832</v>
      </c>
      <c r="BJ114" s="59">
        <f t="shared" si="92"/>
        <v>315.59942237999621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67.873968402874823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67.873968402874823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68.315694621401747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-2.8421709430404007E-13</v>
      </c>
      <c r="BZ114" s="13">
        <f>BY114*VLOOKUP('Données projet'!$B$12,Paramètres!$A$1:$I$89,3,0)*VLOOKUP('Données projet'!$B$12,Paramètres!$A$1:$I$89,5,0)</f>
        <v>-1.9065282685915009E-13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358.95222991910504</v>
      </c>
      <c r="CE114" s="59">
        <f t="shared" si="94"/>
        <v>347.37506646970905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76.860149648990372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76.860149648990372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68.315694621401747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-2.8421709430404007E-13</v>
      </c>
      <c r="CU114" s="17">
        <f>CT114*VLOOKUP('Données projet'!$B$13,Paramètres!$A$1:$I$89,3,0)*VLOOKUP('Données projet'!$B$13,Paramètres!$A$1:$I$89,5,0)</f>
        <v>-1.8621904018800707E-13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351.7266381615546</v>
      </c>
      <c r="CZ114" s="59">
        <f t="shared" si="96"/>
        <v>340.52483243761799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64.990911488840723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64.990911488840723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68.315694621401747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7</v>
      </c>
      <c r="DO114" s="12">
        <f>IF('Données projet'!$A$166&gt;35,DO113+DN114-DW113,IF(A114&lt;'Données projet'!$A$166,$DL$205^A114,IF(A114='Données projet'!$A$166,'Données projet'!$B$166,DO113+DN114-DW113)))</f>
        <v>473.00000000000011</v>
      </c>
      <c r="DP114" s="17">
        <f>DO114*VLOOKUP('Données projet'!$B$14,Paramètres!$A$1:$I$89,3,0)*VLOOKUP('Données projet'!$B$14,Paramètres!$A$1:$I$89,5,0)</f>
        <v>405.83400000000017</v>
      </c>
      <c r="DQ114" s="13">
        <f t="shared" si="97"/>
        <v>92.958420619932411</v>
      </c>
      <c r="DR114" s="20">
        <f t="shared" si="70"/>
        <v>868.73013257971604</v>
      </c>
      <c r="DS114" s="59">
        <f t="shared" si="71"/>
        <v>1155.8876795248557</v>
      </c>
      <c r="DT114" s="59">
        <f ca="1">AVERAGE(OFFSET($DS$3,0,0,'Données projet'!$E$14+1,1))-AVERAGE(OFFSET($H$3,0,0,'Données projet'!$E$14+1,1))</f>
        <v>569.21675741362196</v>
      </c>
      <c r="DU114" s="59">
        <f t="shared" si="98"/>
        <v>321.12410801891679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65.154534462052879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65.154534462052879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68.315694621401747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-2.8421709430404007E-13</v>
      </c>
      <c r="EK114" s="17">
        <f>EJ114*VLOOKUP('Données projet'!$B$15,Paramètres!$A$1:$I$89,3,0)*VLOOKUP('Données projet'!$B$15,Paramètres!$A$1:$I$89,5,0)</f>
        <v>-2.2612312022829427E-13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416.63597645452791</v>
      </c>
      <c r="EP114" s="59">
        <f t="shared" si="100"/>
        <v>402.05920382353497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97.270450583796404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97.270450583796404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68.315694621401747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>
        <f>FE114*VLOOKUP('Données projet'!$B$16,Paramètres!$A$1:$I$89,3,0)*VLOOKUP('Données projet'!$B$16,Paramètres!$A$1:$I$89,5,0)</f>
        <v>0</v>
      </c>
      <c r="FG114" s="13" t="e">
        <f t="shared" si="101"/>
        <v>#NUM!</v>
      </c>
      <c r="FH114" s="20" t="e">
        <f t="shared" si="76"/>
        <v>#NUM!</v>
      </c>
      <c r="FI114" s="59" t="e">
        <f t="shared" si="77"/>
        <v>#NUM!</v>
      </c>
      <c r="FJ114" s="59">
        <f ca="1">AVERAGE(OFFSET($FI$3,0,0,'Données projet'!$E$16+1,1))-AVERAGE(OFFSET($H$3,0,0,'Données projet'!$E$16+1,1))</f>
        <v>395.57130469647603</v>
      </c>
      <c r="FK114" s="59">
        <f t="shared" si="102"/>
        <v>383.97542781562674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92.270956544174126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92.270956544174126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68.315694621401747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>
        <f>FZ114*VLOOKUP('Données projet'!$B$17,Paramètres!$A$1:$I$89,3,0)*VLOOKUP('Données projet'!$B$17,Paramètres!$A$1:$I$89,5,0)</f>
        <v>0</v>
      </c>
      <c r="GB114" s="13" t="e">
        <f t="shared" si="103"/>
        <v>#NUM!</v>
      </c>
      <c r="GC114" s="20" t="e">
        <f t="shared" si="79"/>
        <v>#NUM!</v>
      </c>
      <c r="GD114" s="59" t="e">
        <f t="shared" si="80"/>
        <v>#NUM!</v>
      </c>
      <c r="GE114" s="59">
        <f ca="1">AVERAGE(OFFSET($GD$3,0,0,'Données projet'!$E$17+1,1))-AVERAGE(OFFSET($H$3,0,0,'Données projet'!$E$17+1,1))</f>
        <v>301.74744407733351</v>
      </c>
      <c r="GF114" s="59">
        <f t="shared" si="104"/>
        <v>292.46787700966991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47.925543205556508</v>
      </c>
      <c r="GM114" s="21">
        <f>EXP(-LN(2)/25)*GM113+(1-EXP(-LN(2)/25))/(LN(2)/25)*Calculateur!GH114*Calculateur!GJ114*VLOOKUP('Données projet'!$B$17,Paramètres!$A$1:$I$89,3,0)*0.475*44/12</f>
        <v>0</v>
      </c>
      <c r="GN114" s="21">
        <f>EXP(-LN(2)/2)*GN113+(1-EXP(-LN(2)/2))/(LN(2)/2)*GH114*GK114*VLOOKUP('Données projet'!$B$17,Paramètres!$A$1:$I$89,3,0)*0.475*44/12</f>
        <v>0</v>
      </c>
      <c r="GO114" s="21">
        <f t="shared" si="81"/>
        <v>47.925543205556508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68.315694621401747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-2.8421709430404007E-13</v>
      </c>
      <c r="GV114" s="17">
        <f>GU114*VLOOKUP('Données projet'!$B$18,Paramètres!$A$1:$I$89,3,0)*VLOOKUP('Données projet'!$B$18,Paramètres!$A$1:$I$89,5,0)</f>
        <v>-1.6848389350343495E-13</v>
      </c>
      <c r="GW114" s="13" t="e">
        <f t="shared" si="105"/>
        <v>#NUM!</v>
      </c>
      <c r="GX114" s="20" t="e">
        <f t="shared" si="82"/>
        <v>#NUM!</v>
      </c>
      <c r="GY114" s="59" t="e">
        <f t="shared" si="83"/>
        <v>#NUM!</v>
      </c>
      <c r="GZ114" s="59">
        <f ca="1">AVERAGE(OFFSET($GY$3,0,0,'Données projet'!$E$18+1,1))-AVERAGE(OFFSET($H$3,0,0,'Données projet'!$E$18+1,1))</f>
        <v>322.78672881269978</v>
      </c>
      <c r="HA114" s="59">
        <f t="shared" si="106"/>
        <v>313.08736327626434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76.893875032776748</v>
      </c>
      <c r="HH114" s="21">
        <f>EXP(-LN(2)/25)*HH113+(1-EXP(-LN(2)/25))/(LN(2)/25)*Calculateur!HC114*Calculateur!HE114*VLOOKUP('Données projet'!$B$18,Paramètres!$A$1:$I$89,3,0)*0.475*44/12</f>
        <v>0</v>
      </c>
      <c r="HI114" s="21">
        <f>EXP(-LN(2)/2)*HI113+(1-EXP(-LN(2)/2))/(LN(2)/2)*HC114*HF114*VLOOKUP('Données projet'!$B$18,Paramètres!$A$1:$I$89,3,0)*0.475*44/12</f>
        <v>0</v>
      </c>
      <c r="HJ114" s="22">
        <f t="shared" si="84"/>
        <v>76.893875032776748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2.3499999999999996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8.6166666666666654</v>
      </c>
      <c r="H115" s="67">
        <f t="shared" si="56"/>
        <v>222.20000000000002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68.344913554177722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4.5</v>
      </c>
      <c r="N115" s="13">
        <f>IF('Données projet'!$A$36&gt;35,N114+M115-V114,IF(A115&lt;'Données projet'!$A$36,$K$205^A115,IF(A115='Données projet'!$A$36,'Données projet'!$B$36,N114+M115-V114)))</f>
        <v>316.00000000000006</v>
      </c>
      <c r="O115" s="13">
        <f>N115*VLOOKUP('Données projet'!$B$9,Paramètres!$A$1:$I$89,3,0)*VLOOKUP('Données projet'!$B$9,Paramètres!$A$1:$I$89,5,0)</f>
        <v>285.91680000000008</v>
      </c>
      <c r="P115" s="13">
        <f t="shared" si="87"/>
        <v>68.215872977287546</v>
      </c>
      <c r="Q115" s="20">
        <f t="shared" si="107"/>
        <v>616.78107210210919</v>
      </c>
      <c r="R115" s="59">
        <f t="shared" si="55"/>
        <v>904.04575513409418</v>
      </c>
      <c r="S115" s="59">
        <f ca="1">AVERAGE(OFFSET($R$3,0,0,'Données projet'!$E$9+1,1))-AVERAGE(OFFSET($H$3,0,0,'Données projet'!$E$9+1,1))</f>
        <v>473.88815717313474</v>
      </c>
      <c r="T115" s="59">
        <f t="shared" si="88"/>
        <v>287.19790203552895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59.376831912747484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59.376831912747484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68.344913554177722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4.5</v>
      </c>
      <c r="AI115" s="13">
        <f>IF('Données projet'!$A$62&gt;35,AI114+AH115-AQ114,IF(A115&lt;'Données projet'!$A$62,$AF$205^A115,IF(A115='Données projet'!$A$62,'Données projet'!$B$62,AI114+AH115-AQ114)))</f>
        <v>316.00000000000006</v>
      </c>
      <c r="AJ115" s="13">
        <f>AI115*VLOOKUP('Données projet'!$B$10,Paramètres!$A$1:$I$89,3,0)*VLOOKUP('Données projet'!$B$10,Paramètres!$A$1:$I$89,5,0)</f>
        <v>266.19840000000005</v>
      </c>
      <c r="AK115" s="13">
        <f t="shared" si="89"/>
        <v>64.041809198373272</v>
      </c>
      <c r="AL115" s="20">
        <f t="shared" si="58"/>
        <v>575.16836435383357</v>
      </c>
      <c r="AM115" s="59">
        <f t="shared" si="59"/>
        <v>862.43304738581855</v>
      </c>
      <c r="AN115" s="59">
        <f ca="1">AVERAGE(OFFSET($AM$3,0,0,'Données projet'!$E$10+1,1))-AVERAGE(OFFSET($H$3,0,0,'Données projet'!$E$10+1,1))</f>
        <v>445.19118535527258</v>
      </c>
      <c r="AO115" s="59">
        <f t="shared" si="90"/>
        <v>270.93483242839363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55.281877987730432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55.281877987730432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68.344913554177722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4.5</v>
      </c>
      <c r="BD115" s="12">
        <f>IF('Données projet'!$A$88&gt;35,BD114+BC115-BL114,IF(A115&lt;'Données projet'!$A$88,$BA$205^A115,IF(A115='Données projet'!$A$88,'Données projet'!$B$88,BD114+BC115-BL114)))</f>
        <v>316.00000000000006</v>
      </c>
      <c r="BE115" s="13">
        <f>BD115*VLOOKUP('Données projet'!$B$11,Paramètres!$A$1:$I$89,3,0)*VLOOKUP('Données projet'!$B$11,Paramètres!$A$1:$I$89,5,0)</f>
        <v>320.42400000000009</v>
      </c>
      <c r="BF115" s="13">
        <f t="shared" si="91"/>
        <v>75.441568308852311</v>
      </c>
      <c r="BG115" s="20">
        <f t="shared" si="61"/>
        <v>689.46586480458461</v>
      </c>
      <c r="BH115" s="59">
        <f t="shared" si="62"/>
        <v>976.7305478365696</v>
      </c>
      <c r="BI115" s="59">
        <f ca="1">AVERAGE(OFFSET($BH$3,0,0,'Données projet'!$E$11+1,1))-AVERAGE(OFFSET($H$3,0,0,'Données projet'!$E$11+1,1))</f>
        <v>524.01140973345832</v>
      </c>
      <c r="BJ115" s="59">
        <f t="shared" si="92"/>
        <v>315.59942237999621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66.543001281527353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66.543001281527353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68.344913554177722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-2.8421709430404007E-13</v>
      </c>
      <c r="BZ115" s="13">
        <f>BY115*VLOOKUP('Données projet'!$B$12,Paramètres!$A$1:$I$89,3,0)*VLOOKUP('Données projet'!$B$12,Paramètres!$A$1:$I$89,5,0)</f>
        <v>-1.9065282685915009E-13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358.95222991910504</v>
      </c>
      <c r="CE115" s="59">
        <f t="shared" si="94"/>
        <v>347.37506646970905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75.35296899443594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75.35296899443594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68.344913554177722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-2.8421709430404007E-13</v>
      </c>
      <c r="CU115" s="17">
        <f>CT115*VLOOKUP('Données projet'!$B$13,Paramètres!$A$1:$I$89,3,0)*VLOOKUP('Données projet'!$B$13,Paramètres!$A$1:$I$89,5,0)</f>
        <v>-1.8621904018800707E-13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351.7266381615546</v>
      </c>
      <c r="CZ115" s="59">
        <f t="shared" si="96"/>
        <v>340.52483243761799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63.716479355086385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63.716479355086385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68.344913554177722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7</v>
      </c>
      <c r="DO115" s="12">
        <f>IF('Données projet'!$A$166&gt;35,DO114+DN115-DW114,IF(A115&lt;'Données projet'!$A$166,$DL$205^A115,IF(A115='Données projet'!$A$166,'Données projet'!$B$166,DO114+DN115-DW114)))</f>
        <v>480.00000000000011</v>
      </c>
      <c r="DP115" s="17">
        <f>DO115*VLOOKUP('Données projet'!$B$14,Paramètres!$A$1:$I$89,3,0)*VLOOKUP('Données projet'!$B$14,Paramètres!$A$1:$I$89,5,0)</f>
        <v>411.84000000000009</v>
      </c>
      <c r="DQ115" s="13">
        <f t="shared" si="97"/>
        <v>94.172953187816049</v>
      </c>
      <c r="DR115" s="20">
        <f t="shared" si="70"/>
        <v>881.30589346877969</v>
      </c>
      <c r="DS115" s="59">
        <f t="shared" si="71"/>
        <v>1168.5705765007647</v>
      </c>
      <c r="DT115" s="59">
        <f ca="1">AVERAGE(OFFSET($DS$3,0,0,'Données projet'!$E$14+1,1))-AVERAGE(OFFSET($H$3,0,0,'Données projet'!$E$14+1,1))</f>
        <v>569.21675741362196</v>
      </c>
      <c r="DU115" s="59">
        <f t="shared" si="98"/>
        <v>321.12410801891679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63.876893781594013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63.876893781594013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68.344913554177722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-2.8421709430404007E-13</v>
      </c>
      <c r="EK115" s="17">
        <f>EJ115*VLOOKUP('Données projet'!$B$15,Paramètres!$A$1:$I$89,3,0)*VLOOKUP('Données projet'!$B$15,Paramètres!$A$1:$I$89,5,0)</f>
        <v>-2.2612312022829427E-13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416.63597645452791</v>
      </c>
      <c r="EP115" s="59">
        <f t="shared" si="100"/>
        <v>402.05920382353497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95.363036376964743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95.363036376964743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68.344913554177722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>
        <f>FE115*VLOOKUP('Données projet'!$B$16,Paramètres!$A$1:$I$89,3,0)*VLOOKUP('Données projet'!$B$16,Paramètres!$A$1:$I$89,5,0)</f>
        <v>0</v>
      </c>
      <c r="FG115" s="13" t="e">
        <f t="shared" si="101"/>
        <v>#NUM!</v>
      </c>
      <c r="FH115" s="20" t="e">
        <f t="shared" si="76"/>
        <v>#NUM!</v>
      </c>
      <c r="FI115" s="59" t="e">
        <f t="shared" si="77"/>
        <v>#NUM!</v>
      </c>
      <c r="FJ115" s="59">
        <f ca="1">AVERAGE(OFFSET($FI$3,0,0,'Données projet'!$E$16+1,1))-AVERAGE(OFFSET($H$3,0,0,'Données projet'!$E$16+1,1))</f>
        <v>395.57130469647603</v>
      </c>
      <c r="FK115" s="59">
        <f t="shared" si="102"/>
        <v>383.97542781562674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90.461579366069202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90.461579366069202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68.344913554177722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>
        <f>FZ115*VLOOKUP('Données projet'!$B$17,Paramètres!$A$1:$I$89,3,0)*VLOOKUP('Données projet'!$B$17,Paramètres!$A$1:$I$89,5,0)</f>
        <v>0</v>
      </c>
      <c r="GB115" s="13" t="e">
        <f t="shared" si="103"/>
        <v>#NUM!</v>
      </c>
      <c r="GC115" s="20" t="e">
        <f t="shared" si="79"/>
        <v>#NUM!</v>
      </c>
      <c r="GD115" s="59" t="e">
        <f t="shared" si="80"/>
        <v>#NUM!</v>
      </c>
      <c r="GE115" s="59">
        <f ca="1">AVERAGE(OFFSET($GD$3,0,0,'Données projet'!$E$17+1,1))-AVERAGE(OFFSET($H$3,0,0,'Données projet'!$E$17+1,1))</f>
        <v>301.74744407733351</v>
      </c>
      <c r="GF115" s="59">
        <f t="shared" si="104"/>
        <v>292.46787700966991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46.98575253499051</v>
      </c>
      <c r="GM115" s="21">
        <f>EXP(-LN(2)/25)*GM114+(1-EXP(-LN(2)/25))/(LN(2)/25)*Calculateur!GH115*Calculateur!GJ115*VLOOKUP('Données projet'!$B$17,Paramètres!$A$1:$I$89,3,0)*0.475*44/12</f>
        <v>0</v>
      </c>
      <c r="GN115" s="21">
        <f>EXP(-LN(2)/2)*GN114+(1-EXP(-LN(2)/2))/(LN(2)/2)*GH115*GK115*VLOOKUP('Données projet'!$B$17,Paramètres!$A$1:$I$89,3,0)*0.475*44/12</f>
        <v>0</v>
      </c>
      <c r="GO115" s="21">
        <f t="shared" si="81"/>
        <v>46.98575253499051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68.344913554177722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-2.8421709430404007E-13</v>
      </c>
      <c r="GV115" s="17">
        <f>GU115*VLOOKUP('Données projet'!$B$18,Paramètres!$A$1:$I$89,3,0)*VLOOKUP('Données projet'!$B$18,Paramètres!$A$1:$I$89,5,0)</f>
        <v>-1.6848389350343495E-13</v>
      </c>
      <c r="GW115" s="13" t="e">
        <f t="shared" si="105"/>
        <v>#NUM!</v>
      </c>
      <c r="GX115" s="20" t="e">
        <f t="shared" si="82"/>
        <v>#NUM!</v>
      </c>
      <c r="GY115" s="59" t="e">
        <f t="shared" si="83"/>
        <v>#NUM!</v>
      </c>
      <c r="GZ115" s="59">
        <f ca="1">AVERAGE(OFFSET($GY$3,0,0,'Données projet'!$E$18+1,1))-AVERAGE(OFFSET($H$3,0,0,'Données projet'!$E$18+1,1))</f>
        <v>322.78672881269978</v>
      </c>
      <c r="HA115" s="59">
        <f t="shared" si="106"/>
        <v>313.08736327626434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75.386033044016713</v>
      </c>
      <c r="HH115" s="21">
        <f>EXP(-LN(2)/25)*HH114+(1-EXP(-LN(2)/25))/(LN(2)/25)*Calculateur!HC115*Calculateur!HE115*VLOOKUP('Données projet'!$B$18,Paramètres!$A$1:$I$89,3,0)*0.475*44/12</f>
        <v>0</v>
      </c>
      <c r="HI115" s="21">
        <f>EXP(-LN(2)/2)*HI114+(1-EXP(-LN(2)/2))/(LN(2)/2)*HC115*HF115*VLOOKUP('Données projet'!$B$18,Paramètres!$A$1:$I$89,3,0)*0.475*44/12</f>
        <v>0</v>
      </c>
      <c r="HJ115" s="22">
        <f t="shared" si="84"/>
        <v>75.386033044016713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2.3499999999999996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8.6166666666666654</v>
      </c>
      <c r="H116" s="67">
        <f t="shared" si="56"/>
        <v>222.20000000000002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68.373625603793784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4.5</v>
      </c>
      <c r="N116" s="13">
        <f>IF('Données projet'!$A$36&gt;35,N115+M116-V115,IF(A116&lt;'Données projet'!$A$36,$K$205^A116,IF(A116='Données projet'!$A$36,'Données projet'!$B$36,N115+M116-V115)))</f>
        <v>320.50000000000006</v>
      </c>
      <c r="O116" s="13">
        <f>N116*VLOOKUP('Données projet'!$B$9,Paramètres!$A$1:$I$89,3,0)*VLOOKUP('Données projet'!$B$9,Paramètres!$A$1:$I$89,5,0)</f>
        <v>289.98840000000001</v>
      </c>
      <c r="P116" s="13">
        <f t="shared" si="87"/>
        <v>69.073519602481582</v>
      </c>
      <c r="Q116" s="20">
        <f t="shared" si="107"/>
        <v>625.36617664098867</v>
      </c>
      <c r="R116" s="59">
        <f t="shared" si="55"/>
        <v>912.73613718823253</v>
      </c>
      <c r="S116" s="59">
        <f ca="1">AVERAGE(OFFSET($R$3,0,0,'Données projet'!$E$9+1,1))-AVERAGE(OFFSET($H$3,0,0,'Données projet'!$E$9+1,1))</f>
        <v>473.88815717313474</v>
      </c>
      <c r="T116" s="59">
        <f t="shared" si="88"/>
        <v>287.19790203552895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58.212488455229909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58.212488455229909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68.373625603793784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4.5</v>
      </c>
      <c r="AI116" s="13">
        <f>IF('Données projet'!$A$62&gt;35,AI115+AH116-AQ115,IF(A116&lt;'Données projet'!$A$62,$AF$205^A116,IF(A116='Données projet'!$A$62,'Données projet'!$B$62,AI115+AH116-AQ115)))</f>
        <v>320.50000000000006</v>
      </c>
      <c r="AJ116" s="13">
        <f>AI116*VLOOKUP('Données projet'!$B$10,Paramètres!$A$1:$I$89,3,0)*VLOOKUP('Données projet'!$B$10,Paramètres!$A$1:$I$89,5,0)</f>
        <v>269.9892000000001</v>
      </c>
      <c r="AK116" s="13">
        <f t="shared" si="89"/>
        <v>64.846977249929083</v>
      </c>
      <c r="AL116" s="20">
        <f t="shared" si="58"/>
        <v>583.17300871029317</v>
      </c>
      <c r="AM116" s="59">
        <f t="shared" si="59"/>
        <v>870.54296925753704</v>
      </c>
      <c r="AN116" s="59">
        <f ca="1">AVERAGE(OFFSET($AM$3,0,0,'Données projet'!$E$10+1,1))-AVERAGE(OFFSET($H$3,0,0,'Données projet'!$E$10+1,1))</f>
        <v>445.19118535527258</v>
      </c>
      <c r="AO116" s="59">
        <f t="shared" si="90"/>
        <v>270.93483242839363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54.197834079007173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54.197834079007173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68.373625603793784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4.5</v>
      </c>
      <c r="BD116" s="12">
        <f>IF('Données projet'!$A$88&gt;35,BD115+BC116-BL115,IF(A116&lt;'Données projet'!$A$88,$BA$205^A116,IF(A116='Données projet'!$A$88,'Données projet'!$B$88,BD115+BC116-BL115)))</f>
        <v>320.50000000000006</v>
      </c>
      <c r="BE116" s="13">
        <f>BD116*VLOOKUP('Données projet'!$B$11,Paramètres!$A$1:$I$89,3,0)*VLOOKUP('Données projet'!$B$11,Paramètres!$A$1:$I$89,5,0)</f>
        <v>324.98700000000008</v>
      </c>
      <c r="BF116" s="13">
        <f t="shared" si="91"/>
        <v>76.390060259999458</v>
      </c>
      <c r="BG116" s="20">
        <f t="shared" si="61"/>
        <v>699.06504661949918</v>
      </c>
      <c r="BH116" s="59">
        <f t="shared" si="62"/>
        <v>986.43500716674305</v>
      </c>
      <c r="BI116" s="59">
        <f ca="1">AVERAGE(OFFSET($BH$3,0,0,'Données projet'!$E$11+1,1))-AVERAGE(OFFSET($H$3,0,0,'Données projet'!$E$11+1,1))</f>
        <v>524.01140973345832</v>
      </c>
      <c r="BJ116" s="59">
        <f t="shared" si="92"/>
        <v>315.59942237999621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65.238133613619723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65.238133613619723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68.373625603793784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-2.8421709430404007E-13</v>
      </c>
      <c r="BZ116" s="13">
        <f>BY116*VLOOKUP('Données projet'!$B$12,Paramètres!$A$1:$I$89,3,0)*VLOOKUP('Données projet'!$B$12,Paramètres!$A$1:$I$89,5,0)</f>
        <v>-1.9065282685915009E-13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358.95222991910504</v>
      </c>
      <c r="CE116" s="59">
        <f t="shared" si="94"/>
        <v>347.37506646970905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73.875343233227895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73.875343233227895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68.373625603793784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-2.8421709430404007E-13</v>
      </c>
      <c r="CU116" s="17">
        <f>CT116*VLOOKUP('Données projet'!$B$13,Paramètres!$A$1:$I$89,3,0)*VLOOKUP('Données projet'!$B$13,Paramètres!$A$1:$I$89,5,0)</f>
        <v>-1.8621904018800707E-13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351.7266381615546</v>
      </c>
      <c r="CZ116" s="59">
        <f t="shared" si="96"/>
        <v>340.52483243761799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62.467038058148127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62.467038058148127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68.373625603793784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7</v>
      </c>
      <c r="DO116" s="12">
        <f>IF('Données projet'!$A$166&gt;35,DO115+DN116-DW115,IF(A116&lt;'Données projet'!$A$166,$DL$205^A116,IF(A116='Données projet'!$A$166,'Données projet'!$B$166,DO115+DN116-DW115)))</f>
        <v>487.00000000000011</v>
      </c>
      <c r="DP116" s="17">
        <f>DO116*VLOOKUP('Données projet'!$B$14,Paramètres!$A$1:$I$89,3,0)*VLOOKUP('Données projet'!$B$14,Paramètres!$A$1:$I$89,5,0)</f>
        <v>417.84600000000012</v>
      </c>
      <c r="DQ116" s="13">
        <f t="shared" si="97"/>
        <v>95.385425758311655</v>
      </c>
      <c r="DR116" s="20">
        <f t="shared" si="70"/>
        <v>893.87806652905965</v>
      </c>
      <c r="DS116" s="59">
        <f t="shared" si="71"/>
        <v>1181.2480270763035</v>
      </c>
      <c r="DT116" s="59">
        <f ca="1">AVERAGE(OFFSET($DS$3,0,0,'Données projet'!$E$14+1,1))-AVERAGE(OFFSET($H$3,0,0,'Données projet'!$E$14+1,1))</f>
        <v>569.21675741362196</v>
      </c>
      <c r="DU116" s="59">
        <f t="shared" si="98"/>
        <v>321.12410801891679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62.62430685559508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62.62430685559508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68.373625603793784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-2.8421709430404007E-13</v>
      </c>
      <c r="EK116" s="17">
        <f>EJ116*VLOOKUP('Données projet'!$B$15,Paramètres!$A$1:$I$89,3,0)*VLOOKUP('Données projet'!$B$15,Paramètres!$A$1:$I$89,5,0)</f>
        <v>-2.2612312022829427E-13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416.63597645452791</v>
      </c>
      <c r="EP116" s="59">
        <f t="shared" si="100"/>
        <v>402.05920382353497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93.493025399321269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93.493025399321269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68.373625603793784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>
        <f>FE116*VLOOKUP('Données projet'!$B$16,Paramètres!$A$1:$I$89,3,0)*VLOOKUP('Données projet'!$B$16,Paramètres!$A$1:$I$89,5,0)</f>
        <v>0</v>
      </c>
      <c r="FG116" s="13" t="e">
        <f t="shared" si="101"/>
        <v>#NUM!</v>
      </c>
      <c r="FH116" s="20" t="e">
        <f t="shared" si="76"/>
        <v>#NUM!</v>
      </c>
      <c r="FI116" s="59" t="e">
        <f t="shared" si="77"/>
        <v>#NUM!</v>
      </c>
      <c r="FJ116" s="59">
        <f ca="1">AVERAGE(OFFSET($FI$3,0,0,'Données projet'!$E$16+1,1))-AVERAGE(OFFSET($H$3,0,0,'Données projet'!$E$16+1,1))</f>
        <v>395.57130469647603</v>
      </c>
      <c r="FK116" s="59">
        <f t="shared" si="102"/>
        <v>383.97542781562674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88.687682970815814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88.687682970815814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68.373625603793784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>
        <f>FZ116*VLOOKUP('Données projet'!$B$17,Paramètres!$A$1:$I$89,3,0)*VLOOKUP('Données projet'!$B$17,Paramètres!$A$1:$I$89,5,0)</f>
        <v>0</v>
      </c>
      <c r="GB116" s="13" t="e">
        <f t="shared" si="103"/>
        <v>#NUM!</v>
      </c>
      <c r="GC116" s="20" t="e">
        <f t="shared" si="79"/>
        <v>#NUM!</v>
      </c>
      <c r="GD116" s="59" t="e">
        <f t="shared" si="80"/>
        <v>#NUM!</v>
      </c>
      <c r="GE116" s="59">
        <f ca="1">AVERAGE(OFFSET($GD$3,0,0,'Données projet'!$E$17+1,1))-AVERAGE(OFFSET($H$3,0,0,'Données projet'!$E$17+1,1))</f>
        <v>301.74744407733351</v>
      </c>
      <c r="GF116" s="59">
        <f t="shared" si="104"/>
        <v>292.46787700966991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46.064390586258604</v>
      </c>
      <c r="GM116" s="21">
        <f>EXP(-LN(2)/25)*GM115+(1-EXP(-LN(2)/25))/(LN(2)/25)*Calculateur!GH116*Calculateur!GJ116*VLOOKUP('Données projet'!$B$17,Paramètres!$A$1:$I$89,3,0)*0.475*44/12</f>
        <v>0</v>
      </c>
      <c r="GN116" s="21">
        <f>EXP(-LN(2)/2)*GN115+(1-EXP(-LN(2)/2))/(LN(2)/2)*GH116*GK116*VLOOKUP('Données projet'!$B$17,Paramètres!$A$1:$I$89,3,0)*0.475*44/12</f>
        <v>0</v>
      </c>
      <c r="GO116" s="21">
        <f t="shared" si="81"/>
        <v>46.064390586258604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68.373625603793784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-2.8421709430404007E-13</v>
      </c>
      <c r="GV116" s="17">
        <f>GU116*VLOOKUP('Données projet'!$B$18,Paramètres!$A$1:$I$89,3,0)*VLOOKUP('Données projet'!$B$18,Paramètres!$A$1:$I$89,5,0)</f>
        <v>-1.6848389350343495E-13</v>
      </c>
      <c r="GW116" s="13" t="e">
        <f t="shared" si="105"/>
        <v>#NUM!</v>
      </c>
      <c r="GX116" s="20" t="e">
        <f t="shared" si="82"/>
        <v>#NUM!</v>
      </c>
      <c r="GY116" s="59" t="e">
        <f t="shared" si="83"/>
        <v>#NUM!</v>
      </c>
      <c r="GZ116" s="59">
        <f ca="1">AVERAGE(OFFSET($GY$3,0,0,'Données projet'!$E$18+1,1))-AVERAGE(OFFSET($H$3,0,0,'Données projet'!$E$18+1,1))</f>
        <v>322.78672881269978</v>
      </c>
      <c r="HA116" s="59">
        <f t="shared" si="106"/>
        <v>313.08736327626434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73.907758916963459</v>
      </c>
      <c r="HH116" s="21">
        <f>EXP(-LN(2)/25)*HH115+(1-EXP(-LN(2)/25))/(LN(2)/25)*Calculateur!HC116*Calculateur!HE116*VLOOKUP('Données projet'!$B$18,Paramètres!$A$1:$I$89,3,0)*0.475*44/12</f>
        <v>0</v>
      </c>
      <c r="HI116" s="21">
        <f>EXP(-LN(2)/2)*HI115+(1-EXP(-LN(2)/2))/(LN(2)/2)*HC116*HF116*VLOOKUP('Données projet'!$B$18,Paramètres!$A$1:$I$89,3,0)*0.475*44/12</f>
        <v>0</v>
      </c>
      <c r="HJ116" s="22">
        <f t="shared" si="84"/>
        <v>73.907758916963459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2.3499999999999996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8.6166666666666654</v>
      </c>
      <c r="H117" s="67">
        <f t="shared" si="56"/>
        <v>222.20000000000002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68.401839563539525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4.5</v>
      </c>
      <c r="N117" s="13">
        <f>IF('Données projet'!$A$36&gt;35,N116+M117-V116,IF(A117&lt;'Données projet'!$A$36,$K$205^A117,IF(A117='Données projet'!$A$36,'Données projet'!$B$36,N116+M117-V116)))</f>
        <v>325.00000000000006</v>
      </c>
      <c r="O117" s="13">
        <f>N117*VLOOKUP('Données projet'!$B$9,Paramètres!$A$1:$I$89,3,0)*VLOOKUP('Données projet'!$B$9,Paramètres!$A$1:$I$89,5,0)</f>
        <v>294.06000000000006</v>
      </c>
      <c r="P117" s="13">
        <f t="shared" si="87"/>
        <v>69.929765653573369</v>
      </c>
      <c r="Q117" s="20">
        <f t="shared" si="107"/>
        <v>633.94884184664033</v>
      </c>
      <c r="R117" s="59">
        <f t="shared" si="55"/>
        <v>921.42225357961865</v>
      </c>
      <c r="S117" s="59">
        <f ca="1">AVERAGE(OFFSET($R$3,0,0,'Données projet'!$E$9+1,1))-AVERAGE(OFFSET($H$3,0,0,'Données projet'!$E$9+1,1))</f>
        <v>473.88815717313474</v>
      </c>
      <c r="T117" s="59">
        <f t="shared" si="88"/>
        <v>287.19790203552895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57.070977062734869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57.070977062734869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68.401839563539525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4.5</v>
      </c>
      <c r="AI117" s="13">
        <f>IF('Données projet'!$A$62&gt;35,AI116+AH117-AQ116,IF(A117&lt;'Données projet'!$A$62,$AF$205^A117,IF(A117='Données projet'!$A$62,'Données projet'!$B$62,AI116+AH117-AQ116)))</f>
        <v>325.00000000000006</v>
      </c>
      <c r="AJ117" s="13">
        <f>AI117*VLOOKUP('Données projet'!$B$10,Paramètres!$A$1:$I$89,3,0)*VLOOKUP('Données projet'!$B$10,Paramètres!$A$1:$I$89,5,0)</f>
        <v>273.78000000000003</v>
      </c>
      <c r="AK117" s="13">
        <f t="shared" si="89"/>
        <v>65.650830427167435</v>
      </c>
      <c r="AL117" s="20">
        <f t="shared" si="58"/>
        <v>591.17536299398319</v>
      </c>
      <c r="AM117" s="59">
        <f t="shared" si="59"/>
        <v>878.64877472696139</v>
      </c>
      <c r="AN117" s="59">
        <f ca="1">AVERAGE(OFFSET($AM$3,0,0,'Données projet'!$E$10+1,1))-AVERAGE(OFFSET($H$3,0,0,'Données projet'!$E$10+1,1))</f>
        <v>445.19118535527258</v>
      </c>
      <c r="AO117" s="59">
        <f t="shared" si="90"/>
        <v>270.93483242839363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53.135047610132482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53.135047610132482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68.401839563539525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4.5</v>
      </c>
      <c r="BD117" s="12">
        <f>IF('Données projet'!$A$88&gt;35,BD116+BC117-BL116,IF(A117&lt;'Données projet'!$A$88,$BA$205^A117,IF(A117='Données projet'!$A$88,'Données projet'!$B$88,BD116+BC117-BL116)))</f>
        <v>325.00000000000006</v>
      </c>
      <c r="BE117" s="13">
        <f>BD117*VLOOKUP('Données projet'!$B$11,Paramètres!$A$1:$I$89,3,0)*VLOOKUP('Données projet'!$B$11,Paramètres!$A$1:$I$89,5,0)</f>
        <v>329.55000000000013</v>
      </c>
      <c r="BF117" s="13">
        <f t="shared" si="91"/>
        <v>77.337003282690645</v>
      </c>
      <c r="BG117" s="20">
        <f t="shared" si="61"/>
        <v>708.661530717353</v>
      </c>
      <c r="BH117" s="59">
        <f t="shared" si="62"/>
        <v>996.13494245033121</v>
      </c>
      <c r="BI117" s="59">
        <f ca="1">AVERAGE(OFFSET($BH$3,0,0,'Données projet'!$E$11+1,1))-AVERAGE(OFFSET($H$3,0,0,'Données projet'!$E$11+1,1))</f>
        <v>524.01140973345832</v>
      </c>
      <c r="BJ117" s="59">
        <f t="shared" si="92"/>
        <v>315.59942237999621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63.958853604789077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63.958853604789077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68.401839563539525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-2.8421709430404007E-13</v>
      </c>
      <c r="BZ117" s="13">
        <f>BY117*VLOOKUP('Données projet'!$B$12,Paramètres!$A$1:$I$89,3,0)*VLOOKUP('Données projet'!$B$12,Paramètres!$A$1:$I$89,5,0)</f>
        <v>-1.9065282685915009E-13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358.95222991910504</v>
      </c>
      <c r="CE117" s="59">
        <f t="shared" si="94"/>
        <v>347.37506646970905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72.426692811934416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72.426692811934416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68.401839563539525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-2.8421709430404007E-13</v>
      </c>
      <c r="CU117" s="17">
        <f>CT117*VLOOKUP('Données projet'!$B$13,Paramètres!$A$1:$I$89,3,0)*VLOOKUP('Données projet'!$B$13,Paramètres!$A$1:$I$89,5,0)</f>
        <v>-1.8621904018800707E-13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351.7266381615546</v>
      </c>
      <c r="CZ117" s="59">
        <f t="shared" si="96"/>
        <v>340.52483243761799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61.242097542958881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61.242097542958881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68.401839563539525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7</v>
      </c>
      <c r="DO117" s="12">
        <f>IF('Données projet'!$A$166&gt;35,DO116+DN117-DW116,IF(A117&lt;'Données projet'!$A$166,$DL$205^A117,IF(A117='Données projet'!$A$166,'Données projet'!$B$166,DO116+DN117-DW116)))</f>
        <v>494.00000000000011</v>
      </c>
      <c r="DP117" s="17">
        <f>DO117*VLOOKUP('Données projet'!$B$14,Paramètres!$A$1:$I$89,3,0)*VLOOKUP('Données projet'!$B$14,Paramètres!$A$1:$I$89,5,0)</f>
        <v>423.85200000000015</v>
      </c>
      <c r="DQ117" s="13">
        <f t="shared" si="97"/>
        <v>96.595871362472664</v>
      </c>
      <c r="DR117" s="20">
        <f t="shared" si="70"/>
        <v>906.44670928964013</v>
      </c>
      <c r="DS117" s="59">
        <f t="shared" si="71"/>
        <v>1193.9201210226183</v>
      </c>
      <c r="DT117" s="59">
        <f ca="1">AVERAGE(OFFSET($DS$3,0,0,'Données projet'!$E$14+1,1))-AVERAGE(OFFSET($H$3,0,0,'Données projet'!$E$14+1,1))</f>
        <v>569.21675741362196</v>
      </c>
      <c r="DU117" s="59">
        <f t="shared" si="98"/>
        <v>321.12410801891679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61.396282395212395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61.396282395212395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68.401839563539525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-2.8421709430404007E-13</v>
      </c>
      <c r="EK117" s="17">
        <f>EJ117*VLOOKUP('Données projet'!$B$15,Paramètres!$A$1:$I$89,3,0)*VLOOKUP('Données projet'!$B$15,Paramètres!$A$1:$I$89,5,0)</f>
        <v>-2.2612312022829427E-13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416.63597645452791</v>
      </c>
      <c r="EP117" s="59">
        <f t="shared" si="100"/>
        <v>402.05920382353497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91.659684196355315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91.659684196355315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68.401839563539525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>
        <f>FE117*VLOOKUP('Données projet'!$B$16,Paramètres!$A$1:$I$89,3,0)*VLOOKUP('Données projet'!$B$16,Paramètres!$A$1:$I$89,5,0)</f>
        <v>0</v>
      </c>
      <c r="FG117" s="13" t="e">
        <f t="shared" si="101"/>
        <v>#NUM!</v>
      </c>
      <c r="FH117" s="20" t="e">
        <f t="shared" si="76"/>
        <v>#NUM!</v>
      </c>
      <c r="FI117" s="59" t="e">
        <f t="shared" si="77"/>
        <v>#NUM!</v>
      </c>
      <c r="FJ117" s="59">
        <f ca="1">AVERAGE(OFFSET($FI$3,0,0,'Données projet'!$E$16+1,1))-AVERAGE(OFFSET($H$3,0,0,'Données projet'!$E$16+1,1))</f>
        <v>395.57130469647603</v>
      </c>
      <c r="FK117" s="59">
        <f t="shared" si="102"/>
        <v>383.97542781562674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86.948571601903382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86.948571601903382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68.401839563539525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>
        <f>FZ117*VLOOKUP('Données projet'!$B$17,Paramètres!$A$1:$I$89,3,0)*VLOOKUP('Données projet'!$B$17,Paramètres!$A$1:$I$89,5,0)</f>
        <v>0</v>
      </c>
      <c r="GB117" s="13" t="e">
        <f t="shared" si="103"/>
        <v>#NUM!</v>
      </c>
      <c r="GC117" s="20" t="e">
        <f t="shared" si="79"/>
        <v>#NUM!</v>
      </c>
      <c r="GD117" s="59" t="e">
        <f t="shared" si="80"/>
        <v>#NUM!</v>
      </c>
      <c r="GE117" s="59">
        <f ca="1">AVERAGE(OFFSET($GD$3,0,0,'Données projet'!$E$17+1,1))-AVERAGE(OFFSET($H$3,0,0,'Données projet'!$E$17+1,1))</f>
        <v>301.74744407733351</v>
      </c>
      <c r="GF117" s="59">
        <f t="shared" si="104"/>
        <v>292.46787700966991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45.161095983366032</v>
      </c>
      <c r="GM117" s="21">
        <f>EXP(-LN(2)/25)*GM116+(1-EXP(-LN(2)/25))/(LN(2)/25)*Calculateur!GH117*Calculateur!GJ117*VLOOKUP('Données projet'!$B$17,Paramètres!$A$1:$I$89,3,0)*0.475*44/12</f>
        <v>0</v>
      </c>
      <c r="GN117" s="21">
        <f>EXP(-LN(2)/2)*GN116+(1-EXP(-LN(2)/2))/(LN(2)/2)*GH117*GK117*VLOOKUP('Données projet'!$B$17,Paramètres!$A$1:$I$89,3,0)*0.475*44/12</f>
        <v>0</v>
      </c>
      <c r="GO117" s="21">
        <f t="shared" si="81"/>
        <v>45.161095983366032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68.401839563539525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-2.8421709430404007E-13</v>
      </c>
      <c r="GV117" s="17">
        <f>GU117*VLOOKUP('Données projet'!$B$18,Paramètres!$A$1:$I$89,3,0)*VLOOKUP('Données projet'!$B$18,Paramètres!$A$1:$I$89,5,0)</f>
        <v>-1.6848389350343495E-13</v>
      </c>
      <c r="GW117" s="13" t="e">
        <f t="shared" si="105"/>
        <v>#NUM!</v>
      </c>
      <c r="GX117" s="20" t="e">
        <f t="shared" si="82"/>
        <v>#NUM!</v>
      </c>
      <c r="GY117" s="59" t="e">
        <f t="shared" si="83"/>
        <v>#NUM!</v>
      </c>
      <c r="GZ117" s="59">
        <f ca="1">AVERAGE(OFFSET($GY$3,0,0,'Données projet'!$E$18+1,1))-AVERAGE(OFFSET($H$3,0,0,'Données projet'!$E$18+1,1))</f>
        <v>322.78672881269978</v>
      </c>
      <c r="HA117" s="59">
        <f t="shared" si="106"/>
        <v>313.08736327626434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72.458472843883541</v>
      </c>
      <c r="HH117" s="21">
        <f>EXP(-LN(2)/25)*HH116+(1-EXP(-LN(2)/25))/(LN(2)/25)*Calculateur!HC117*Calculateur!HE117*VLOOKUP('Données projet'!$B$18,Paramètres!$A$1:$I$89,3,0)*0.475*44/12</f>
        <v>0</v>
      </c>
      <c r="HI117" s="21">
        <f>EXP(-LN(2)/2)*HI116+(1-EXP(-LN(2)/2))/(LN(2)/2)*HC117*HF117*VLOOKUP('Données projet'!$B$18,Paramètres!$A$1:$I$89,3,0)*0.475*44/12</f>
        <v>0</v>
      </c>
      <c r="HJ117" s="22">
        <f t="shared" si="84"/>
        <v>72.458472843883541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2.3499999999999996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8.6166666666666654</v>
      </c>
      <c r="H118" s="67">
        <f t="shared" si="56"/>
        <v>222.20000000000002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68.429564074160652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4.5</v>
      </c>
      <c r="N118" s="13">
        <f>IF('Données projet'!$A$36&gt;35,N117+M118-V117,IF(A118&lt;'Données projet'!$A$36,$K$205^A118,IF(A118='Données projet'!$A$36,'Données projet'!$B$36,N117+M118-V117)))</f>
        <v>329.50000000000006</v>
      </c>
      <c r="O118" s="13">
        <f>N118*VLOOKUP('Données projet'!$B$9,Paramètres!$A$1:$I$89,3,0)*VLOOKUP('Données projet'!$B$9,Paramètres!$A$1:$I$89,5,0)</f>
        <v>298.13160000000005</v>
      </c>
      <c r="P118" s="13">
        <f t="shared" si="87"/>
        <v>70.784632764376099</v>
      </c>
      <c r="Q118" s="20">
        <f t="shared" si="107"/>
        <v>642.52910539795516</v>
      </c>
      <c r="R118" s="59">
        <f t="shared" si="55"/>
        <v>930.10417366987758</v>
      </c>
      <c r="S118" s="59">
        <f ca="1">AVERAGE(OFFSET($R$3,0,0,'Données projet'!$E$9+1,1))-AVERAGE(OFFSET($H$3,0,0,'Données projet'!$E$9+1,1))</f>
        <v>473.88815717313474</v>
      </c>
      <c r="T118" s="59">
        <f t="shared" si="88"/>
        <v>287.19790203552895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55.951850012393457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55.951850012393457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68.429564074160652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4.5</v>
      </c>
      <c r="AI118" s="13">
        <f>IF('Données projet'!$A$62&gt;35,AI117+AH118-AQ117,IF(A118&lt;'Données projet'!$A$62,$AF$205^A118,IF(A118='Données projet'!$A$62,'Données projet'!$B$62,AI117+AH118-AQ117)))</f>
        <v>329.50000000000006</v>
      </c>
      <c r="AJ118" s="13">
        <f>AI118*VLOOKUP('Données projet'!$B$10,Paramètres!$A$1:$I$89,3,0)*VLOOKUP('Données projet'!$B$10,Paramètres!$A$1:$I$89,5,0)</f>
        <v>277.57080000000008</v>
      </c>
      <c r="AK118" s="13">
        <f t="shared" si="89"/>
        <v>66.453389040149204</v>
      </c>
      <c r="AL118" s="20">
        <f t="shared" si="58"/>
        <v>599.17546257825995</v>
      </c>
      <c r="AM118" s="59">
        <f t="shared" si="59"/>
        <v>886.75053085018226</v>
      </c>
      <c r="AN118" s="59">
        <f ca="1">AVERAGE(OFFSET($AM$3,0,0,'Données projet'!$E$10+1,1))-AVERAGE(OFFSET($H$3,0,0,'Données projet'!$E$10+1,1))</f>
        <v>445.19118535527258</v>
      </c>
      <c r="AO118" s="59">
        <f t="shared" si="90"/>
        <v>270.93483242839363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52.093101735676683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52.093101735676683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68.429564074160652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4.5</v>
      </c>
      <c r="BD118" s="12">
        <f>IF('Données projet'!$A$88&gt;35,BD117+BC118-BL117,IF(A118&lt;'Données projet'!$A$88,$BA$205^A118,IF(A118='Données projet'!$A$88,'Données projet'!$B$88,BD117+BC118-BL117)))</f>
        <v>329.50000000000006</v>
      </c>
      <c r="BE118" s="13">
        <f>BD118*VLOOKUP('Données projet'!$B$11,Paramètres!$A$1:$I$89,3,0)*VLOOKUP('Données projet'!$B$11,Paramètres!$A$1:$I$89,5,0)</f>
        <v>334.11300000000006</v>
      </c>
      <c r="BF118" s="13">
        <f t="shared" si="91"/>
        <v>78.28242130227801</v>
      </c>
      <c r="BG118" s="20">
        <f t="shared" si="61"/>
        <v>718.25535876813422</v>
      </c>
      <c r="BH118" s="59">
        <f t="shared" si="62"/>
        <v>1005.8304270400565</v>
      </c>
      <c r="BI118" s="59">
        <f ca="1">AVERAGE(OFFSET($BH$3,0,0,'Données projet'!$E$11+1,1))-AVERAGE(OFFSET($H$3,0,0,'Données projet'!$E$11+1,1))</f>
        <v>524.01140973345832</v>
      </c>
      <c r="BJ118" s="59">
        <f t="shared" si="92"/>
        <v>315.59942237999621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62.704659496647842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62.704659496647842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68.429564074160652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-2.8421709430404007E-13</v>
      </c>
      <c r="BZ118" s="13">
        <f>BY118*VLOOKUP('Données projet'!$B$12,Paramètres!$A$1:$I$89,3,0)*VLOOKUP('Données projet'!$B$12,Paramètres!$A$1:$I$89,5,0)</f>
        <v>-1.9065282685915009E-13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358.95222991910504</v>
      </c>
      <c r="CE118" s="59">
        <f t="shared" si="94"/>
        <v>347.37506646970905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71.006449541812984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71.006449541812984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68.429564074160652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-2.8421709430404007E-13</v>
      </c>
      <c r="CU118" s="17">
        <f>CT118*VLOOKUP('Données projet'!$B$13,Paramètres!$A$1:$I$89,3,0)*VLOOKUP('Données projet'!$B$13,Paramètres!$A$1:$I$89,5,0)</f>
        <v>-1.8621904018800707E-13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351.7266381615546</v>
      </c>
      <c r="CZ118" s="59">
        <f t="shared" si="96"/>
        <v>340.52483243761799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60.041177364132558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60.041177364132558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68.429564074160652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>
        <f>VLOOKUP(A118,'Données projet'!$A$165:$I$185,2,0)</f>
        <v>501</v>
      </c>
      <c r="DM118" s="12">
        <f>VLOOKUP(A118,'Données projet'!$A$165:$I$185,9,0)</f>
        <v>7</v>
      </c>
      <c r="DN118" s="12">
        <f t="array" ref="DN118">INDEX(DM:DM,MIN(IF(ISNUMBER(DM118:DM314),ROW(DM118:DM314),"")))</f>
        <v>7</v>
      </c>
      <c r="DO118" s="12">
        <f>IF('Données projet'!$A$166&gt;35,DO117+DN118-DW117,IF(A118&lt;'Données projet'!$A$166,$DL$205^A118,IF(A118='Données projet'!$A$166,'Données projet'!$B$166,DO117+DN118-DW117)))</f>
        <v>501.00000000000011</v>
      </c>
      <c r="DP118" s="17">
        <f>DO118*VLOOKUP('Données projet'!$B$14,Paramètres!$A$1:$I$89,3,0)*VLOOKUP('Données projet'!$B$14,Paramètres!$A$1:$I$89,5,0)</f>
        <v>429.85800000000012</v>
      </c>
      <c r="DQ118" s="13">
        <f t="shared" si="97"/>
        <v>97.804322041485804</v>
      </c>
      <c r="DR118" s="20">
        <f t="shared" si="70"/>
        <v>919.01187755558794</v>
      </c>
      <c r="DS118" s="59">
        <f t="shared" si="71"/>
        <v>1206.5869458275104</v>
      </c>
      <c r="DT118" s="59">
        <f ca="1">AVERAGE(OFFSET($DS$3,0,0,'Données projet'!$E$14+1,1))-AVERAGE(OFFSET($H$3,0,0,'Données projet'!$E$14+1,1))</f>
        <v>569.21675741362196</v>
      </c>
      <c r="DU118" s="59">
        <f t="shared" si="98"/>
        <v>321.12410801891679</v>
      </c>
      <c r="DV118" s="15">
        <f>IF(ISNA(VLOOKUP(A118,'Données projet'!$A$165:$I$185,3,0)),0,VLOOKUP(A118,'Données projet'!$A$165:$I$185,3,0))</f>
        <v>20</v>
      </c>
      <c r="DW118" s="15">
        <f>IF(ISNA(VLOOKUP(A118,'Données projet'!$A$165:$I$185,4,0)),0,VLOOKUP(A118,'Données projet'!$A$165:$I$185,4,0))</f>
        <v>26</v>
      </c>
      <c r="DX118" s="16">
        <f>IF(ISNA(VLOOKUP(A118,'Données projet'!$A$165:$I$185,5,0)),0%,VLOOKUP(A118,'Données projet'!$A$165:$I$185,5,0)*VLOOKUP('Données projet'!$B$14,Paramètres!$A$1:$I$89,7,0))</f>
        <v>0.42400000000000004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70.64853203356418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70.64853203356418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68.429564074160652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-2.8421709430404007E-13</v>
      </c>
      <c r="EK118" s="17">
        <f>EJ118*VLOOKUP('Données projet'!$B$15,Paramètres!$A$1:$I$89,3,0)*VLOOKUP('Données projet'!$B$15,Paramètres!$A$1:$I$89,5,0)</f>
        <v>-2.2612312022829427E-13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416.63597645452791</v>
      </c>
      <c r="EP118" s="59">
        <f t="shared" si="100"/>
        <v>402.05920382353497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89.862293696151795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89.862293696151795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68.429564074160652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>
        <f>FE118*VLOOKUP('Données projet'!$B$16,Paramètres!$A$1:$I$89,3,0)*VLOOKUP('Données projet'!$B$16,Paramètres!$A$1:$I$89,5,0)</f>
        <v>0</v>
      </c>
      <c r="FG118" s="13" t="e">
        <f t="shared" si="101"/>
        <v>#NUM!</v>
      </c>
      <c r="FH118" s="20" t="e">
        <f t="shared" si="76"/>
        <v>#NUM!</v>
      </c>
      <c r="FI118" s="59" t="e">
        <f t="shared" si="77"/>
        <v>#NUM!</v>
      </c>
      <c r="FJ118" s="59">
        <f ca="1">AVERAGE(OFFSET($FI$3,0,0,'Données projet'!$E$16+1,1))-AVERAGE(OFFSET($H$3,0,0,'Données projet'!$E$16+1,1))</f>
        <v>395.57130469647603</v>
      </c>
      <c r="FK118" s="59">
        <f t="shared" si="102"/>
        <v>383.97542781562674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85.243563146182126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85.243563146182126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68.429564074160652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>
        <f>FZ118*VLOOKUP('Données projet'!$B$17,Paramètres!$A$1:$I$89,3,0)*VLOOKUP('Données projet'!$B$17,Paramètres!$A$1:$I$89,5,0)</f>
        <v>0</v>
      </c>
      <c r="GB118" s="13" t="e">
        <f t="shared" si="103"/>
        <v>#NUM!</v>
      </c>
      <c r="GC118" s="20" t="e">
        <f t="shared" si="79"/>
        <v>#NUM!</v>
      </c>
      <c r="GD118" s="59" t="e">
        <f t="shared" si="80"/>
        <v>#NUM!</v>
      </c>
      <c r="GE118" s="59">
        <f ca="1">AVERAGE(OFFSET($GD$3,0,0,'Données projet'!$E$17+1,1))-AVERAGE(OFFSET($H$3,0,0,'Données projet'!$E$17+1,1))</f>
        <v>301.74744407733351</v>
      </c>
      <c r="GF118" s="59">
        <f t="shared" si="104"/>
        <v>292.46787700966991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44.275514436680879</v>
      </c>
      <c r="GM118" s="21">
        <f>EXP(-LN(2)/25)*GM117+(1-EXP(-LN(2)/25))/(LN(2)/25)*Calculateur!GH118*Calculateur!GJ118*VLOOKUP('Données projet'!$B$17,Paramètres!$A$1:$I$89,3,0)*0.475*44/12</f>
        <v>0</v>
      </c>
      <c r="GN118" s="21">
        <f>EXP(-LN(2)/2)*GN117+(1-EXP(-LN(2)/2))/(LN(2)/2)*GH118*GK118*VLOOKUP('Données projet'!$B$17,Paramètres!$A$1:$I$89,3,0)*0.475*44/12</f>
        <v>0</v>
      </c>
      <c r="GO118" s="21">
        <f t="shared" si="81"/>
        <v>44.275514436680879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68.429564074160652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-2.8421709430404007E-13</v>
      </c>
      <c r="GV118" s="17">
        <f>GU118*VLOOKUP('Données projet'!$B$18,Paramètres!$A$1:$I$89,3,0)*VLOOKUP('Données projet'!$B$18,Paramètres!$A$1:$I$89,5,0)</f>
        <v>-1.6848389350343495E-13</v>
      </c>
      <c r="GW118" s="13" t="e">
        <f t="shared" si="105"/>
        <v>#NUM!</v>
      </c>
      <c r="GX118" s="20" t="e">
        <f t="shared" si="82"/>
        <v>#NUM!</v>
      </c>
      <c r="GY118" s="59" t="e">
        <f t="shared" si="83"/>
        <v>#NUM!</v>
      </c>
      <c r="GZ118" s="59">
        <f ca="1">AVERAGE(OFFSET($GY$3,0,0,'Données projet'!$E$18+1,1))-AVERAGE(OFFSET($H$3,0,0,'Données projet'!$E$18+1,1))</f>
        <v>322.78672881269978</v>
      </c>
      <c r="HA118" s="59">
        <f t="shared" si="106"/>
        <v>313.08736327626434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71.037606386719503</v>
      </c>
      <c r="HH118" s="21">
        <f>EXP(-LN(2)/25)*HH117+(1-EXP(-LN(2)/25))/(LN(2)/25)*Calculateur!HC118*Calculateur!HE118*VLOOKUP('Données projet'!$B$18,Paramètres!$A$1:$I$89,3,0)*0.475*44/12</f>
        <v>0</v>
      </c>
      <c r="HI118" s="21">
        <f>EXP(-LN(2)/2)*HI117+(1-EXP(-LN(2)/2))/(LN(2)/2)*HC118*HF118*VLOOKUP('Données projet'!$B$18,Paramètres!$A$1:$I$89,3,0)*0.475*44/12</f>
        <v>0</v>
      </c>
      <c r="HJ118" s="22">
        <f t="shared" si="84"/>
        <v>71.037606386719503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2.3499999999999996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8.6166666666666654</v>
      </c>
      <c r="H119" s="67">
        <f t="shared" si="56"/>
        <v>222.20000000000002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68.45680762650521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4.5</v>
      </c>
      <c r="N119" s="13">
        <f>IF('Données projet'!$A$36&gt;35,N118+M119-V118,IF(A119&lt;'Données projet'!$A$36,$K$205^A119,IF(A119='Données projet'!$A$36,'Données projet'!$B$36,N118+M119-V118)))</f>
        <v>334.00000000000006</v>
      </c>
      <c r="O119" s="13">
        <f>N119*VLOOKUP('Données projet'!$B$9,Paramètres!$A$1:$I$89,3,0)*VLOOKUP('Données projet'!$B$9,Paramètres!$A$1:$I$89,5,0)</f>
        <v>302.20320000000004</v>
      </c>
      <c r="P119" s="13">
        <f t="shared" si="87"/>
        <v>71.638141943842299</v>
      </c>
      <c r="Q119" s="20">
        <f t="shared" si="107"/>
        <v>651.10700388552539</v>
      </c>
      <c r="R119" s="59">
        <f t="shared" si="55"/>
        <v>938.78196518271125</v>
      </c>
      <c r="S119" s="59">
        <f ca="1">AVERAGE(OFFSET($R$3,0,0,'Données projet'!$E$9+1,1))-AVERAGE(OFFSET($H$3,0,0,'Données projet'!$E$9+1,1))</f>
        <v>473.88815717313474</v>
      </c>
      <c r="T119" s="59">
        <f t="shared" si="88"/>
        <v>287.19790203552895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54.854668360909145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54.854668360909145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68.45680762650521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4.5</v>
      </c>
      <c r="AI119" s="13">
        <f>IF('Données projet'!$A$62&gt;35,AI118+AH119-AQ118,IF(A119&lt;'Données projet'!$A$62,$AF$205^A119,IF(A119='Données projet'!$A$62,'Données projet'!$B$62,AI118+AH119-AQ118)))</f>
        <v>334.00000000000006</v>
      </c>
      <c r="AJ119" s="13">
        <f>AI119*VLOOKUP('Données projet'!$B$10,Paramètres!$A$1:$I$89,3,0)*VLOOKUP('Données projet'!$B$10,Paramètres!$A$1:$I$89,5,0)</f>
        <v>281.36160000000007</v>
      </c>
      <c r="AK119" s="13">
        <f t="shared" si="89"/>
        <v>67.254672812309366</v>
      </c>
      <c r="AL119" s="20">
        <f t="shared" si="58"/>
        <v>607.17334181477224</v>
      </c>
      <c r="AM119" s="59">
        <f t="shared" si="59"/>
        <v>894.8483031119581</v>
      </c>
      <c r="AN119" s="59">
        <f ca="1">AVERAGE(OFFSET($AM$3,0,0,'Données projet'!$E$10+1,1))-AVERAGE(OFFSET($H$3,0,0,'Données projet'!$E$10+1,1))</f>
        <v>445.19118535527258</v>
      </c>
      <c r="AO119" s="59">
        <f t="shared" si="90"/>
        <v>270.93483242839363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51.071587784294735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51.071587784294735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68.45680762650521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4.5</v>
      </c>
      <c r="BD119" s="12">
        <f>IF('Données projet'!$A$88&gt;35,BD118+BC119-BL118,IF(A119&lt;'Données projet'!$A$88,$BA$205^A119,IF(A119='Données projet'!$A$88,'Données projet'!$B$88,BD118+BC119-BL118)))</f>
        <v>334.00000000000006</v>
      </c>
      <c r="BE119" s="13">
        <f>BD119*VLOOKUP('Données projet'!$B$11,Paramètres!$A$1:$I$89,3,0)*VLOOKUP('Données projet'!$B$11,Paramètres!$A$1:$I$89,5,0)</f>
        <v>338.6760000000001</v>
      </c>
      <c r="BF119" s="13">
        <f t="shared" si="91"/>
        <v>79.226337553065719</v>
      </c>
      <c r="BG119" s="20">
        <f t="shared" si="61"/>
        <v>727.84657123825627</v>
      </c>
      <c r="BH119" s="59">
        <f t="shared" si="62"/>
        <v>1015.521532535442</v>
      </c>
      <c r="BI119" s="59">
        <f ca="1">AVERAGE(OFFSET($BH$3,0,0,'Données projet'!$E$11+1,1))-AVERAGE(OFFSET($H$3,0,0,'Données projet'!$E$11+1,1))</f>
        <v>524.01140973345832</v>
      </c>
      <c r="BJ119" s="59">
        <f t="shared" si="92"/>
        <v>315.59942237999621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61.475059369984386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61.475059369984386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68.45680762650521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-2.8421709430404007E-13</v>
      </c>
      <c r="BZ119" s="13">
        <f>BY119*VLOOKUP('Données projet'!$B$12,Paramètres!$A$1:$I$89,3,0)*VLOOKUP('Données projet'!$B$12,Paramètres!$A$1:$I$89,5,0)</f>
        <v>-1.9065282685915009E-13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358.95222991910504</v>
      </c>
      <c r="CE119" s="59">
        <f t="shared" si="94"/>
        <v>347.37506646970905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69.614056375955784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69.614056375955784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68.45680762650521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-2.8421709430404007E-13</v>
      </c>
      <c r="CU119" s="17">
        <f>CT119*VLOOKUP('Données projet'!$B$13,Paramètres!$A$1:$I$89,3,0)*VLOOKUP('Données projet'!$B$13,Paramètres!$A$1:$I$89,5,0)</f>
        <v>-1.8621904018800707E-13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351.7266381615546</v>
      </c>
      <c r="CZ119" s="59">
        <f t="shared" si="96"/>
        <v>340.52483243761799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58.863806497524038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58.863806497524038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68.45680762650521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6.6</v>
      </c>
      <c r="DO119" s="12">
        <f>IF('Données projet'!$A$166&gt;35,DO118+DN119-DW118,IF(A119&lt;'Données projet'!$A$166,$DL$205^A119,IF(A119='Données projet'!$A$166,'Données projet'!$B$166,DO118+DN119-DW118)))</f>
        <v>481.60000000000014</v>
      </c>
      <c r="DP119" s="17">
        <f>DO119*VLOOKUP('Données projet'!$B$14,Paramètres!$A$1:$I$89,3,0)*VLOOKUP('Données projet'!$B$14,Paramètres!$A$1:$I$89,5,0)</f>
        <v>413.21280000000019</v>
      </c>
      <c r="DQ119" s="13">
        <f t="shared" si="97"/>
        <v>94.450270182646079</v>
      </c>
      <c r="DR119" s="20">
        <f t="shared" si="70"/>
        <v>884.17984723477548</v>
      </c>
      <c r="DS119" s="59">
        <f t="shared" si="71"/>
        <v>1171.8548085319612</v>
      </c>
      <c r="DT119" s="59">
        <f ca="1">AVERAGE(OFFSET($DS$3,0,0,'Données projet'!$E$14+1,1))-AVERAGE(OFFSET($H$3,0,0,'Données projet'!$E$14+1,1))</f>
        <v>569.21675741362196</v>
      </c>
      <c r="DU119" s="59">
        <f t="shared" si="98"/>
        <v>321.12410801891679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69.263157411735605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69.263157411735605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68.45680762650521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-2.8421709430404007E-13</v>
      </c>
      <c r="EK119" s="17">
        <f>EJ119*VLOOKUP('Données projet'!$B$15,Paramètres!$A$1:$I$89,3,0)*VLOOKUP('Données projet'!$B$15,Paramètres!$A$1:$I$89,5,0)</f>
        <v>-2.2612312022829427E-13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416.63597645452791</v>
      </c>
      <c r="EP119" s="59">
        <f t="shared" si="100"/>
        <v>402.05920382353497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88.100148927357324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88.100148927357324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68.45680762650521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>
        <f>FE119*VLOOKUP('Données projet'!$B$16,Paramètres!$A$1:$I$89,3,0)*VLOOKUP('Données projet'!$B$16,Paramètres!$A$1:$I$89,5,0)</f>
        <v>0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395.57130469647603</v>
      </c>
      <c r="FK119" s="59">
        <f t="shared" si="102"/>
        <v>383.97542781562674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83.571988866325086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83.571988866325086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68.45680762650521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>
        <f>FZ119*VLOOKUP('Données projet'!$B$17,Paramètres!$A$1:$I$89,3,0)*VLOOKUP('Données projet'!$B$17,Paramètres!$A$1:$I$89,5,0)</f>
        <v>0</v>
      </c>
      <c r="GB119" s="13" t="e">
        <f t="shared" si="103"/>
        <v>#NUM!</v>
      </c>
      <c r="GC119" s="20" t="e">
        <f t="shared" si="79"/>
        <v>#NUM!</v>
      </c>
      <c r="GD119" s="59" t="e">
        <f t="shared" si="80"/>
        <v>#NUM!</v>
      </c>
      <c r="GE119" s="59">
        <f ca="1">AVERAGE(OFFSET($GD$3,0,0,'Données projet'!$E$17+1,1))-AVERAGE(OFFSET($H$3,0,0,'Données projet'!$E$17+1,1))</f>
        <v>301.74744407733351</v>
      </c>
      <c r="GF119" s="59">
        <f t="shared" si="104"/>
        <v>292.46787700966991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43.407298603974809</v>
      </c>
      <c r="GM119" s="21">
        <f>EXP(-LN(2)/25)*GM118+(1-EXP(-LN(2)/25))/(LN(2)/25)*Calculateur!GH119*Calculateur!GJ119*VLOOKUP('Données projet'!$B$17,Paramètres!$A$1:$I$89,3,0)*0.475*44/12</f>
        <v>0</v>
      </c>
      <c r="GN119" s="21">
        <f>EXP(-LN(2)/2)*GN118+(1-EXP(-LN(2)/2))/(LN(2)/2)*GH119*GK119*VLOOKUP('Données projet'!$B$17,Paramètres!$A$1:$I$89,3,0)*0.475*44/12</f>
        <v>0</v>
      </c>
      <c r="GO119" s="21">
        <f t="shared" si="81"/>
        <v>43.407298603974809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68.45680762650521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-2.8421709430404007E-13</v>
      </c>
      <c r="GV119" s="17">
        <f>GU119*VLOOKUP('Données projet'!$B$18,Paramètres!$A$1:$I$89,3,0)*VLOOKUP('Données projet'!$B$18,Paramètres!$A$1:$I$89,5,0)</f>
        <v>-1.6848389350343495E-13</v>
      </c>
      <c r="GW119" s="13" t="e">
        <f t="shared" si="105"/>
        <v>#NUM!</v>
      </c>
      <c r="GX119" s="20" t="e">
        <f t="shared" si="82"/>
        <v>#NUM!</v>
      </c>
      <c r="GY119" s="59" t="e">
        <f t="shared" si="83"/>
        <v>#NUM!</v>
      </c>
      <c r="GZ119" s="59">
        <f ca="1">AVERAGE(OFFSET($GY$3,0,0,'Données projet'!$E$18+1,1))-AVERAGE(OFFSET($H$3,0,0,'Données projet'!$E$18+1,1))</f>
        <v>322.78672881269978</v>
      </c>
      <c r="HA119" s="59">
        <f t="shared" si="106"/>
        <v>313.08736327626434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69.644602254137482</v>
      </c>
      <c r="HH119" s="21">
        <f>EXP(-LN(2)/25)*HH118+(1-EXP(-LN(2)/25))/(LN(2)/25)*Calculateur!HC119*Calculateur!HE119*VLOOKUP('Données projet'!$B$18,Paramètres!$A$1:$I$89,3,0)*0.475*44/12</f>
        <v>0</v>
      </c>
      <c r="HI119" s="21">
        <f>EXP(-LN(2)/2)*HI118+(1-EXP(-LN(2)/2))/(LN(2)/2)*HC119*HF119*VLOOKUP('Données projet'!$B$18,Paramètres!$A$1:$I$89,3,0)*0.475*44/12</f>
        <v>0</v>
      </c>
      <c r="HJ119" s="22">
        <f t="shared" si="84"/>
        <v>69.644602254137482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2.3499999999999996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8.6166666666666654</v>
      </c>
      <c r="H120" s="67">
        <f t="shared" si="56"/>
        <v>222.20000000000002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68.483578564124059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4.5</v>
      </c>
      <c r="N120" s="13">
        <f>IF('Données projet'!$A$36&gt;35,N119+M120-V119,IF(A120&lt;'Données projet'!$A$36,$K$205^A120,IF(A120='Données projet'!$A$36,'Données projet'!$B$36,N119+M120-V119)))</f>
        <v>338.50000000000006</v>
      </c>
      <c r="O120" s="13">
        <f>N120*VLOOKUP('Données projet'!$B$9,Paramètres!$A$1:$I$89,3,0)*VLOOKUP('Données projet'!$B$9,Paramètres!$A$1:$I$89,5,0)</f>
        <v>306.27480000000003</v>
      </c>
      <c r="P120" s="13">
        <f t="shared" si="87"/>
        <v>72.490313602283052</v>
      </c>
      <c r="Q120" s="20">
        <f t="shared" si="107"/>
        <v>659.68257285730954</v>
      </c>
      <c r="R120" s="59">
        <f t="shared" si="55"/>
        <v>947.45569425909775</v>
      </c>
      <c r="S120" s="59">
        <f ca="1">AVERAGE(OFFSET($R$3,0,0,'Données projet'!$E$9+1,1))-AVERAGE(OFFSET($H$3,0,0,'Données projet'!$E$9+1,1))</f>
        <v>473.88815717313474</v>
      </c>
      <c r="T120" s="59">
        <f t="shared" si="88"/>
        <v>287.19790203552895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53.779001772395709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53.779001772395709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68.483578564124059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4.5</v>
      </c>
      <c r="AI120" s="13">
        <f>IF('Données projet'!$A$62&gt;35,AI119+AH120-AQ119,IF(A120&lt;'Données projet'!$A$62,$AF$205^A120,IF(A120='Données projet'!$A$62,'Données projet'!$B$62,AI119+AH120-AQ119)))</f>
        <v>338.50000000000006</v>
      </c>
      <c r="AJ120" s="13">
        <f>AI120*VLOOKUP('Données projet'!$B$10,Paramètres!$A$1:$I$89,3,0)*VLOOKUP('Données projet'!$B$10,Paramètres!$A$1:$I$89,5,0)</f>
        <v>285.15240000000011</v>
      </c>
      <c r="AK120" s="13">
        <f t="shared" si="89"/>
        <v>68.054700905071499</v>
      </c>
      <c r="AL120" s="20">
        <f t="shared" si="58"/>
        <v>615.16903407633311</v>
      </c>
      <c r="AM120" s="59">
        <f t="shared" si="59"/>
        <v>902.94215547812132</v>
      </c>
      <c r="AN120" s="59">
        <f ca="1">AVERAGE(OFFSET($AM$3,0,0,'Données projet'!$E$10+1,1))-AVERAGE(OFFSET($H$3,0,0,'Données projet'!$E$10+1,1))</f>
        <v>445.19118535527258</v>
      </c>
      <c r="AO120" s="59">
        <f t="shared" si="90"/>
        <v>270.93483242839363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50.070105098437395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50.070105098437395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68.483578564124059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4.5</v>
      </c>
      <c r="BD120" s="12">
        <f>IF('Données projet'!$A$88&gt;35,BD119+BC120-BL119,IF(A120&lt;'Données projet'!$A$88,$BA$205^A120,IF(A120='Données projet'!$A$88,'Données projet'!$B$88,BD119+BC120-BL119)))</f>
        <v>338.50000000000006</v>
      </c>
      <c r="BE120" s="13">
        <f>BD120*VLOOKUP('Données projet'!$B$11,Paramètres!$A$1:$I$89,3,0)*VLOOKUP('Données projet'!$B$11,Paramètres!$A$1:$I$89,5,0)</f>
        <v>343.23900000000009</v>
      </c>
      <c r="BF120" s="13">
        <f t="shared" si="91"/>
        <v>80.168774607305807</v>
      </c>
      <c r="BG120" s="20">
        <f t="shared" si="61"/>
        <v>737.43520744105774</v>
      </c>
      <c r="BH120" s="59">
        <f t="shared" si="62"/>
        <v>1025.208328842846</v>
      </c>
      <c r="BI120" s="59">
        <f ca="1">AVERAGE(OFFSET($BH$3,0,0,'Données projet'!$E$11+1,1))-AVERAGE(OFFSET($H$3,0,0,'Données projet'!$E$11+1,1))</f>
        <v>524.01140973345832</v>
      </c>
      <c r="BJ120" s="59">
        <f t="shared" si="92"/>
        <v>315.59942237999621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60.269570951822779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60.269570951822779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68.483578564124059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-2.8421709430404007E-13</v>
      </c>
      <c r="BZ120" s="13">
        <f>BY120*VLOOKUP('Données projet'!$B$12,Paramètres!$A$1:$I$89,3,0)*VLOOKUP('Données projet'!$B$12,Paramètres!$A$1:$I$89,5,0)</f>
        <v>-1.9065282685915009E-13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358.95222991910504</v>
      </c>
      <c r="CE120" s="59">
        <f t="shared" si="94"/>
        <v>347.37506646970905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68.248967190805061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68.248967190805061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68.483578564124059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-2.8421709430404007E-13</v>
      </c>
      <c r="CU120" s="17">
        <f>CT120*VLOOKUP('Données projet'!$B$13,Paramètres!$A$1:$I$89,3,0)*VLOOKUP('Données projet'!$B$13,Paramètres!$A$1:$I$89,5,0)</f>
        <v>-1.8621904018800707E-13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351.7266381615546</v>
      </c>
      <c r="CZ120" s="59">
        <f t="shared" si="96"/>
        <v>340.52483243761799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57.709523155484391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57.709523155484391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68.483578564124059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6.6</v>
      </c>
      <c r="DO120" s="12">
        <f>IF('Données projet'!$A$166&gt;35,DO119+DN120-DW119,IF(A120&lt;'Données projet'!$A$166,$DL$205^A120,IF(A120='Données projet'!$A$166,'Données projet'!$B$166,DO119+DN120-DW119)))</f>
        <v>488.20000000000016</v>
      </c>
      <c r="DP120" s="17">
        <f>DO120*VLOOKUP('Données projet'!$B$14,Paramètres!$A$1:$I$89,3,0)*VLOOKUP('Données projet'!$B$14,Paramètres!$A$1:$I$89,5,0)</f>
        <v>418.87560000000019</v>
      </c>
      <c r="DQ120" s="13">
        <f t="shared" si="97"/>
        <v>95.59307377413711</v>
      </c>
      <c r="DR120" s="20">
        <f t="shared" si="70"/>
        <v>896.03294015662232</v>
      </c>
      <c r="DS120" s="59">
        <f t="shared" si="71"/>
        <v>1183.8060615584104</v>
      </c>
      <c r="DT120" s="59">
        <f ca="1">AVERAGE(OFFSET($DS$3,0,0,'Données projet'!$E$14+1,1))-AVERAGE(OFFSET($H$3,0,0,'Données projet'!$E$14+1,1))</f>
        <v>569.21675741362196</v>
      </c>
      <c r="DU120" s="59">
        <f t="shared" si="98"/>
        <v>321.12410801891679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67.904949141246007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67.904949141246007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68.483578564124059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-2.8421709430404007E-13</v>
      </c>
      <c r="EK120" s="17">
        <f>EJ120*VLOOKUP('Données projet'!$B$15,Paramètres!$A$1:$I$89,3,0)*VLOOKUP('Données projet'!$B$15,Paramètres!$A$1:$I$89,5,0)</f>
        <v>-2.2612312022829427E-13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416.63597645452791</v>
      </c>
      <c r="EP120" s="59">
        <f t="shared" si="100"/>
        <v>402.05920382353497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86.372558742676731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86.372558742676731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68.483578564124059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>
        <f>FE120*VLOOKUP('Données projet'!$B$16,Paramètres!$A$1:$I$89,3,0)*VLOOKUP('Données projet'!$B$16,Paramètres!$A$1:$I$89,5,0)</f>
        <v>0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395.57130469647603</v>
      </c>
      <c r="FK120" s="59">
        <f t="shared" si="102"/>
        <v>383.97542781562674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81.93319313853641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81.93319313853641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68.483578564124059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>
        <f>FZ120*VLOOKUP('Données projet'!$B$17,Paramètres!$A$1:$I$89,3,0)*VLOOKUP('Données projet'!$B$17,Paramètres!$A$1:$I$89,5,0)</f>
        <v>0</v>
      </c>
      <c r="GB120" s="13" t="e">
        <f t="shared" si="103"/>
        <v>#NUM!</v>
      </c>
      <c r="GC120" s="20" t="e">
        <f t="shared" si="79"/>
        <v>#NUM!</v>
      </c>
      <c r="GD120" s="59" t="e">
        <f t="shared" si="80"/>
        <v>#NUM!</v>
      </c>
      <c r="GE120" s="59">
        <f ca="1">AVERAGE(OFFSET($GD$3,0,0,'Données projet'!$E$17+1,1))-AVERAGE(OFFSET($H$3,0,0,'Données projet'!$E$17+1,1))</f>
        <v>301.74744407733351</v>
      </c>
      <c r="GF120" s="59">
        <f t="shared" si="104"/>
        <v>292.46787700966991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42.556107954188739</v>
      </c>
      <c r="GM120" s="21">
        <f>EXP(-LN(2)/25)*GM119+(1-EXP(-LN(2)/25))/(LN(2)/25)*Calculateur!GH120*Calculateur!GJ120*VLOOKUP('Données projet'!$B$17,Paramètres!$A$1:$I$89,3,0)*0.475*44/12</f>
        <v>0</v>
      </c>
      <c r="GN120" s="21">
        <f>EXP(-LN(2)/2)*GN119+(1-EXP(-LN(2)/2))/(LN(2)/2)*GH120*GK120*VLOOKUP('Données projet'!$B$17,Paramètres!$A$1:$I$89,3,0)*0.475*44/12</f>
        <v>0</v>
      </c>
      <c r="GO120" s="21">
        <f t="shared" si="81"/>
        <v>42.556107954188739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68.483578564124059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-2.8421709430404007E-13</v>
      </c>
      <c r="GV120" s="17">
        <f>GU120*VLOOKUP('Données projet'!$B$18,Paramètres!$A$1:$I$89,3,0)*VLOOKUP('Données projet'!$B$18,Paramètres!$A$1:$I$89,5,0)</f>
        <v>-1.6848389350343495E-13</v>
      </c>
      <c r="GW120" s="13" t="e">
        <f t="shared" si="105"/>
        <v>#NUM!</v>
      </c>
      <c r="GX120" s="20" t="e">
        <f t="shared" si="82"/>
        <v>#NUM!</v>
      </c>
      <c r="GY120" s="59" t="e">
        <f t="shared" si="83"/>
        <v>#NUM!</v>
      </c>
      <c r="GZ120" s="59">
        <f ca="1">AVERAGE(OFFSET($GY$3,0,0,'Données projet'!$E$18+1,1))-AVERAGE(OFFSET($H$3,0,0,'Données projet'!$E$18+1,1))</f>
        <v>322.78672881269978</v>
      </c>
      <c r="HA120" s="59">
        <f t="shared" si="106"/>
        <v>313.08736327626434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68.27891408294677</v>
      </c>
      <c r="HH120" s="21">
        <f>EXP(-LN(2)/25)*HH119+(1-EXP(-LN(2)/25))/(LN(2)/25)*Calculateur!HC120*Calculateur!HE120*VLOOKUP('Données projet'!$B$18,Paramètres!$A$1:$I$89,3,0)*0.475*44/12</f>
        <v>0</v>
      </c>
      <c r="HI120" s="21">
        <f>EXP(-LN(2)/2)*HI119+(1-EXP(-LN(2)/2))/(LN(2)/2)*HC120*HF120*VLOOKUP('Données projet'!$B$18,Paramètres!$A$1:$I$89,3,0)*0.475*44/12</f>
        <v>0</v>
      </c>
      <c r="HJ120" s="22">
        <f t="shared" si="84"/>
        <v>68.27891408294677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2.3499999999999996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8.6166666666666654</v>
      </c>
      <c r="H121" s="67">
        <f t="shared" si="56"/>
        <v>222.20000000000002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68.509885085826056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4.5</v>
      </c>
      <c r="N121" s="13">
        <f>IF('Données projet'!$A$36&gt;35,N120+M121-V120,IF(A121&lt;'Données projet'!$A$36,$K$205^A121,IF(A121='Données projet'!$A$36,'Données projet'!$B$36,N120+M121-V120)))</f>
        <v>343.00000000000006</v>
      </c>
      <c r="O121" s="13">
        <f>N121*VLOOKUP('Données projet'!$B$9,Paramètres!$A$1:$I$89,3,0)*VLOOKUP('Données projet'!$B$9,Paramètres!$A$1:$I$89,5,0)</f>
        <v>310.34640000000007</v>
      </c>
      <c r="P121" s="13">
        <f t="shared" si="87"/>
        <v>73.341167576153055</v>
      </c>
      <c r="Q121" s="20">
        <f t="shared" si="107"/>
        <v>668.25584686180002</v>
      </c>
      <c r="R121" s="59">
        <f t="shared" si="55"/>
        <v>956.12542550982891</v>
      </c>
      <c r="S121" s="59">
        <f ca="1">AVERAGE(OFFSET($R$3,0,0,'Données projet'!$E$9+1,1))-AVERAGE(OFFSET($H$3,0,0,'Données projet'!$E$9+1,1))</f>
        <v>473.88815717313474</v>
      </c>
      <c r="T121" s="59">
        <f t="shared" si="88"/>
        <v>287.19790203552895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52.724428349591186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52.724428349591186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68.509885085826056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4.5</v>
      </c>
      <c r="AI121" s="13">
        <f>IF('Données projet'!$A$62&gt;35,AI120+AH121-AQ120,IF(A121&lt;'Données projet'!$A$62,$AF$205^A121,IF(A121='Données projet'!$A$62,'Données projet'!$B$62,AI120+AH121-AQ120)))</f>
        <v>343.00000000000006</v>
      </c>
      <c r="AJ121" s="13">
        <f>AI121*VLOOKUP('Données projet'!$B$10,Paramètres!$A$1:$I$89,3,0)*VLOOKUP('Données projet'!$B$10,Paramètres!$A$1:$I$89,5,0)</f>
        <v>288.9432000000001</v>
      </c>
      <c r="AK121" s="13">
        <f t="shared" si="89"/>
        <v>68.853491941116786</v>
      </c>
      <c r="AL121" s="20">
        <f t="shared" si="58"/>
        <v>623.16257179744514</v>
      </c>
      <c r="AM121" s="59">
        <f t="shared" si="59"/>
        <v>911.03215044547403</v>
      </c>
      <c r="AN121" s="59">
        <f ca="1">AVERAGE(OFFSET($AM$3,0,0,'Données projet'!$E$10+1,1))-AVERAGE(OFFSET($H$3,0,0,'Données projet'!$E$10+1,1))</f>
        <v>445.19118535527258</v>
      </c>
      <c r="AO121" s="59">
        <f t="shared" si="90"/>
        <v>270.93483242839363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49.088260877205599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49.088260877205599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68.509885085826056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4.5</v>
      </c>
      <c r="BD121" s="12">
        <f>IF('Données projet'!$A$88&gt;35,BD120+BC121-BL120,IF(A121&lt;'Données projet'!$A$88,$BA$205^A121,IF(A121='Données projet'!$A$88,'Données projet'!$B$88,BD120+BC121-BL120)))</f>
        <v>343.00000000000006</v>
      </c>
      <c r="BE121" s="13">
        <f>BD121*VLOOKUP('Données projet'!$B$11,Paramètres!$A$1:$I$89,3,0)*VLOOKUP('Données projet'!$B$11,Paramètres!$A$1:$I$89,5,0)</f>
        <v>347.80200000000008</v>
      </c>
      <c r="BF121" s="13">
        <f t="shared" si="91"/>
        <v>81.109754402608573</v>
      </c>
      <c r="BG121" s="20">
        <f t="shared" si="61"/>
        <v>747.02130558454337</v>
      </c>
      <c r="BH121" s="59">
        <f t="shared" si="62"/>
        <v>1034.8908842325723</v>
      </c>
      <c r="BI121" s="59">
        <f ca="1">AVERAGE(OFFSET($BH$3,0,0,'Données projet'!$E$11+1,1))-AVERAGE(OFFSET($H$3,0,0,'Données projet'!$E$11+1,1))</f>
        <v>524.01140973345832</v>
      </c>
      <c r="BJ121" s="59">
        <f t="shared" si="92"/>
        <v>315.59942237999621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59.087721426265986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59.087721426265986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68.509885085826056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-2.8421709430404007E-13</v>
      </c>
      <c r="BZ121" s="13">
        <f>BY121*VLOOKUP('Données projet'!$B$12,Paramètres!$A$1:$I$89,3,0)*VLOOKUP('Données projet'!$B$12,Paramètres!$A$1:$I$89,5,0)</f>
        <v>-1.9065282685915009E-13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358.95222991910504</v>
      </c>
      <c r="CE121" s="59">
        <f t="shared" si="94"/>
        <v>347.37506646970905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66.910646571952967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66.910646571952967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68.509885085826056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-2.8421709430404007E-13</v>
      </c>
      <c r="CU121" s="17">
        <f>CT121*VLOOKUP('Données projet'!$B$13,Paramètres!$A$1:$I$89,3,0)*VLOOKUP('Données projet'!$B$13,Paramètres!$A$1:$I$89,5,0)</f>
        <v>-1.8621904018800707E-13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351.7266381615546</v>
      </c>
      <c r="CZ121" s="59">
        <f t="shared" si="96"/>
        <v>340.52483243761799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56.57787460573882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56.57787460573882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68.509885085826056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6.6</v>
      </c>
      <c r="DO121" s="12">
        <f>IF('Données projet'!$A$166&gt;35,DO120+DN121-DW120,IF(A121&lt;'Données projet'!$A$166,$DL$205^A121,IF(A121='Données projet'!$A$166,'Données projet'!$B$166,DO120+DN121-DW120)))</f>
        <v>494.80000000000018</v>
      </c>
      <c r="DP121" s="17">
        <f>DO121*VLOOKUP('Données projet'!$B$14,Paramètres!$A$1:$I$89,3,0)*VLOOKUP('Données projet'!$B$14,Paramètres!$A$1:$I$89,5,0)</f>
        <v>424.53840000000019</v>
      </c>
      <c r="DQ121" s="13">
        <f t="shared" si="97"/>
        <v>96.734080386370238</v>
      </c>
      <c r="DR121" s="20">
        <f t="shared" si="70"/>
        <v>907.88290333959537</v>
      </c>
      <c r="DS121" s="59">
        <f t="shared" si="71"/>
        <v>1195.7524819876244</v>
      </c>
      <c r="DT121" s="59">
        <f ca="1">AVERAGE(OFFSET($DS$3,0,0,'Données projet'!$E$14+1,1))-AVERAGE(OFFSET($H$3,0,0,'Données projet'!$E$14+1,1))</f>
        <v>569.21675741362196</v>
      </c>
      <c r="DU121" s="59">
        <f t="shared" si="98"/>
        <v>321.12410801891679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66.573374506515464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66.573374506515464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68.509885085826056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-2.8421709430404007E-13</v>
      </c>
      <c r="EK121" s="17">
        <f>EJ121*VLOOKUP('Données projet'!$B$15,Paramètres!$A$1:$I$89,3,0)*VLOOKUP('Données projet'!$B$15,Paramètres!$A$1:$I$89,5,0)</f>
        <v>-2.2612312022829427E-13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416.63597645452791</v>
      </c>
      <c r="EP121" s="59">
        <f t="shared" si="100"/>
        <v>402.05920382353497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84.678845547791752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84.678845547791752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68.509885085826056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>
        <f>FE121*VLOOKUP('Données projet'!$B$16,Paramètres!$A$1:$I$89,3,0)*VLOOKUP('Données projet'!$B$16,Paramètres!$A$1:$I$89,5,0)</f>
        <v>0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395.57130469647603</v>
      </c>
      <c r="FK121" s="59">
        <f t="shared" si="102"/>
        <v>383.97542781562674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80.326533195402973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80.326533195402973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68.509885085826056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>
        <f>FZ121*VLOOKUP('Données projet'!$B$17,Paramètres!$A$1:$I$89,3,0)*VLOOKUP('Données projet'!$B$17,Paramètres!$A$1:$I$89,5,0)</f>
        <v>0</v>
      </c>
      <c r="GB121" s="13" t="e">
        <f t="shared" si="103"/>
        <v>#NUM!</v>
      </c>
      <c r="GC121" s="20" t="e">
        <f t="shared" si="79"/>
        <v>#NUM!</v>
      </c>
      <c r="GD121" s="59" t="e">
        <f t="shared" si="80"/>
        <v>#NUM!</v>
      </c>
      <c r="GE121" s="59">
        <f ca="1">AVERAGE(OFFSET($GD$3,0,0,'Données projet'!$E$17+1,1))-AVERAGE(OFFSET($H$3,0,0,'Données projet'!$E$17+1,1))</f>
        <v>301.74744407733351</v>
      </c>
      <c r="GF121" s="59">
        <f t="shared" si="104"/>
        <v>292.46787700966991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41.721608633869941</v>
      </c>
      <c r="GM121" s="21">
        <f>EXP(-LN(2)/25)*GM120+(1-EXP(-LN(2)/25))/(LN(2)/25)*Calculateur!GH121*Calculateur!GJ121*VLOOKUP('Données projet'!$B$17,Paramètres!$A$1:$I$89,3,0)*0.475*44/12</f>
        <v>0</v>
      </c>
      <c r="GN121" s="21">
        <f>EXP(-LN(2)/2)*GN120+(1-EXP(-LN(2)/2))/(LN(2)/2)*GH121*GK121*VLOOKUP('Données projet'!$B$17,Paramètres!$A$1:$I$89,3,0)*0.475*44/12</f>
        <v>0</v>
      </c>
      <c r="GO121" s="21">
        <f t="shared" si="81"/>
        <v>41.721608633869941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68.509885085826056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-2.8421709430404007E-13</v>
      </c>
      <c r="GV121" s="17">
        <f>GU121*VLOOKUP('Données projet'!$B$18,Paramètres!$A$1:$I$89,3,0)*VLOOKUP('Données projet'!$B$18,Paramètres!$A$1:$I$89,5,0)</f>
        <v>-1.6848389350343495E-13</v>
      </c>
      <c r="GW121" s="13" t="e">
        <f t="shared" si="105"/>
        <v>#NUM!</v>
      </c>
      <c r="GX121" s="20" t="e">
        <f t="shared" si="82"/>
        <v>#NUM!</v>
      </c>
      <c r="GY121" s="59" t="e">
        <f t="shared" si="83"/>
        <v>#NUM!</v>
      </c>
      <c r="GZ121" s="59">
        <f ca="1">AVERAGE(OFFSET($GY$3,0,0,'Données projet'!$E$18+1,1))-AVERAGE(OFFSET($H$3,0,0,'Données projet'!$E$18+1,1))</f>
        <v>322.78672881269978</v>
      </c>
      <c r="HA121" s="59">
        <f t="shared" si="106"/>
        <v>313.08736327626434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66.940006223805568</v>
      </c>
      <c r="HH121" s="21">
        <f>EXP(-LN(2)/25)*HH120+(1-EXP(-LN(2)/25))/(LN(2)/25)*Calculateur!HC121*Calculateur!HE121*VLOOKUP('Données projet'!$B$18,Paramètres!$A$1:$I$89,3,0)*0.475*44/12</f>
        <v>0</v>
      </c>
      <c r="HI121" s="21">
        <f>EXP(-LN(2)/2)*HI120+(1-EXP(-LN(2)/2))/(LN(2)/2)*HC121*HF121*VLOOKUP('Données projet'!$B$18,Paramètres!$A$1:$I$89,3,0)*0.475*44/12</f>
        <v>0</v>
      </c>
      <c r="HJ121" s="22">
        <f t="shared" si="84"/>
        <v>66.940006223805568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2.3499999999999996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8.6166666666666654</v>
      </c>
      <c r="H122" s="67">
        <f t="shared" si="56"/>
        <v>222.20000000000002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68.535735248189098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4.5</v>
      </c>
      <c r="N122" s="13">
        <f>IF('Données projet'!$A$36&gt;35,N121+M122-V121,IF(A122&lt;'Données projet'!$A$36,$K$205^A122,IF(A122='Données projet'!$A$36,'Données projet'!$B$36,N121+M122-V121)))</f>
        <v>347.50000000000006</v>
      </c>
      <c r="O122" s="13">
        <f>N122*VLOOKUP('Données projet'!$B$9,Paramètres!$A$1:$I$89,3,0)*VLOOKUP('Données projet'!$B$9,Paramètres!$A$1:$I$89,5,0)</f>
        <v>314.41800000000001</v>
      </c>
      <c r="P122" s="13">
        <f t="shared" si="87"/>
        <v>74.190723151497338</v>
      </c>
      <c r="Q122" s="20">
        <f t="shared" si="107"/>
        <v>676.82685948885785</v>
      </c>
      <c r="R122" s="59">
        <f t="shared" si="55"/>
        <v>964.79122206555121</v>
      </c>
      <c r="S122" s="59">
        <f ca="1">AVERAGE(OFFSET($R$3,0,0,'Données projet'!$E$9+1,1))-AVERAGE(OFFSET($H$3,0,0,'Données projet'!$E$9+1,1))</f>
        <v>473.88815717313474</v>
      </c>
      <c r="T122" s="59">
        <f t="shared" si="88"/>
        <v>287.19790203552895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51.690534468381585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51.690534468381585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68.535735248189098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4.5</v>
      </c>
      <c r="AI122" s="13">
        <f>IF('Données projet'!$A$62&gt;35,AI121+AH122-AQ121,IF(A122&lt;'Données projet'!$A$62,$AF$205^A122,IF(A122='Données projet'!$A$62,'Données projet'!$B$62,AI121+AH122-AQ121)))</f>
        <v>347.50000000000006</v>
      </c>
      <c r="AJ122" s="13">
        <f>AI122*VLOOKUP('Données projet'!$B$10,Paramètres!$A$1:$I$89,3,0)*VLOOKUP('Données projet'!$B$10,Paramètres!$A$1:$I$89,5,0)</f>
        <v>292.73400000000004</v>
      </c>
      <c r="AK122" s="13">
        <f t="shared" si="89"/>
        <v>69.651064026395645</v>
      </c>
      <c r="AL122" s="20">
        <f t="shared" si="58"/>
        <v>631.15398651263911</v>
      </c>
      <c r="AM122" s="59">
        <f t="shared" si="59"/>
        <v>919.11834908933247</v>
      </c>
      <c r="AN122" s="59">
        <f ca="1">AVERAGE(OFFSET($AM$3,0,0,'Données projet'!$E$10+1,1))-AVERAGE(OFFSET($H$3,0,0,'Données projet'!$E$10+1,1))</f>
        <v>445.19118535527258</v>
      </c>
      <c r="AO122" s="59">
        <f t="shared" si="90"/>
        <v>270.93483242839363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48.125670022286315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48.125670022286315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68.535735248189098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4.5</v>
      </c>
      <c r="BD122" s="12">
        <f>IF('Données projet'!$A$88&gt;35,BD121+BC122-BL121,IF(A122&lt;'Données projet'!$A$88,$BA$205^A122,IF(A122='Données projet'!$A$88,'Données projet'!$B$88,BD121+BC122-BL121)))</f>
        <v>347.50000000000006</v>
      </c>
      <c r="BE122" s="13">
        <f>BD122*VLOOKUP('Données projet'!$B$11,Paramètres!$A$1:$I$89,3,0)*VLOOKUP('Données projet'!$B$11,Paramètres!$A$1:$I$89,5,0)</f>
        <v>352.36500000000012</v>
      </c>
      <c r="BF122" s="13">
        <f t="shared" si="91"/>
        <v>82.049298267873581</v>
      </c>
      <c r="BG122" s="20">
        <f t="shared" si="61"/>
        <v>756.60490281654677</v>
      </c>
      <c r="BH122" s="59">
        <f t="shared" si="62"/>
        <v>1044.5692653932401</v>
      </c>
      <c r="BI122" s="59">
        <f ca="1">AVERAGE(OFFSET($BH$3,0,0,'Données projet'!$E$11+1,1))-AVERAGE(OFFSET($H$3,0,0,'Données projet'!$E$11+1,1))</f>
        <v>524.01140973345832</v>
      </c>
      <c r="BJ122" s="59">
        <f t="shared" si="92"/>
        <v>315.59942237999621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57.929047249048331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57.929047249048331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68.535735248189098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-2.8421709430404007E-13</v>
      </c>
      <c r="BZ122" s="13">
        <f>BY122*VLOOKUP('Données projet'!$B$12,Paramètres!$A$1:$I$89,3,0)*VLOOKUP('Données projet'!$B$12,Paramètres!$A$1:$I$89,5,0)</f>
        <v>-1.9065282685915009E-13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358.95222991910504</v>
      </c>
      <c r="CE122" s="59">
        <f t="shared" si="94"/>
        <v>347.37506646970905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65.598569604141574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65.598569604141574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68.535735248189098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-2.8421709430404007E-13</v>
      </c>
      <c r="CU122" s="17">
        <f>CT122*VLOOKUP('Données projet'!$B$13,Paramètres!$A$1:$I$89,3,0)*VLOOKUP('Données projet'!$B$13,Paramètres!$A$1:$I$89,5,0)</f>
        <v>-1.8621904018800707E-13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351.7266381615546</v>
      </c>
      <c r="CZ122" s="59">
        <f t="shared" si="96"/>
        <v>340.52483243761799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55.468416993816298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55.468416993816298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68.535735248189098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6.6</v>
      </c>
      <c r="DO122" s="12">
        <f>IF('Données projet'!$A$166&gt;35,DO121+DN122-DW121,IF(A122&lt;'Données projet'!$A$166,$DL$205^A122,IF(A122='Données projet'!$A$166,'Données projet'!$B$166,DO121+DN122-DW121)))</f>
        <v>501.4000000000002</v>
      </c>
      <c r="DP122" s="17">
        <f>DO122*VLOOKUP('Données projet'!$B$14,Paramètres!$A$1:$I$89,3,0)*VLOOKUP('Données projet'!$B$14,Paramètres!$A$1:$I$89,5,0)</f>
        <v>430.20120000000026</v>
      </c>
      <c r="DQ122" s="13">
        <f t="shared" si="97"/>
        <v>97.873316759625041</v>
      </c>
      <c r="DR122" s="20">
        <f t="shared" si="70"/>
        <v>919.72978335634741</v>
      </c>
      <c r="DS122" s="59">
        <f t="shared" si="71"/>
        <v>1207.6941459330408</v>
      </c>
      <c r="DT122" s="59">
        <f ca="1">AVERAGE(OFFSET($DS$3,0,0,'Données projet'!$E$14+1,1))-AVERAGE(OFFSET($H$3,0,0,'Données projet'!$E$14+1,1))</f>
        <v>569.21675741362196</v>
      </c>
      <c r="DU122" s="59">
        <f t="shared" si="98"/>
        <v>321.12410801891679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65.267911238191658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65.267911238191658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68.535735248189098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-2.8421709430404007E-13</v>
      </c>
      <c r="EK122" s="17">
        <f>EJ122*VLOOKUP('Données projet'!$B$15,Paramètres!$A$1:$I$89,3,0)*VLOOKUP('Données projet'!$B$15,Paramètres!$A$1:$I$89,5,0)</f>
        <v>-2.2612312022829427E-13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416.63597645452791</v>
      </c>
      <c r="EP122" s="59">
        <f t="shared" si="100"/>
        <v>402.05920382353497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83.018345035595431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83.018345035595431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68.535735248189098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>
        <f>FE122*VLOOKUP('Données projet'!$B$16,Paramètres!$A$1:$I$89,3,0)*VLOOKUP('Données projet'!$B$16,Paramètres!$A$1:$I$89,5,0)</f>
        <v>0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395.57130469647603</v>
      </c>
      <c r="FK122" s="59">
        <f t="shared" si="102"/>
        <v>383.97542781562674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78.751378873788582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78.751378873788582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68.535735248189098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>
        <f>FZ122*VLOOKUP('Données projet'!$B$17,Paramètres!$A$1:$I$89,3,0)*VLOOKUP('Données projet'!$B$17,Paramètres!$A$1:$I$89,5,0)</f>
        <v>0</v>
      </c>
      <c r="GB122" s="13" t="e">
        <f t="shared" si="103"/>
        <v>#NUM!</v>
      </c>
      <c r="GC122" s="20" t="e">
        <f t="shared" si="79"/>
        <v>#NUM!</v>
      </c>
      <c r="GD122" s="59" t="e">
        <f t="shared" si="80"/>
        <v>#NUM!</v>
      </c>
      <c r="GE122" s="59">
        <f ca="1">AVERAGE(OFFSET($GD$3,0,0,'Données projet'!$E$17+1,1))-AVERAGE(OFFSET($H$3,0,0,'Données projet'!$E$17+1,1))</f>
        <v>301.74744407733351</v>
      </c>
      <c r="GF122" s="59">
        <f t="shared" si="104"/>
        <v>292.46787700966991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40.903473336228267</v>
      </c>
      <c r="GM122" s="21">
        <f>EXP(-LN(2)/25)*GM121+(1-EXP(-LN(2)/25))/(LN(2)/25)*Calculateur!GH122*Calculateur!GJ122*VLOOKUP('Données projet'!$B$17,Paramètres!$A$1:$I$89,3,0)*0.475*44/12</f>
        <v>0</v>
      </c>
      <c r="GN122" s="21">
        <f>EXP(-LN(2)/2)*GN121+(1-EXP(-LN(2)/2))/(LN(2)/2)*GH122*GK122*VLOOKUP('Données projet'!$B$17,Paramètres!$A$1:$I$89,3,0)*0.475*44/12</f>
        <v>0</v>
      </c>
      <c r="GO122" s="21">
        <f t="shared" si="81"/>
        <v>40.903473336228267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68.535735248189098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-2.8421709430404007E-13</v>
      </c>
      <c r="GV122" s="17">
        <f>GU122*VLOOKUP('Données projet'!$B$18,Paramètres!$A$1:$I$89,3,0)*VLOOKUP('Données projet'!$B$18,Paramètres!$A$1:$I$89,5,0)</f>
        <v>-1.6848389350343495E-13</v>
      </c>
      <c r="GW122" s="13" t="e">
        <f t="shared" si="105"/>
        <v>#NUM!</v>
      </c>
      <c r="GX122" s="20" t="e">
        <f t="shared" si="82"/>
        <v>#NUM!</v>
      </c>
      <c r="GY122" s="59" t="e">
        <f t="shared" si="83"/>
        <v>#NUM!</v>
      </c>
      <c r="GZ122" s="59">
        <f ca="1">AVERAGE(OFFSET($GY$3,0,0,'Données projet'!$E$18+1,1))-AVERAGE(OFFSET($H$3,0,0,'Données projet'!$E$18+1,1))</f>
        <v>322.78672881269978</v>
      </c>
      <c r="HA122" s="59">
        <f t="shared" si="106"/>
        <v>313.08736327626434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65.627353531128975</v>
      </c>
      <c r="HH122" s="21">
        <f>EXP(-LN(2)/25)*HH121+(1-EXP(-LN(2)/25))/(LN(2)/25)*Calculateur!HC122*Calculateur!HE122*VLOOKUP('Données projet'!$B$18,Paramètres!$A$1:$I$89,3,0)*0.475*44/12</f>
        <v>0</v>
      </c>
      <c r="HI122" s="21">
        <f>EXP(-LN(2)/2)*HI121+(1-EXP(-LN(2)/2))/(LN(2)/2)*HC122*HF122*VLOOKUP('Données projet'!$B$18,Paramètres!$A$1:$I$89,3,0)*0.475*44/12</f>
        <v>0</v>
      </c>
      <c r="HJ122" s="22">
        <f t="shared" si="84"/>
        <v>65.627353531128975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2.3499999999999996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8.6166666666666654</v>
      </c>
      <c r="H123" s="67">
        <f t="shared" si="56"/>
        <v>222.20000000000002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68.561136968027455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352</v>
      </c>
      <c r="L123" s="12">
        <f>VLOOKUP(A123,'Données projet'!$A$35:$I$55,9,0)</f>
        <v>4.5</v>
      </c>
      <c r="M123" s="12">
        <f t="array" ref="M123">INDEX(L:L,MIN(IF(ISNUMBER(L123:L319),ROW(L123:L319),"")))</f>
        <v>4.5</v>
      </c>
      <c r="N123" s="13">
        <f>IF('Données projet'!$A$36&gt;35,N122+M123-V122,IF(A123&lt;'Données projet'!$A$36,$K$205^A123,IF(A123='Données projet'!$A$36,'Données projet'!$B$36,N122+M123-V122)))</f>
        <v>352.00000000000006</v>
      </c>
      <c r="O123" s="13">
        <f>N123*VLOOKUP('Données projet'!$B$9,Paramètres!$A$1:$I$89,3,0)*VLOOKUP('Données projet'!$B$9,Paramètres!$A$1:$I$89,5,0)</f>
        <v>318.48960000000005</v>
      </c>
      <c r="P123" s="13">
        <f t="shared" si="87"/>
        <v>75.038999086150298</v>
      </c>
      <c r="Q123" s="20">
        <f t="shared" si="107"/>
        <v>685.39564340837842</v>
      </c>
      <c r="R123" s="59">
        <f t="shared" si="55"/>
        <v>973.45314562447902</v>
      </c>
      <c r="S123" s="59">
        <f ca="1">AVERAGE(OFFSET($R$3,0,0,'Données projet'!$E$9+1,1))-AVERAGE(OFFSET($H$3,0,0,'Données projet'!$E$9+1,1))</f>
        <v>473.88815717313474</v>
      </c>
      <c r="T123" s="59">
        <f t="shared" si="88"/>
        <v>287.19790203552895</v>
      </c>
      <c r="U123" s="15">
        <f>IF(ISNA(VLOOKUP(A123,'Données projet'!$A$35:$I$55,3,0)),0,VLOOKUP(A123,'Données projet'!$A$35:$I$55,3,0))</f>
        <v>21</v>
      </c>
      <c r="V123" s="15">
        <f>IF(ISNA(VLOOKUP(A123,'Données projet'!$A$35:$I$55,4,0)),0,VLOOKUP(A123,'Données projet'!$A$35:$I$55,4,0))</f>
        <v>352</v>
      </c>
      <c r="W123" s="16">
        <f>IF(ISNA(VLOOKUP(A123,'Données projet'!$A$35:$I$55,5,0)),0%,VLOOKUP(A123,'Données projet'!$A$35:$I$55,5,0)*VLOOKUP('Données projet'!$B$9,Paramètres!$A$1:$I$89,7,0))</f>
        <v>0.38700000000000001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186.9321915644276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186.9321915644276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68.561136968027455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352</v>
      </c>
      <c r="AG123" s="12">
        <f>VLOOKUP(A123,'Données projet'!$A$61:$I$81,9,0)</f>
        <v>4.5</v>
      </c>
      <c r="AH123" s="12">
        <f t="array" ref="AH123">INDEX(AG:AG,MIN(IF(ISNUMBER(AG123:AG319),ROW(AG123:AG319),"")))</f>
        <v>4.5</v>
      </c>
      <c r="AI123" s="13">
        <f>IF('Données projet'!$A$62&gt;35,AI122+AH123-AQ122,IF(A123&lt;'Données projet'!$A$62,$AF$205^A123,IF(A123='Données projet'!$A$62,'Données projet'!$B$62,AI122+AH123-AQ122)))</f>
        <v>352.00000000000006</v>
      </c>
      <c r="AJ123" s="13">
        <f>AI123*VLOOKUP('Données projet'!$B$10,Paramètres!$A$1:$I$89,3,0)*VLOOKUP('Données projet'!$B$10,Paramètres!$A$1:$I$89,5,0)</f>
        <v>296.52480000000008</v>
      </c>
      <c r="AK123" s="13">
        <f t="shared" si="89"/>
        <v>70.447434770968528</v>
      </c>
      <c r="AL123" s="20">
        <f t="shared" si="58"/>
        <v>639.14330889277028</v>
      </c>
      <c r="AM123" s="59">
        <f t="shared" si="59"/>
        <v>927.20081110887099</v>
      </c>
      <c r="AN123" s="59">
        <f ca="1">AVERAGE(OFFSET($AM$3,0,0,'Données projet'!$E$10+1,1))-AVERAGE(OFFSET($H$3,0,0,'Données projet'!$E$10+1,1))</f>
        <v>445.19118535527258</v>
      </c>
      <c r="AO123" s="59">
        <f t="shared" si="90"/>
        <v>270.93483242839363</v>
      </c>
      <c r="AP123" s="15">
        <f>IF(ISNA(VLOOKUP(A123,'Données projet'!$A$61:$I$81,3,0)),0,VLOOKUP(A123,'Données projet'!$A$61:$I$81,3,0))</f>
        <v>21</v>
      </c>
      <c r="AQ123" s="15">
        <f>IF(ISNA(VLOOKUP(A123,'Données projet'!$A$61:$I$81,4,0)),0,VLOOKUP(A123,'Données projet'!$A$61:$I$81,4,0))</f>
        <v>352</v>
      </c>
      <c r="AR123" s="16">
        <f>IF(ISNA(VLOOKUP(A123,'Données projet'!$A$61:$I$81,5,0)),0%,VLOOKUP(A123,'Données projet'!$A$61:$I$81,5,0)*VLOOKUP('Données projet'!$B$10,Paramètres!$A$1:$I$89,7,0))</f>
        <v>0.38700000000000001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174.0403162841223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174.0403162841223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68.561136968027455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352</v>
      </c>
      <c r="BB123" s="12">
        <f>VLOOKUP(A123,'Données projet'!$A$87:$I$107,9,0)</f>
        <v>4.5</v>
      </c>
      <c r="BC123" s="12">
        <f t="array" ref="BC123">INDEX(BB:BB,MIN(IF(ISNUMBER(BB123:BB319),ROW(BB123:BB319),"")))</f>
        <v>4.5</v>
      </c>
      <c r="BD123" s="12">
        <f>IF('Données projet'!$A$88&gt;35,BD122+BC123-BL122,IF(A123&lt;'Données projet'!$A$88,$BA$205^A123,IF(A123='Données projet'!$A$88,'Données projet'!$B$88,BD122+BC123-BL122)))</f>
        <v>352.00000000000006</v>
      </c>
      <c r="BE123" s="13">
        <f>BD123*VLOOKUP('Données projet'!$B$11,Paramètres!$A$1:$I$89,3,0)*VLOOKUP('Données projet'!$B$11,Paramètres!$A$1:$I$89,5,0)</f>
        <v>356.92800000000005</v>
      </c>
      <c r="BF123" s="13">
        <f t="shared" si="91"/>
        <v>82.987426947838998</v>
      </c>
      <c r="BG123" s="20">
        <f t="shared" si="61"/>
        <v>766.18603526748632</v>
      </c>
      <c r="BH123" s="59">
        <f t="shared" si="62"/>
        <v>1054.243537483587</v>
      </c>
      <c r="BI123" s="59">
        <f ca="1">AVERAGE(OFFSET($BH$3,0,0,'Données projet'!$E$11+1,1))-AVERAGE(OFFSET($H$3,0,0,'Données projet'!$E$11+1,1))</f>
        <v>524.01140973345832</v>
      </c>
      <c r="BJ123" s="59">
        <f t="shared" si="92"/>
        <v>315.59942237999621</v>
      </c>
      <c r="BK123" s="15">
        <f>IF(ISNA(VLOOKUP(A123,'Données projet'!$A$87:$I$107,3,0)),0,VLOOKUP(A123,'Données projet'!$A$87:$I$107,3,0))</f>
        <v>21</v>
      </c>
      <c r="BL123" s="15">
        <f>IF(ISNA(VLOOKUP(A123,'Données projet'!$A$87:$I$107,4,0)),0,VLOOKUP(A123,'Données projet'!$A$87:$I$107,4,0))</f>
        <v>352</v>
      </c>
      <c r="BM123" s="16">
        <f>IF(ISNA(VLOOKUP(A123,'Données projet'!$A$87:$I$107,5,0)),0%,VLOOKUP(A123,'Données projet'!$A$87:$I$107,5,0)*VLOOKUP('Données projet'!$B$11,Paramètres!$A$1:$I$89,7,0))</f>
        <v>0.38700000000000001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209.49297330496202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209.49297330496202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68.561136968027455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-2.8421709430404007E-13</v>
      </c>
      <c r="BZ123" s="13">
        <f>BY123*VLOOKUP('Données projet'!$B$12,Paramètres!$A$1:$I$89,3,0)*VLOOKUP('Données projet'!$B$12,Paramètres!$A$1:$I$89,5,0)</f>
        <v>-1.9065282685915009E-13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358.95222991910504</v>
      </c>
      <c r="CE123" s="59">
        <f t="shared" si="94"/>
        <v>347.37506646970905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64.312221665381045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64.312221665381045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68.561136968027455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-2.8421709430404007E-13</v>
      </c>
      <c r="CU123" s="17">
        <f>CT123*VLOOKUP('Données projet'!$B$13,Paramètres!$A$1:$I$89,3,0)*VLOOKUP('Données projet'!$B$13,Paramètres!$A$1:$I$89,5,0)</f>
        <v>-1.8621904018800707E-13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351.7266381615546</v>
      </c>
      <c r="CZ123" s="59">
        <f t="shared" si="96"/>
        <v>340.52483243761799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54.380715168961252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54.380715168961252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68.561136968027455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>
        <f>VLOOKUP(A123,'Données projet'!$A$165:$I$185,2,0)</f>
        <v>508</v>
      </c>
      <c r="DM123" s="12">
        <f>VLOOKUP(A123,'Données projet'!$A$165:$I$185,9,0)</f>
        <v>6.6</v>
      </c>
      <c r="DN123" s="12">
        <f t="array" ref="DN123">INDEX(DM:DM,MIN(IF(ISNUMBER(DM123:DM319),ROW(DM123:DM319),"")))</f>
        <v>6.6</v>
      </c>
      <c r="DO123" s="12">
        <f>IF('Données projet'!$A$166&gt;35,DO122+DN123-DW122,IF(A123&lt;'Données projet'!$A$166,$DL$205^A123,IF(A123='Données projet'!$A$166,'Données projet'!$B$166,DO122+DN123-DW122)))</f>
        <v>508.00000000000023</v>
      </c>
      <c r="DP123" s="17">
        <f>DO123*VLOOKUP('Données projet'!$B$14,Paramètres!$A$1:$I$89,3,0)*VLOOKUP('Données projet'!$B$14,Paramètres!$A$1:$I$89,5,0)</f>
        <v>435.86400000000026</v>
      </c>
      <c r="DQ123" s="13">
        <f t="shared" si="97"/>
        <v>99.010808889743856</v>
      </c>
      <c r="DR123" s="20">
        <f t="shared" si="70"/>
        <v>931.57362548297112</v>
      </c>
      <c r="DS123" s="59">
        <f t="shared" si="71"/>
        <v>1219.6311276990718</v>
      </c>
      <c r="DT123" s="59">
        <f ca="1">AVERAGE(OFFSET($DS$3,0,0,'Données projet'!$E$14+1,1))-AVERAGE(OFFSET($H$3,0,0,'Données projet'!$E$14+1,1))</f>
        <v>569.21675741362196</v>
      </c>
      <c r="DU123" s="59">
        <f t="shared" si="98"/>
        <v>321.12410801891679</v>
      </c>
      <c r="DV123" s="15">
        <f>IF(ISNA(VLOOKUP(A123,'Données projet'!$A$165:$I$185,3,0)),0,VLOOKUP(A123,'Données projet'!$A$165:$I$185,3,0))</f>
        <v>21</v>
      </c>
      <c r="DW123" s="15">
        <f>IF(ISNA(VLOOKUP(A123,'Données projet'!$A$165:$I$185,4,0)),0,VLOOKUP(A123,'Données projet'!$A$165:$I$185,4,0))</f>
        <v>508</v>
      </c>
      <c r="DX123" s="16">
        <f>IF(ISNA(VLOOKUP(A123,'Données projet'!$A$165:$I$185,5,0)),0%,VLOOKUP(A123,'Données projet'!$A$165:$I$185,5,0)*VLOOKUP('Données projet'!$B$14,Paramètres!$A$1:$I$89,7,0))</f>
        <v>0.42400000000000004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268.28597770631967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268.28597770631967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68.561136968027455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-2.8421709430404007E-13</v>
      </c>
      <c r="EK123" s="17">
        <f>EJ123*VLOOKUP('Données projet'!$B$15,Paramètres!$A$1:$I$89,3,0)*VLOOKUP('Données projet'!$B$15,Paramètres!$A$1:$I$89,5,0)</f>
        <v>-2.2612312022829427E-13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416.63597645452791</v>
      </c>
      <c r="EP123" s="59">
        <f t="shared" si="100"/>
        <v>402.05920382353497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81.390405925637964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81.390405925637964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68.561136968027455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>
        <f>FE123*VLOOKUP('Données projet'!$B$16,Paramètres!$A$1:$I$89,3,0)*VLOOKUP('Données projet'!$B$16,Paramètres!$A$1:$I$89,5,0)</f>
        <v>0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395.57130469647603</v>
      </c>
      <c r="FK123" s="59">
        <f t="shared" si="102"/>
        <v>383.97542781562674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77.207112367671783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77.207112367671783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68.561136968027455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>
        <f>FZ123*VLOOKUP('Données projet'!$B$17,Paramètres!$A$1:$I$89,3,0)*VLOOKUP('Données projet'!$B$17,Paramètres!$A$1:$I$89,5,0)</f>
        <v>0</v>
      </c>
      <c r="GB123" s="13" t="e">
        <f t="shared" si="103"/>
        <v>#NUM!</v>
      </c>
      <c r="GC123" s="20" t="e">
        <f t="shared" si="79"/>
        <v>#NUM!</v>
      </c>
      <c r="GD123" s="59" t="e">
        <f t="shared" si="80"/>
        <v>#NUM!</v>
      </c>
      <c r="GE123" s="59">
        <f ca="1">AVERAGE(OFFSET($GD$3,0,0,'Données projet'!$E$17+1,1))-AVERAGE(OFFSET($H$3,0,0,'Données projet'!$E$17+1,1))</f>
        <v>301.74744407733351</v>
      </c>
      <c r="GF123" s="59">
        <f t="shared" si="104"/>
        <v>292.46787700966991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40.101381172760092</v>
      </c>
      <c r="GM123" s="21">
        <f>EXP(-LN(2)/25)*GM122+(1-EXP(-LN(2)/25))/(LN(2)/25)*Calculateur!GH123*Calculateur!GJ123*VLOOKUP('Données projet'!$B$17,Paramètres!$A$1:$I$89,3,0)*0.475*44/12</f>
        <v>0</v>
      </c>
      <c r="GN123" s="21">
        <f>EXP(-LN(2)/2)*GN122+(1-EXP(-LN(2)/2))/(LN(2)/2)*GH123*GK123*VLOOKUP('Données projet'!$B$17,Paramètres!$A$1:$I$89,3,0)*0.475*44/12</f>
        <v>0</v>
      </c>
      <c r="GO123" s="21">
        <f t="shared" si="81"/>
        <v>40.101381172760092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68.561136968027455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-2.8421709430404007E-13</v>
      </c>
      <c r="GV123" s="17">
        <f>GU123*VLOOKUP('Données projet'!$B$18,Paramètres!$A$1:$I$89,3,0)*VLOOKUP('Données projet'!$B$18,Paramètres!$A$1:$I$89,5,0)</f>
        <v>-1.6848389350343495E-13</v>
      </c>
      <c r="GW123" s="13" t="e">
        <f t="shared" si="105"/>
        <v>#NUM!</v>
      </c>
      <c r="GX123" s="20" t="e">
        <f t="shared" si="82"/>
        <v>#NUM!</v>
      </c>
      <c r="GY123" s="59" t="e">
        <f t="shared" si="83"/>
        <v>#NUM!</v>
      </c>
      <c r="GZ123" s="59">
        <f ca="1">AVERAGE(OFFSET($GY$3,0,0,'Données projet'!$E$18+1,1))-AVERAGE(OFFSET($H$3,0,0,'Données projet'!$E$18+1,1))</f>
        <v>322.78672881269978</v>
      </c>
      <c r="HA123" s="59">
        <f t="shared" si="106"/>
        <v>313.08736327626434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64.340441157116686</v>
      </c>
      <c r="HH123" s="21">
        <f>EXP(-LN(2)/25)*HH122+(1-EXP(-LN(2)/25))/(LN(2)/25)*Calculateur!HC123*Calculateur!HE123*VLOOKUP('Données projet'!$B$18,Paramètres!$A$1:$I$89,3,0)*0.475*44/12</f>
        <v>0</v>
      </c>
      <c r="HI123" s="21">
        <f>EXP(-LN(2)/2)*HI122+(1-EXP(-LN(2)/2))/(LN(2)/2)*HC123*HF123*VLOOKUP('Données projet'!$B$18,Paramètres!$A$1:$I$89,3,0)*0.475*44/12</f>
        <v>0</v>
      </c>
      <c r="HJ123" s="22">
        <f t="shared" si="84"/>
        <v>64.340441157116686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2.3499999999999996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8.6166666666666654</v>
      </c>
      <c r="H124" s="67">
        <f t="shared" si="56"/>
        <v>222.20000000000002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68.586098024816366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5.6843418860808015E-14</v>
      </c>
      <c r="O124" s="13">
        <f>N124*VLOOKUP('Données projet'!$B$9,Paramètres!$A$1:$I$89,3,0)*VLOOKUP('Données projet'!$B$9,Paramètres!$A$1:$I$89,5,0)</f>
        <v>5.1431925385259088E-14</v>
      </c>
      <c r="P124" s="13">
        <f t="shared" si="87"/>
        <v>8.3482866290946129E-13</v>
      </c>
      <c r="Q124" s="20">
        <f t="shared" si="107"/>
        <v>1.5435705246133045E-12</v>
      </c>
      <c r="R124" s="59">
        <f t="shared" si="55"/>
        <v>288.14902609099488</v>
      </c>
      <c r="S124" s="59">
        <f ca="1">AVERAGE(OFFSET($R$3,0,0,'Données projet'!$E$9+1,1))-AVERAGE(OFFSET($H$3,0,0,'Données projet'!$E$9+1,1))</f>
        <v>473.88815717313474</v>
      </c>
      <c r="T124" s="59">
        <f t="shared" si="88"/>
        <v>287.19790203552895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183.26656530522774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183.26656530522774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68.586098024816366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5.6843418860808015E-14</v>
      </c>
      <c r="AJ124" s="13">
        <f>AI124*VLOOKUP('Données projet'!$B$10,Paramètres!$A$1:$I$89,3,0)*VLOOKUP('Données projet'!$B$10,Paramètres!$A$1:$I$89,5,0)</f>
        <v>4.7884896048344674E-14</v>
      </c>
      <c r="AK124" s="13">
        <f t="shared" si="89"/>
        <v>7.8374629847779921E-13</v>
      </c>
      <c r="AL124" s="20">
        <f t="shared" si="58"/>
        <v>1.4484243304663672E-12</v>
      </c>
      <c r="AM124" s="59">
        <f t="shared" si="59"/>
        <v>288.14902609099477</v>
      </c>
      <c r="AN124" s="59">
        <f ca="1">AVERAGE(OFFSET($AM$3,0,0,'Données projet'!$E$10+1,1))-AVERAGE(OFFSET($H$3,0,0,'Données projet'!$E$10+1,1))</f>
        <v>445.19118535527258</v>
      </c>
      <c r="AO124" s="59">
        <f t="shared" si="90"/>
        <v>270.93483242839363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170.62749183590174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170.62749183590174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68.586098024816366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5.6843418860808015E-14</v>
      </c>
      <c r="BE124" s="13">
        <f>BD124*VLOOKUP('Données projet'!$B$11,Paramètres!$A$1:$I$89,3,0)*VLOOKUP('Données projet'!$B$11,Paramètres!$A$1:$I$89,5,0)</f>
        <v>5.7639226724859328E-14</v>
      </c>
      <c r="BF124" s="13">
        <f t="shared" si="91"/>
        <v>9.2325701996134334E-13</v>
      </c>
      <c r="BG124" s="20">
        <f t="shared" si="61"/>
        <v>1.708394296311803E-12</v>
      </c>
      <c r="BH124" s="59">
        <f t="shared" si="62"/>
        <v>288.14902609099505</v>
      </c>
      <c r="BI124" s="59">
        <f ca="1">AVERAGE(OFFSET($BH$3,0,0,'Données projet'!$E$11+1,1))-AVERAGE(OFFSET($H$3,0,0,'Données projet'!$E$11+1,1))</f>
        <v>524.01140973345832</v>
      </c>
      <c r="BJ124" s="59">
        <f t="shared" si="92"/>
        <v>315.59942237999621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205.38494387654839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205.38494387654839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68.586098024816366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-2.8421709430404007E-13</v>
      </c>
      <c r="BZ124" s="13">
        <f>BY124*VLOOKUP('Données projet'!$B$12,Paramètres!$A$1:$I$89,3,0)*VLOOKUP('Données projet'!$B$12,Paramètres!$A$1:$I$89,5,0)</f>
        <v>-1.9065282685915009E-13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358.95222991910504</v>
      </c>
      <c r="CE124" s="59">
        <f t="shared" si="94"/>
        <v>347.37506646970905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63.051098225104838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63.051098225104838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68.586098024816366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-2.8421709430404007E-13</v>
      </c>
      <c r="CU124" s="17">
        <f>CT124*VLOOKUP('Données projet'!$B$13,Paramètres!$A$1:$I$89,3,0)*VLOOKUP('Données projet'!$B$13,Paramètres!$A$1:$I$89,5,0)</f>
        <v>-1.8621904018800707E-13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351.7266381615546</v>
      </c>
      <c r="CZ124" s="59">
        <f t="shared" si="96"/>
        <v>340.52483243761799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53.31434251345901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53.31434251345901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68.586098024816366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2.2737367544323206E-13</v>
      </c>
      <c r="DP124" s="17">
        <f>DO124*VLOOKUP('Données projet'!$B$14,Paramètres!$A$1:$I$89,3,0)*VLOOKUP('Données projet'!$B$14,Paramètres!$A$1:$I$89,5,0)</f>
        <v>1.9508661353029313E-13</v>
      </c>
      <c r="DQ124" s="13">
        <f t="shared" si="97"/>
        <v>2.711421636700695E-12</v>
      </c>
      <c r="DR124" s="20">
        <f t="shared" si="70"/>
        <v>5.0621685358189711E-12</v>
      </c>
      <c r="DS124" s="59">
        <f t="shared" si="71"/>
        <v>288.1490260909984</v>
      </c>
      <c r="DT124" s="59">
        <f ca="1">AVERAGE(OFFSET($DS$3,0,0,'Données projet'!$E$14+1,1))-AVERAGE(OFFSET($H$3,0,0,'Données projet'!$E$14+1,1))</f>
        <v>569.21675741362196</v>
      </c>
      <c r="DU124" s="59">
        <f t="shared" si="98"/>
        <v>321.12410801891679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263.0250533217872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263.0250533217872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68.586098024816366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-2.8421709430404007E-13</v>
      </c>
      <c r="EK124" s="17">
        <f>EJ124*VLOOKUP('Données projet'!$B$15,Paramètres!$A$1:$I$89,3,0)*VLOOKUP('Données projet'!$B$15,Paramètres!$A$1:$I$89,5,0)</f>
        <v>-2.2612312022829427E-13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416.63597645452791</v>
      </c>
      <c r="EP124" s="59">
        <f t="shared" si="100"/>
        <v>402.05920382353497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79.794389708681962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79.794389708681962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68.586098024816366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>
        <f>FE124*VLOOKUP('Données projet'!$B$16,Paramètres!$A$1:$I$89,3,0)*VLOOKUP('Données projet'!$B$16,Paramètres!$A$1:$I$89,5,0)</f>
        <v>0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395.57130469647603</v>
      </c>
      <c r="FK124" s="59">
        <f t="shared" si="102"/>
        <v>383.97542781562674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75.693127985830372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75.693127985830372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68.586098024816366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>
        <f>FZ124*VLOOKUP('Données projet'!$B$17,Paramètres!$A$1:$I$89,3,0)*VLOOKUP('Données projet'!$B$17,Paramètres!$A$1:$I$89,5,0)</f>
        <v>0</v>
      </c>
      <c r="GB124" s="13" t="e">
        <f t="shared" si="103"/>
        <v>#NUM!</v>
      </c>
      <c r="GC124" s="20" t="e">
        <f t="shared" si="79"/>
        <v>#NUM!</v>
      </c>
      <c r="GD124" s="59" t="e">
        <f t="shared" si="80"/>
        <v>#NUM!</v>
      </c>
      <c r="GE124" s="59">
        <f ca="1">AVERAGE(OFFSET($GD$3,0,0,'Données projet'!$E$17+1,1))-AVERAGE(OFFSET($H$3,0,0,'Données projet'!$E$17+1,1))</f>
        <v>301.74744407733351</v>
      </c>
      <c r="GF124" s="59">
        <f t="shared" si="104"/>
        <v>292.46787700966991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39.315017547389616</v>
      </c>
      <c r="GM124" s="21">
        <f>EXP(-LN(2)/25)*GM123+(1-EXP(-LN(2)/25))/(LN(2)/25)*Calculateur!GH124*Calculateur!GJ124*VLOOKUP('Données projet'!$B$17,Paramètres!$A$1:$I$89,3,0)*0.475*44/12</f>
        <v>0</v>
      </c>
      <c r="GN124" s="21">
        <f>EXP(-LN(2)/2)*GN123+(1-EXP(-LN(2)/2))/(LN(2)/2)*GH124*GK124*VLOOKUP('Données projet'!$B$17,Paramètres!$A$1:$I$89,3,0)*0.475*44/12</f>
        <v>0</v>
      </c>
      <c r="GO124" s="21">
        <f t="shared" si="81"/>
        <v>39.315017547389616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68.586098024816366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-2.8421709430404007E-13</v>
      </c>
      <c r="GV124" s="17">
        <f>GU124*VLOOKUP('Données projet'!$B$18,Paramètres!$A$1:$I$89,3,0)*VLOOKUP('Données projet'!$B$18,Paramètres!$A$1:$I$89,5,0)</f>
        <v>-1.6848389350343495E-13</v>
      </c>
      <c r="GW124" s="13" t="e">
        <f t="shared" si="105"/>
        <v>#NUM!</v>
      </c>
      <c r="GX124" s="20" t="e">
        <f t="shared" si="82"/>
        <v>#NUM!</v>
      </c>
      <c r="GY124" s="59" t="e">
        <f t="shared" si="83"/>
        <v>#NUM!</v>
      </c>
      <c r="GZ124" s="59">
        <f ca="1">AVERAGE(OFFSET($GY$3,0,0,'Données projet'!$E$18+1,1))-AVERAGE(OFFSET($H$3,0,0,'Données projet'!$E$18+1,1))</f>
        <v>322.78672881269978</v>
      </c>
      <c r="HA124" s="59">
        <f t="shared" si="106"/>
        <v>313.08736327626434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63.078764349819728</v>
      </c>
      <c r="HH124" s="21">
        <f>EXP(-LN(2)/25)*HH123+(1-EXP(-LN(2)/25))/(LN(2)/25)*Calculateur!HC124*Calculateur!HE124*VLOOKUP('Données projet'!$B$18,Paramètres!$A$1:$I$89,3,0)*0.475*44/12</f>
        <v>0</v>
      </c>
      <c r="HI124" s="21">
        <f>EXP(-LN(2)/2)*HI123+(1-EXP(-LN(2)/2))/(LN(2)/2)*HC124*HF124*VLOOKUP('Données projet'!$B$18,Paramètres!$A$1:$I$89,3,0)*0.475*44/12</f>
        <v>0</v>
      </c>
      <c r="HJ124" s="22">
        <f t="shared" si="84"/>
        <v>63.078764349819728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2.3499999999999996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8.6166666666666654</v>
      </c>
      <c r="H125" s="67">
        <f t="shared" si="56"/>
        <v>222.20000000000002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68.610626063074534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5.6843418860808015E-14</v>
      </c>
      <c r="O125" s="13">
        <f>N125*VLOOKUP('Données projet'!$B$9,Paramètres!$A$1:$I$89,3,0)*VLOOKUP('Données projet'!$B$9,Paramètres!$A$1:$I$89,5,0)</f>
        <v>5.1431925385259088E-14</v>
      </c>
      <c r="P125" s="13">
        <f t="shared" si="87"/>
        <v>8.3482866290946129E-13</v>
      </c>
      <c r="Q125" s="20">
        <f t="shared" si="107"/>
        <v>1.5435705246133045E-12</v>
      </c>
      <c r="R125" s="59">
        <f t="shared" si="55"/>
        <v>288.23896223127485</v>
      </c>
      <c r="S125" s="59">
        <f ca="1">AVERAGE(OFFSET($R$3,0,0,'Données projet'!$E$9+1,1))-AVERAGE(OFFSET($H$3,0,0,'Données projet'!$E$9+1,1))</f>
        <v>473.88815717313474</v>
      </c>
      <c r="T125" s="59">
        <f t="shared" si="88"/>
        <v>287.19790203552895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179.67281974115954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179.67281974115954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68.610626063074534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5.6843418860808015E-14</v>
      </c>
      <c r="AJ125" s="13">
        <f>AI125*VLOOKUP('Données projet'!$B$10,Paramètres!$A$1:$I$89,3,0)*VLOOKUP('Données projet'!$B$10,Paramètres!$A$1:$I$89,5,0)</f>
        <v>4.7884896048344674E-14</v>
      </c>
      <c r="AK125" s="13">
        <f t="shared" si="89"/>
        <v>7.8374629847779921E-13</v>
      </c>
      <c r="AL125" s="20">
        <f t="shared" si="58"/>
        <v>1.4484243304663672E-12</v>
      </c>
      <c r="AM125" s="59">
        <f t="shared" si="59"/>
        <v>288.23896223127474</v>
      </c>
      <c r="AN125" s="59">
        <f ca="1">AVERAGE(OFFSET($AM$3,0,0,'Données projet'!$E$10+1,1))-AVERAGE(OFFSET($H$3,0,0,'Données projet'!$E$10+1,1))</f>
        <v>445.19118535527258</v>
      </c>
      <c r="AO125" s="59">
        <f t="shared" si="90"/>
        <v>270.93483242839363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167.28159079349342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167.28159079349342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68.610626063074534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5.6843418860808015E-14</v>
      </c>
      <c r="BE125" s="13">
        <f>BD125*VLOOKUP('Données projet'!$B$11,Paramètres!$A$1:$I$89,3,0)*VLOOKUP('Données projet'!$B$11,Paramètres!$A$1:$I$89,5,0)</f>
        <v>5.7639226724859328E-14</v>
      </c>
      <c r="BF125" s="13">
        <f t="shared" si="91"/>
        <v>9.2325701996134334E-13</v>
      </c>
      <c r="BG125" s="20">
        <f t="shared" si="61"/>
        <v>1.708394296311803E-12</v>
      </c>
      <c r="BH125" s="59">
        <f t="shared" si="62"/>
        <v>288.23896223127502</v>
      </c>
      <c r="BI125" s="59">
        <f ca="1">AVERAGE(OFFSET($BH$3,0,0,'Données projet'!$E$11+1,1))-AVERAGE(OFFSET($H$3,0,0,'Données projet'!$E$11+1,1))</f>
        <v>524.01140973345832</v>
      </c>
      <c r="BJ125" s="59">
        <f t="shared" si="92"/>
        <v>315.59942237999621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201.35747039957542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201.35747039957542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68.610626063074534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-2.8421709430404007E-13</v>
      </c>
      <c r="BZ125" s="13">
        <f>BY125*VLOOKUP('Données projet'!$B$12,Paramètres!$A$1:$I$89,3,0)*VLOOKUP('Données projet'!$B$12,Paramètres!$A$1:$I$89,5,0)</f>
        <v>-1.9065282685915009E-13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358.95222991910504</v>
      </c>
      <c r="CE125" s="59">
        <f t="shared" si="94"/>
        <v>347.37506646970905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61.814704646283097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61.814704646283097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68.610626063074534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-2.8421709430404007E-13</v>
      </c>
      <c r="CU125" s="17">
        <f>CT125*VLOOKUP('Données projet'!$B$13,Paramètres!$A$1:$I$89,3,0)*VLOOKUP('Données projet'!$B$13,Paramètres!$A$1:$I$89,5,0)</f>
        <v>-1.8621904018800707E-13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351.7266381615546</v>
      </c>
      <c r="CZ125" s="59">
        <f t="shared" si="96"/>
        <v>340.52483243761799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52.268880775308077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52.268880775308077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68.610626063074534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2.2737367544323206E-13</v>
      </c>
      <c r="DP125" s="17">
        <f>DO125*VLOOKUP('Données projet'!$B$14,Paramètres!$A$1:$I$89,3,0)*VLOOKUP('Données projet'!$B$14,Paramètres!$A$1:$I$89,5,0)</f>
        <v>1.9508661353029313E-13</v>
      </c>
      <c r="DQ125" s="13">
        <f t="shared" si="97"/>
        <v>2.711421636700695E-12</v>
      </c>
      <c r="DR125" s="20">
        <f t="shared" si="70"/>
        <v>5.0621685358189711E-12</v>
      </c>
      <c r="DS125" s="59">
        <f t="shared" si="71"/>
        <v>288.23896223127838</v>
      </c>
      <c r="DT125" s="59">
        <f ca="1">AVERAGE(OFFSET($DS$3,0,0,'Données projet'!$E$14+1,1))-AVERAGE(OFFSET($H$3,0,0,'Données projet'!$E$14+1,1))</f>
        <v>569.21675741362196</v>
      </c>
      <c r="DU125" s="59">
        <f t="shared" si="98"/>
        <v>321.12410801891679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257.86729245558837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257.86729245558837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68.610626063074534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-2.8421709430404007E-13</v>
      </c>
      <c r="EK125" s="17">
        <f>EJ125*VLOOKUP('Données projet'!$B$15,Paramètres!$A$1:$I$89,3,0)*VLOOKUP('Données projet'!$B$15,Paramètres!$A$1:$I$89,5,0)</f>
        <v>-2.2612312022829427E-13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416.63597645452791</v>
      </c>
      <c r="EP125" s="59">
        <f t="shared" si="100"/>
        <v>402.05920382353497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78.229670396266684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78.229670396266684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68.610626063074534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>
        <f>FE125*VLOOKUP('Données projet'!$B$16,Paramètres!$A$1:$I$89,3,0)*VLOOKUP('Données projet'!$B$16,Paramètres!$A$1:$I$89,5,0)</f>
        <v>0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395.57130469647603</v>
      </c>
      <c r="FK125" s="59">
        <f t="shared" si="102"/>
        <v>383.97542781562674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74.208831914277567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74.208831914277567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68.610626063074534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>
        <f>FZ125*VLOOKUP('Données projet'!$B$17,Paramètres!$A$1:$I$89,3,0)*VLOOKUP('Données projet'!$B$17,Paramètres!$A$1:$I$89,5,0)</f>
        <v>0</v>
      </c>
      <c r="GB125" s="13" t="e">
        <f t="shared" si="103"/>
        <v>#NUM!</v>
      </c>
      <c r="GC125" s="20" t="e">
        <f t="shared" si="79"/>
        <v>#NUM!</v>
      </c>
      <c r="GD125" s="59" t="e">
        <f t="shared" si="80"/>
        <v>#NUM!</v>
      </c>
      <c r="GE125" s="59">
        <f ca="1">AVERAGE(OFFSET($GD$3,0,0,'Données projet'!$E$17+1,1))-AVERAGE(OFFSET($H$3,0,0,'Données projet'!$E$17+1,1))</f>
        <v>301.74744407733351</v>
      </c>
      <c r="GF125" s="59">
        <f t="shared" si="104"/>
        <v>292.46787700966991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38.544074033078203</v>
      </c>
      <c r="GM125" s="21">
        <f>EXP(-LN(2)/25)*GM124+(1-EXP(-LN(2)/25))/(LN(2)/25)*Calculateur!GH125*Calculateur!GJ125*VLOOKUP('Données projet'!$B$17,Paramètres!$A$1:$I$89,3,0)*0.475*44/12</f>
        <v>0</v>
      </c>
      <c r="GN125" s="21">
        <f>EXP(-LN(2)/2)*GN124+(1-EXP(-LN(2)/2))/(LN(2)/2)*GH125*GK125*VLOOKUP('Données projet'!$B$17,Paramètres!$A$1:$I$89,3,0)*0.475*44/12</f>
        <v>0</v>
      </c>
      <c r="GO125" s="21">
        <f t="shared" si="81"/>
        <v>38.544074033078203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68.610626063074534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-2.8421709430404007E-13</v>
      </c>
      <c r="GV125" s="17">
        <f>GU125*VLOOKUP('Données projet'!$B$18,Paramètres!$A$1:$I$89,3,0)*VLOOKUP('Données projet'!$B$18,Paramètres!$A$1:$I$89,5,0)</f>
        <v>-1.6848389350343495E-13</v>
      </c>
      <c r="GW125" s="13" t="e">
        <f t="shared" si="105"/>
        <v>#NUM!</v>
      </c>
      <c r="GX125" s="20" t="e">
        <f t="shared" si="82"/>
        <v>#NUM!</v>
      </c>
      <c r="GY125" s="59" t="e">
        <f t="shared" si="83"/>
        <v>#NUM!</v>
      </c>
      <c r="GZ125" s="59">
        <f ca="1">AVERAGE(OFFSET($GY$3,0,0,'Données projet'!$E$18+1,1))-AVERAGE(OFFSET($H$3,0,0,'Données projet'!$E$18+1,1))</f>
        <v>322.78672881269978</v>
      </c>
      <c r="HA125" s="59">
        <f t="shared" si="106"/>
        <v>313.08736327626434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61.841828255167002</v>
      </c>
      <c r="HH125" s="21">
        <f>EXP(-LN(2)/25)*HH124+(1-EXP(-LN(2)/25))/(LN(2)/25)*Calculateur!HC125*Calculateur!HE125*VLOOKUP('Données projet'!$B$18,Paramètres!$A$1:$I$89,3,0)*0.475*44/12</f>
        <v>0</v>
      </c>
      <c r="HI125" s="21">
        <f>EXP(-LN(2)/2)*HI124+(1-EXP(-LN(2)/2))/(LN(2)/2)*HC125*HF125*VLOOKUP('Données projet'!$B$18,Paramètres!$A$1:$I$89,3,0)*0.475*44/12</f>
        <v>0</v>
      </c>
      <c r="HJ125" s="22">
        <f t="shared" si="84"/>
        <v>61.841828255167002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2.3499999999999996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8.6166666666666654</v>
      </c>
      <c r="H126" s="67">
        <f t="shared" si="56"/>
        <v>222.20000000000002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68.634728594705408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5.6843418860808015E-14</v>
      </c>
      <c r="O126" s="13">
        <f>N126*VLOOKUP('Données projet'!$B$9,Paramètres!$A$1:$I$89,3,0)*VLOOKUP('Données projet'!$B$9,Paramètres!$A$1:$I$89,5,0)</f>
        <v>5.1431925385259088E-14</v>
      </c>
      <c r="P126" s="13">
        <f t="shared" si="87"/>
        <v>8.3482866290946129E-13</v>
      </c>
      <c r="Q126" s="20">
        <f t="shared" si="107"/>
        <v>1.5435705246133045E-12</v>
      </c>
      <c r="R126" s="59">
        <f t="shared" si="55"/>
        <v>288.32733818058801</v>
      </c>
      <c r="S126" s="59">
        <f ca="1">AVERAGE(OFFSET($R$3,0,0,'Données projet'!$E$9+1,1))-AVERAGE(OFFSET($H$3,0,0,'Données projet'!$E$9+1,1))</f>
        <v>473.88815717313474</v>
      </c>
      <c r="T126" s="59">
        <f t="shared" si="88"/>
        <v>287.19790203552895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176.14954533563437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176.14954533563437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68.634728594705408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5.6843418860808015E-14</v>
      </c>
      <c r="AJ126" s="13">
        <f>AI126*VLOOKUP('Données projet'!$B$10,Paramètres!$A$1:$I$89,3,0)*VLOOKUP('Données projet'!$B$10,Paramètres!$A$1:$I$89,5,0)</f>
        <v>4.7884896048344674E-14</v>
      </c>
      <c r="AK126" s="13">
        <f t="shared" si="89"/>
        <v>7.8374629847779921E-13</v>
      </c>
      <c r="AL126" s="20">
        <f t="shared" si="58"/>
        <v>1.4484243304663672E-12</v>
      </c>
      <c r="AM126" s="59">
        <f t="shared" si="59"/>
        <v>288.3273381805879</v>
      </c>
      <c r="AN126" s="59">
        <f ca="1">AVERAGE(OFFSET($AM$3,0,0,'Données projet'!$E$10+1,1))-AVERAGE(OFFSET($H$3,0,0,'Données projet'!$E$10+1,1))</f>
        <v>445.19118535527258</v>
      </c>
      <c r="AO126" s="59">
        <f t="shared" si="90"/>
        <v>270.93483242839363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164.00130082972862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164.00130082972862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68.634728594705408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5.6843418860808015E-14</v>
      </c>
      <c r="BE126" s="13">
        <f>BD126*VLOOKUP('Données projet'!$B$11,Paramètres!$A$1:$I$89,3,0)*VLOOKUP('Données projet'!$B$11,Paramètres!$A$1:$I$89,5,0)</f>
        <v>5.7639226724859328E-14</v>
      </c>
      <c r="BF126" s="13">
        <f t="shared" si="91"/>
        <v>9.2325701996134334E-13</v>
      </c>
      <c r="BG126" s="20">
        <f t="shared" si="61"/>
        <v>1.708394296311803E-12</v>
      </c>
      <c r="BH126" s="59">
        <f t="shared" si="62"/>
        <v>288.32733818058819</v>
      </c>
      <c r="BI126" s="59">
        <f ca="1">AVERAGE(OFFSET($BH$3,0,0,'Données projet'!$E$11+1,1))-AVERAGE(OFFSET($H$3,0,0,'Données projet'!$E$11+1,1))</f>
        <v>524.01140973345832</v>
      </c>
      <c r="BJ126" s="59">
        <f t="shared" si="92"/>
        <v>315.59942237999621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197.40897322096961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197.40897322096961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68.634728594705408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-2.8421709430404007E-13</v>
      </c>
      <c r="BZ126" s="13">
        <f>BY126*VLOOKUP('Données projet'!$B$12,Paramètres!$A$1:$I$89,3,0)*VLOOKUP('Données projet'!$B$12,Paramètres!$A$1:$I$89,5,0)</f>
        <v>-1.9065282685915009E-13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358.95222991910504</v>
      </c>
      <c r="CE126" s="59">
        <f t="shared" si="94"/>
        <v>347.37506646970905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60.60255599141643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60.60255599141643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68.634728594705408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-2.8421709430404007E-13</v>
      </c>
      <c r="CU126" s="17">
        <f>CT126*VLOOKUP('Données projet'!$B$13,Paramètres!$A$1:$I$89,3,0)*VLOOKUP('Données projet'!$B$13,Paramètres!$A$1:$I$89,5,0)</f>
        <v>-1.8621904018800707E-13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351.7266381615546</v>
      </c>
      <c r="CZ126" s="59">
        <f t="shared" si="96"/>
        <v>340.52483243761799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51.24391990417358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51.24391990417358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68.634728594705408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2.2737367544323206E-13</v>
      </c>
      <c r="DP126" s="17">
        <f>DO126*VLOOKUP('Données projet'!$B$14,Paramètres!$A$1:$I$89,3,0)*VLOOKUP('Données projet'!$B$14,Paramètres!$A$1:$I$89,5,0)</f>
        <v>1.9508661353029313E-13</v>
      </c>
      <c r="DQ126" s="13">
        <f t="shared" si="97"/>
        <v>2.711421636700695E-12</v>
      </c>
      <c r="DR126" s="20">
        <f t="shared" si="70"/>
        <v>5.0621685358189711E-12</v>
      </c>
      <c r="DS126" s="59">
        <f t="shared" si="71"/>
        <v>288.32733818059154</v>
      </c>
      <c r="DT126" s="59">
        <f ca="1">AVERAGE(OFFSET($DS$3,0,0,'Données projet'!$E$14+1,1))-AVERAGE(OFFSET($H$3,0,0,'Données projet'!$E$14+1,1))</f>
        <v>569.21675741362196</v>
      </c>
      <c r="DU126" s="59">
        <f t="shared" si="98"/>
        <v>321.12410801891679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252.81067213405223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252.81067213405223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68.634728594705408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-2.8421709430404007E-13</v>
      </c>
      <c r="EK126" s="17">
        <f>EJ126*VLOOKUP('Données projet'!$B$15,Paramètres!$A$1:$I$89,3,0)*VLOOKUP('Données projet'!$B$15,Paramètres!$A$1:$I$89,5,0)</f>
        <v>-2.2612312022829427E-13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416.63597645452791</v>
      </c>
      <c r="EP126" s="59">
        <f t="shared" si="100"/>
        <v>402.05920382353497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76.695634275183338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76.695634275183338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68.634728594705408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>
        <f>FE126*VLOOKUP('Données projet'!$B$16,Paramètres!$A$1:$I$89,3,0)*VLOOKUP('Données projet'!$B$16,Paramètres!$A$1:$I$89,5,0)</f>
        <v>0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395.57130469647603</v>
      </c>
      <c r="FK126" s="59">
        <f t="shared" si="102"/>
        <v>383.97542781562674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72.753641983356715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72.753641983356715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68.634728594705408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>
        <f>FZ126*VLOOKUP('Données projet'!$B$17,Paramètres!$A$1:$I$89,3,0)*VLOOKUP('Données projet'!$B$17,Paramètres!$A$1:$I$89,5,0)</f>
        <v>0</v>
      </c>
      <c r="GB126" s="13" t="e">
        <f t="shared" si="103"/>
        <v>#NUM!</v>
      </c>
      <c r="GC126" s="20" t="e">
        <f t="shared" si="79"/>
        <v>#NUM!</v>
      </c>
      <c r="GD126" s="59" t="e">
        <f t="shared" si="80"/>
        <v>#NUM!</v>
      </c>
      <c r="GE126" s="59">
        <f ca="1">AVERAGE(OFFSET($GD$3,0,0,'Données projet'!$E$17+1,1))-AVERAGE(OFFSET($H$3,0,0,'Données projet'!$E$17+1,1))</f>
        <v>301.74744407733351</v>
      </c>
      <c r="GF126" s="59">
        <f t="shared" si="104"/>
        <v>292.46787700966991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37.788248250853322</v>
      </c>
      <c r="GM126" s="21">
        <f>EXP(-LN(2)/25)*GM125+(1-EXP(-LN(2)/25))/(LN(2)/25)*Calculateur!GH126*Calculateur!GJ126*VLOOKUP('Données projet'!$B$17,Paramètres!$A$1:$I$89,3,0)*0.475*44/12</f>
        <v>0</v>
      </c>
      <c r="GN126" s="21">
        <f>EXP(-LN(2)/2)*GN125+(1-EXP(-LN(2)/2))/(LN(2)/2)*GH126*GK126*VLOOKUP('Données projet'!$B$17,Paramètres!$A$1:$I$89,3,0)*0.475*44/12</f>
        <v>0</v>
      </c>
      <c r="GO126" s="21">
        <f t="shared" si="81"/>
        <v>37.788248250853322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68.634728594705408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-2.8421709430404007E-13</v>
      </c>
      <c r="GV126" s="17">
        <f>GU126*VLOOKUP('Données projet'!$B$18,Paramètres!$A$1:$I$89,3,0)*VLOOKUP('Données projet'!$B$18,Paramètres!$A$1:$I$89,5,0)</f>
        <v>-1.6848389350343495E-13</v>
      </c>
      <c r="GW126" s="13" t="e">
        <f t="shared" si="105"/>
        <v>#NUM!</v>
      </c>
      <c r="GX126" s="20" t="e">
        <f t="shared" si="82"/>
        <v>#NUM!</v>
      </c>
      <c r="GY126" s="59" t="e">
        <f t="shared" si="83"/>
        <v>#NUM!</v>
      </c>
      <c r="GZ126" s="59">
        <f ca="1">AVERAGE(OFFSET($GY$3,0,0,'Données projet'!$E$18+1,1))-AVERAGE(OFFSET($H$3,0,0,'Données projet'!$E$18+1,1))</f>
        <v>322.78672881269978</v>
      </c>
      <c r="HA126" s="59">
        <f t="shared" si="106"/>
        <v>313.08736327626434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60.629147722873896</v>
      </c>
      <c r="HH126" s="21">
        <f>EXP(-LN(2)/25)*HH125+(1-EXP(-LN(2)/25))/(LN(2)/25)*Calculateur!HC126*Calculateur!HE126*VLOOKUP('Données projet'!$B$18,Paramètres!$A$1:$I$89,3,0)*0.475*44/12</f>
        <v>0</v>
      </c>
      <c r="HI126" s="21">
        <f>EXP(-LN(2)/2)*HI125+(1-EXP(-LN(2)/2))/(LN(2)/2)*HC126*HF126*VLOOKUP('Données projet'!$B$18,Paramètres!$A$1:$I$89,3,0)*0.475*44/12</f>
        <v>0</v>
      </c>
      <c r="HJ126" s="22">
        <f t="shared" si="84"/>
        <v>60.629147722873896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2.3499999999999996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8.6166666666666654</v>
      </c>
      <c r="H127" s="67">
        <f t="shared" si="56"/>
        <v>222.20000000000002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68.658413001297674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5.6843418860808015E-14</v>
      </c>
      <c r="O127" s="13">
        <f>N127*VLOOKUP('Données projet'!$B$9,Paramètres!$A$1:$I$89,3,0)*VLOOKUP('Données projet'!$B$9,Paramètres!$A$1:$I$89,5,0)</f>
        <v>5.1431925385259088E-14</v>
      </c>
      <c r="P127" s="13">
        <f t="shared" si="87"/>
        <v>8.3482866290946129E-13</v>
      </c>
      <c r="Q127" s="20">
        <f t="shared" si="107"/>
        <v>1.5435705246133045E-12</v>
      </c>
      <c r="R127" s="59">
        <f t="shared" si="55"/>
        <v>288.41418100475966</v>
      </c>
      <c r="S127" s="59">
        <f ca="1">AVERAGE(OFFSET($R$3,0,0,'Données projet'!$E$9+1,1))-AVERAGE(OFFSET($H$3,0,0,'Données projet'!$E$9+1,1))</f>
        <v>473.88815717313474</v>
      </c>
      <c r="T127" s="59">
        <f t="shared" si="88"/>
        <v>287.19790203552895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172.69536019221636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172.69536019221636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68.658413001297674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5.6843418860808015E-14</v>
      </c>
      <c r="AJ127" s="13">
        <f>AI127*VLOOKUP('Données projet'!$B$10,Paramètres!$A$1:$I$89,3,0)*VLOOKUP('Données projet'!$B$10,Paramètres!$A$1:$I$89,5,0)</f>
        <v>4.7884896048344674E-14</v>
      </c>
      <c r="AK127" s="13">
        <f t="shared" si="89"/>
        <v>7.8374629847779921E-13</v>
      </c>
      <c r="AL127" s="20">
        <f t="shared" si="58"/>
        <v>1.4484243304663672E-12</v>
      </c>
      <c r="AM127" s="59">
        <f t="shared" si="59"/>
        <v>288.41418100475954</v>
      </c>
      <c r="AN127" s="59">
        <f ca="1">AVERAGE(OFFSET($AM$3,0,0,'Données projet'!$E$10+1,1))-AVERAGE(OFFSET($H$3,0,0,'Données projet'!$E$10+1,1))</f>
        <v>445.19118535527258</v>
      </c>
      <c r="AO127" s="59">
        <f t="shared" si="90"/>
        <v>270.93483242839363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160.7853353513739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160.7853353513739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68.658413001297674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5.6843418860808015E-14</v>
      </c>
      <c r="BE127" s="13">
        <f>BD127*VLOOKUP('Données projet'!$B$11,Paramètres!$A$1:$I$89,3,0)*VLOOKUP('Données projet'!$B$11,Paramètres!$A$1:$I$89,5,0)</f>
        <v>5.7639226724859328E-14</v>
      </c>
      <c r="BF127" s="13">
        <f t="shared" si="91"/>
        <v>9.2325701996134334E-13</v>
      </c>
      <c r="BG127" s="20">
        <f t="shared" si="61"/>
        <v>1.708394296311803E-12</v>
      </c>
      <c r="BH127" s="59">
        <f t="shared" si="62"/>
        <v>288.41418100475983</v>
      </c>
      <c r="BI127" s="59">
        <f ca="1">AVERAGE(OFFSET($BH$3,0,0,'Données projet'!$E$11+1,1))-AVERAGE(OFFSET($H$3,0,0,'Données projet'!$E$11+1,1))</f>
        <v>524.01140973345832</v>
      </c>
      <c r="BJ127" s="59">
        <f t="shared" si="92"/>
        <v>315.59942237999621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193.5379036636908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193.5379036636908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68.658413001297674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-2.8421709430404007E-13</v>
      </c>
      <c r="BZ127" s="13">
        <f>BY127*VLOOKUP('Données projet'!$B$12,Paramètres!$A$1:$I$89,3,0)*VLOOKUP('Données projet'!$B$12,Paramètres!$A$1:$I$89,5,0)</f>
        <v>-1.9065282685915009E-13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358.95222991910504</v>
      </c>
      <c r="CE127" s="59">
        <f t="shared" si="94"/>
        <v>347.37506646970905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59.414176832334029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59.414176832334029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68.658413001297674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-2.8421709430404007E-13</v>
      </c>
      <c r="CU127" s="17">
        <f>CT127*VLOOKUP('Données projet'!$B$13,Paramètres!$A$1:$I$89,3,0)*VLOOKUP('Données projet'!$B$13,Paramètres!$A$1:$I$89,5,0)</f>
        <v>-1.8621904018800707E-13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351.7266381615546</v>
      </c>
      <c r="CZ127" s="59">
        <f t="shared" si="96"/>
        <v>340.52483243761799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50.239057890557632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50.239057890557632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68.658413001297674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2.2737367544323206E-13</v>
      </c>
      <c r="DP127" s="17">
        <f>DO127*VLOOKUP('Données projet'!$B$14,Paramètres!$A$1:$I$89,3,0)*VLOOKUP('Données projet'!$B$14,Paramètres!$A$1:$I$89,5,0)</f>
        <v>1.9508661353029313E-13</v>
      </c>
      <c r="DQ127" s="13">
        <f t="shared" si="97"/>
        <v>2.711421636700695E-12</v>
      </c>
      <c r="DR127" s="20">
        <f t="shared" si="70"/>
        <v>5.0621685358189711E-12</v>
      </c>
      <c r="DS127" s="59">
        <f t="shared" si="71"/>
        <v>288.41418100476318</v>
      </c>
      <c r="DT127" s="59">
        <f ca="1">AVERAGE(OFFSET($DS$3,0,0,'Données projet'!$E$14+1,1))-AVERAGE(OFFSET($H$3,0,0,'Données projet'!$E$14+1,1))</f>
        <v>569.21675741362196</v>
      </c>
      <c r="DU127" s="59">
        <f t="shared" si="98"/>
        <v>321.12410801891679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247.85320905278755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247.85320905278755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68.658413001297674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-2.8421709430404007E-13</v>
      </c>
      <c r="EK127" s="17">
        <f>EJ127*VLOOKUP('Données projet'!$B$15,Paramètres!$A$1:$I$89,3,0)*VLOOKUP('Données projet'!$B$15,Paramètres!$A$1:$I$89,5,0)</f>
        <v>-2.2612312022829427E-13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416.63597645452791</v>
      </c>
      <c r="EP127" s="59">
        <f t="shared" si="100"/>
        <v>402.05920382353497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75.191679666764784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75.191679666764784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68.658413001297674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>
        <f>FE127*VLOOKUP('Données projet'!$B$16,Paramètres!$A$1:$I$89,3,0)*VLOOKUP('Données projet'!$B$16,Paramètres!$A$1:$I$89,5,0)</f>
        <v>0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395.57130469647603</v>
      </c>
      <c r="FK127" s="59">
        <f t="shared" si="102"/>
        <v>383.97542781562674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71.326987439402998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71.326987439402998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68.658413001297674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>
        <f>FZ127*VLOOKUP('Données projet'!$B$17,Paramètres!$A$1:$I$89,3,0)*VLOOKUP('Données projet'!$B$17,Paramètres!$A$1:$I$89,5,0)</f>
        <v>0</v>
      </c>
      <c r="GB127" s="13" t="e">
        <f t="shared" si="103"/>
        <v>#NUM!</v>
      </c>
      <c r="GC127" s="20" t="e">
        <f t="shared" si="79"/>
        <v>#NUM!</v>
      </c>
      <c r="GD127" s="59" t="e">
        <f t="shared" si="80"/>
        <v>#NUM!</v>
      </c>
      <c r="GE127" s="59">
        <f ca="1">AVERAGE(OFFSET($GD$3,0,0,'Données projet'!$E$17+1,1))-AVERAGE(OFFSET($H$3,0,0,'Données projet'!$E$17+1,1))</f>
        <v>301.74744407733351</v>
      </c>
      <c r="GF127" s="59">
        <f t="shared" si="104"/>
        <v>292.46787700966991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37.047243751209663</v>
      </c>
      <c r="GM127" s="21">
        <f>EXP(-LN(2)/25)*GM126+(1-EXP(-LN(2)/25))/(LN(2)/25)*Calculateur!GH127*Calculateur!GJ127*VLOOKUP('Données projet'!$B$17,Paramètres!$A$1:$I$89,3,0)*0.475*44/12</f>
        <v>0</v>
      </c>
      <c r="GN127" s="21">
        <f>EXP(-LN(2)/2)*GN126+(1-EXP(-LN(2)/2))/(LN(2)/2)*GH127*GK127*VLOOKUP('Données projet'!$B$17,Paramètres!$A$1:$I$89,3,0)*0.475*44/12</f>
        <v>0</v>
      </c>
      <c r="GO127" s="21">
        <f t="shared" si="81"/>
        <v>37.047243751209663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68.658413001297674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-2.8421709430404007E-13</v>
      </c>
      <c r="GV127" s="17">
        <f>GU127*VLOOKUP('Données projet'!$B$18,Paramètres!$A$1:$I$89,3,0)*VLOOKUP('Données projet'!$B$18,Paramètres!$A$1:$I$89,5,0)</f>
        <v>-1.6848389350343495E-13</v>
      </c>
      <c r="GW127" s="13" t="e">
        <f t="shared" si="105"/>
        <v>#NUM!</v>
      </c>
      <c r="GX127" s="20" t="e">
        <f t="shared" si="82"/>
        <v>#NUM!</v>
      </c>
      <c r="GY127" s="59" t="e">
        <f t="shared" si="83"/>
        <v>#NUM!</v>
      </c>
      <c r="GZ127" s="59">
        <f ca="1">AVERAGE(OFFSET($GY$3,0,0,'Données projet'!$E$18+1,1))-AVERAGE(OFFSET($H$3,0,0,'Données projet'!$E$18+1,1))</f>
        <v>322.78672881269978</v>
      </c>
      <c r="HA127" s="59">
        <f t="shared" si="106"/>
        <v>313.08736327626434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59.440247116156968</v>
      </c>
      <c r="HH127" s="21">
        <f>EXP(-LN(2)/25)*HH126+(1-EXP(-LN(2)/25))/(LN(2)/25)*Calculateur!HC127*Calculateur!HE127*VLOOKUP('Données projet'!$B$18,Paramètres!$A$1:$I$89,3,0)*0.475*44/12</f>
        <v>0</v>
      </c>
      <c r="HI127" s="21">
        <f>EXP(-LN(2)/2)*HI126+(1-EXP(-LN(2)/2))/(LN(2)/2)*HC127*HF127*VLOOKUP('Données projet'!$B$18,Paramètres!$A$1:$I$89,3,0)*0.475*44/12</f>
        <v>0</v>
      </c>
      <c r="HJ127" s="22">
        <f t="shared" si="84"/>
        <v>59.440247116156968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2.3499999999999996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8.6166666666666654</v>
      </c>
      <c r="H128" s="67">
        <f t="shared" si="56"/>
        <v>222.20000000000002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68.681686536385968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5.6843418860808015E-14</v>
      </c>
      <c r="O128" s="13">
        <f>N128*VLOOKUP('Données projet'!$B$9,Paramètres!$A$1:$I$89,3,0)*VLOOKUP('Données projet'!$B$9,Paramètres!$A$1:$I$89,5,0)</f>
        <v>5.1431925385259088E-14</v>
      </c>
      <c r="P128" s="13">
        <f t="shared" si="87"/>
        <v>8.3482866290946129E-13</v>
      </c>
      <c r="Q128" s="20">
        <f t="shared" si="107"/>
        <v>1.5435705246133045E-12</v>
      </c>
      <c r="R128" s="59">
        <f t="shared" si="55"/>
        <v>288.49951730008343</v>
      </c>
      <c r="S128" s="59">
        <f ca="1">AVERAGE(OFFSET($R$3,0,0,'Données projet'!$E$9+1,1))-AVERAGE(OFFSET($H$3,0,0,'Données projet'!$E$9+1,1))</f>
        <v>473.88815717313474</v>
      </c>
      <c r="T128" s="59">
        <f t="shared" si="88"/>
        <v>287.19790203552895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169.30890951261586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169.30890951261586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68.681686536385968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5.6843418860808015E-14</v>
      </c>
      <c r="AJ128" s="13">
        <f>AI128*VLOOKUP('Données projet'!$B$10,Paramètres!$A$1:$I$89,3,0)*VLOOKUP('Données projet'!$B$10,Paramètres!$A$1:$I$89,5,0)</f>
        <v>4.7884896048344674E-14</v>
      </c>
      <c r="AK128" s="13">
        <f t="shared" si="89"/>
        <v>7.8374629847779921E-13</v>
      </c>
      <c r="AL128" s="20">
        <f t="shared" si="58"/>
        <v>1.4484243304663672E-12</v>
      </c>
      <c r="AM128" s="59">
        <f t="shared" si="59"/>
        <v>288.49951730008331</v>
      </c>
      <c r="AN128" s="59">
        <f ca="1">AVERAGE(OFFSET($AM$3,0,0,'Données projet'!$E$10+1,1))-AVERAGE(OFFSET($H$3,0,0,'Données projet'!$E$10+1,1))</f>
        <v>445.19118535527258</v>
      </c>
      <c r="AO128" s="59">
        <f t="shared" si="90"/>
        <v>270.93483242839363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157.63243299450448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157.63243299450448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68.681686536385968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5.6843418860808015E-14</v>
      </c>
      <c r="BE128" s="13">
        <f>BD128*VLOOKUP('Données projet'!$B$11,Paramètres!$A$1:$I$89,3,0)*VLOOKUP('Données projet'!$B$11,Paramètres!$A$1:$I$89,5,0)</f>
        <v>5.7639226724859328E-14</v>
      </c>
      <c r="BF128" s="13">
        <f t="shared" si="91"/>
        <v>9.2325701996134334E-13</v>
      </c>
      <c r="BG128" s="20">
        <f t="shared" si="61"/>
        <v>1.708394296311803E-12</v>
      </c>
      <c r="BH128" s="59">
        <f t="shared" si="62"/>
        <v>288.4995173000836</v>
      </c>
      <c r="BI128" s="59">
        <f ca="1">AVERAGE(OFFSET($BH$3,0,0,'Données projet'!$E$11+1,1))-AVERAGE(OFFSET($H$3,0,0,'Données projet'!$E$11+1,1))</f>
        <v>524.01140973345832</v>
      </c>
      <c r="BJ128" s="59">
        <f t="shared" si="92"/>
        <v>315.59942237999621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189.74274341931093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189.74274341931093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68.681686536385968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-2.8421709430404007E-13</v>
      </c>
      <c r="BZ128" s="13">
        <f>BY128*VLOOKUP('Données projet'!$B$12,Paramètres!$A$1:$I$89,3,0)*VLOOKUP('Données projet'!$B$12,Paramètres!$A$1:$I$89,5,0)</f>
        <v>-1.9065282685915009E-13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358.95222991910504</v>
      </c>
      <c r="CE128" s="59">
        <f t="shared" si="94"/>
        <v>347.37506646970905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58.249101063721518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58.249101063721518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68.681686536385968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-2.8421709430404007E-13</v>
      </c>
      <c r="CU128" s="17">
        <f>CT128*VLOOKUP('Données projet'!$B$13,Paramètres!$A$1:$I$89,3,0)*VLOOKUP('Données projet'!$B$13,Paramètres!$A$1:$I$89,5,0)</f>
        <v>-1.8621904018800707E-13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351.7266381615546</v>
      </c>
      <c r="CZ128" s="59">
        <f t="shared" si="96"/>
        <v>340.52483243761799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49.253900608123388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49.253900608123388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68.681686536385968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2.2737367544323206E-13</v>
      </c>
      <c r="DP128" s="17">
        <f>DO128*VLOOKUP('Données projet'!$B$14,Paramètres!$A$1:$I$89,3,0)*VLOOKUP('Données projet'!$B$14,Paramètres!$A$1:$I$89,5,0)</f>
        <v>1.9508661353029313E-13</v>
      </c>
      <c r="DQ128" s="13">
        <f t="shared" si="97"/>
        <v>2.711421636700695E-12</v>
      </c>
      <c r="DR128" s="20">
        <f t="shared" si="70"/>
        <v>5.0621685358189711E-12</v>
      </c>
      <c r="DS128" s="59">
        <f t="shared" si="71"/>
        <v>288.49951730008695</v>
      </c>
      <c r="DT128" s="59">
        <f ca="1">AVERAGE(OFFSET($DS$3,0,0,'Données projet'!$E$14+1,1))-AVERAGE(OFFSET($H$3,0,0,'Données projet'!$E$14+1,1))</f>
        <v>569.21675741362196</v>
      </c>
      <c r="DU128" s="59">
        <f t="shared" si="98"/>
        <v>321.12410801891679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242.99295879879256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242.99295879879256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68.681686536385968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-2.8421709430404007E-13</v>
      </c>
      <c r="EK128" s="17">
        <f>EJ128*VLOOKUP('Données projet'!$B$15,Paramètres!$A$1:$I$89,3,0)*VLOOKUP('Données projet'!$B$15,Paramètres!$A$1:$I$89,5,0)</f>
        <v>-2.2612312022829427E-13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416.63597645452791</v>
      </c>
      <c r="EP128" s="59">
        <f t="shared" si="100"/>
        <v>402.05920382353497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73.717216690895583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73.717216690895583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68.681686536385968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>
        <f>FE128*VLOOKUP('Données projet'!$B$16,Paramètres!$A$1:$I$89,3,0)*VLOOKUP('Données projet'!$B$16,Paramètres!$A$1:$I$89,5,0)</f>
        <v>0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395.57130469647603</v>
      </c>
      <c r="FK128" s="59">
        <f t="shared" si="102"/>
        <v>383.97542781562674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69.928308720882868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69.928308720882868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68.681686536385968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>
        <f>FZ128*VLOOKUP('Données projet'!$B$17,Paramètres!$A$1:$I$89,3,0)*VLOOKUP('Données projet'!$B$17,Paramètres!$A$1:$I$89,5,0)</f>
        <v>0</v>
      </c>
      <c r="GB128" s="13" t="e">
        <f t="shared" si="103"/>
        <v>#NUM!</v>
      </c>
      <c r="GC128" s="20" t="e">
        <f t="shared" si="79"/>
        <v>#NUM!</v>
      </c>
      <c r="GD128" s="59" t="e">
        <f t="shared" si="80"/>
        <v>#NUM!</v>
      </c>
      <c r="GE128" s="59">
        <f ca="1">AVERAGE(OFFSET($GD$3,0,0,'Données projet'!$E$17+1,1))-AVERAGE(OFFSET($H$3,0,0,'Données projet'!$E$17+1,1))</f>
        <v>301.74744407733351</v>
      </c>
      <c r="GF128" s="59">
        <f t="shared" si="104"/>
        <v>292.46787700966991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36.320769897835902</v>
      </c>
      <c r="GM128" s="21">
        <f>EXP(-LN(2)/25)*GM127+(1-EXP(-LN(2)/25))/(LN(2)/25)*Calculateur!GH128*Calculateur!GJ128*VLOOKUP('Données projet'!$B$17,Paramètres!$A$1:$I$89,3,0)*0.475*44/12</f>
        <v>0</v>
      </c>
      <c r="GN128" s="21">
        <f>EXP(-LN(2)/2)*GN127+(1-EXP(-LN(2)/2))/(LN(2)/2)*GH128*GK128*VLOOKUP('Données projet'!$B$17,Paramètres!$A$1:$I$89,3,0)*0.475*44/12</f>
        <v>0</v>
      </c>
      <c r="GO128" s="21">
        <f t="shared" si="81"/>
        <v>36.320769897835902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68.681686536385968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-2.8421709430404007E-13</v>
      </c>
      <c r="GV128" s="17">
        <f>GU128*VLOOKUP('Données projet'!$B$18,Paramètres!$A$1:$I$89,3,0)*VLOOKUP('Données projet'!$B$18,Paramètres!$A$1:$I$89,5,0)</f>
        <v>-1.6848389350343495E-13</v>
      </c>
      <c r="GW128" s="13" t="e">
        <f t="shared" si="105"/>
        <v>#NUM!</v>
      </c>
      <c r="GX128" s="20" t="e">
        <f t="shared" si="82"/>
        <v>#NUM!</v>
      </c>
      <c r="GY128" s="59" t="e">
        <f t="shared" si="83"/>
        <v>#NUM!</v>
      </c>
      <c r="GZ128" s="59">
        <f ca="1">AVERAGE(OFFSET($GY$3,0,0,'Données projet'!$E$18+1,1))-AVERAGE(OFFSET($H$3,0,0,'Données projet'!$E$18+1,1))</f>
        <v>322.78672881269978</v>
      </c>
      <c r="HA128" s="59">
        <f t="shared" si="106"/>
        <v>313.08736327626434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58.274660125179992</v>
      </c>
      <c r="HH128" s="21">
        <f>EXP(-LN(2)/25)*HH127+(1-EXP(-LN(2)/25))/(LN(2)/25)*Calculateur!HC128*Calculateur!HE128*VLOOKUP('Données projet'!$B$18,Paramètres!$A$1:$I$89,3,0)*0.475*44/12</f>
        <v>0</v>
      </c>
      <c r="HI128" s="21">
        <f>EXP(-LN(2)/2)*HI127+(1-EXP(-LN(2)/2))/(LN(2)/2)*HC128*HF128*VLOOKUP('Données projet'!$B$18,Paramètres!$A$1:$I$89,3,0)*0.475*44/12</f>
        <v>0</v>
      </c>
      <c r="HJ128" s="22">
        <f t="shared" si="84"/>
        <v>58.274660125179992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2.3499999999999996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8.6166666666666654</v>
      </c>
      <c r="H129" s="67">
        <f t="shared" si="56"/>
        <v>222.20000000000002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68.704556327672293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5.6843418860808015E-14</v>
      </c>
      <c r="O129" s="13">
        <f>N129*VLOOKUP('Données projet'!$B$9,Paramètres!$A$1:$I$89,3,0)*VLOOKUP('Données projet'!$B$9,Paramètres!$A$1:$I$89,5,0)</f>
        <v>5.1431925385259088E-14</v>
      </c>
      <c r="P129" s="13">
        <f t="shared" si="87"/>
        <v>8.3482866290946129E-13</v>
      </c>
      <c r="Q129" s="20">
        <f t="shared" si="107"/>
        <v>1.5435705246133045E-12</v>
      </c>
      <c r="R129" s="59">
        <f t="shared" si="55"/>
        <v>288.5833732014666</v>
      </c>
      <c r="S129" s="59">
        <f ca="1">AVERAGE(OFFSET($R$3,0,0,'Données projet'!$E$9+1,1))-AVERAGE(OFFSET($H$3,0,0,'Données projet'!$E$9+1,1))</f>
        <v>473.88815717313474</v>
      </c>
      <c r="T129" s="59">
        <f t="shared" si="88"/>
        <v>287.19790203552895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165.98886506531136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165.98886506531136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68.704556327672293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5.6843418860808015E-14</v>
      </c>
      <c r="AJ129" s="13">
        <f>AI129*VLOOKUP('Données projet'!$B$10,Paramètres!$A$1:$I$89,3,0)*VLOOKUP('Données projet'!$B$10,Paramètres!$A$1:$I$89,5,0)</f>
        <v>4.7884896048344674E-14</v>
      </c>
      <c r="AK129" s="13">
        <f t="shared" si="89"/>
        <v>7.8374629847779921E-13</v>
      </c>
      <c r="AL129" s="20">
        <f t="shared" si="58"/>
        <v>1.4484243304663672E-12</v>
      </c>
      <c r="AM129" s="59">
        <f t="shared" si="59"/>
        <v>288.58337320146649</v>
      </c>
      <c r="AN129" s="59">
        <f ca="1">AVERAGE(OFFSET($AM$3,0,0,'Données projet'!$E$10+1,1))-AVERAGE(OFFSET($H$3,0,0,'Données projet'!$E$10+1,1))</f>
        <v>445.19118535527258</v>
      </c>
      <c r="AO129" s="59">
        <f t="shared" si="90"/>
        <v>270.93483242839363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154.54135712977271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154.54135712977271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68.704556327672293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5.6843418860808015E-14</v>
      </c>
      <c r="BE129" s="13">
        <f>BD129*VLOOKUP('Données projet'!$B$11,Paramètres!$A$1:$I$89,3,0)*VLOOKUP('Données projet'!$B$11,Paramètres!$A$1:$I$89,5,0)</f>
        <v>5.7639226724859328E-14</v>
      </c>
      <c r="BF129" s="13">
        <f t="shared" si="91"/>
        <v>9.2325701996134334E-13</v>
      </c>
      <c r="BG129" s="20">
        <f t="shared" si="61"/>
        <v>1.708394296311803E-12</v>
      </c>
      <c r="BH129" s="59">
        <f t="shared" si="62"/>
        <v>288.58337320146677</v>
      </c>
      <c r="BI129" s="59">
        <f ca="1">AVERAGE(OFFSET($BH$3,0,0,'Données projet'!$E$11+1,1))-AVERAGE(OFFSET($H$3,0,0,'Données projet'!$E$11+1,1))</f>
        <v>524.01140973345832</v>
      </c>
      <c r="BJ129" s="59">
        <f t="shared" si="92"/>
        <v>315.59942237999621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186.02200395250418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186.02200395250418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68.704556327672293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-2.8421709430404007E-13</v>
      </c>
      <c r="BZ129" s="13">
        <f>BY129*VLOOKUP('Données projet'!$B$12,Paramètres!$A$1:$I$89,3,0)*VLOOKUP('Données projet'!$B$12,Paramètres!$A$1:$I$89,5,0)</f>
        <v>-1.9065282685915009E-13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358.95222991910504</v>
      </c>
      <c r="CE129" s="59">
        <f t="shared" si="94"/>
        <v>347.37506646970905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57.106871720305449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57.106871720305449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68.704556327672293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-2.8421709430404007E-13</v>
      </c>
      <c r="CU129" s="17">
        <f>CT129*VLOOKUP('Données projet'!$B$13,Paramètres!$A$1:$I$89,3,0)*VLOOKUP('Données projet'!$B$13,Paramètres!$A$1:$I$89,5,0)</f>
        <v>-1.8621904018800707E-13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351.7266381615546</v>
      </c>
      <c r="CZ129" s="59">
        <f t="shared" si="96"/>
        <v>340.52483243761799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48.288061659111065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48.288061659111065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68.704556327672293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2.2737367544323206E-13</v>
      </c>
      <c r="DP129" s="17">
        <f>DO129*VLOOKUP('Données projet'!$B$14,Paramètres!$A$1:$I$89,3,0)*VLOOKUP('Données projet'!$B$14,Paramètres!$A$1:$I$89,5,0)</f>
        <v>1.9508661353029313E-13</v>
      </c>
      <c r="DQ129" s="13">
        <f t="shared" si="97"/>
        <v>2.711421636700695E-12</v>
      </c>
      <c r="DR129" s="20">
        <f t="shared" si="70"/>
        <v>5.0621685358189711E-12</v>
      </c>
      <c r="DS129" s="59">
        <f t="shared" si="71"/>
        <v>288.58337320147012</v>
      </c>
      <c r="DT129" s="59">
        <f ca="1">AVERAGE(OFFSET($DS$3,0,0,'Données projet'!$E$14+1,1))-AVERAGE(OFFSET($H$3,0,0,'Données projet'!$E$14+1,1))</f>
        <v>569.21675741362196</v>
      </c>
      <c r="DU129" s="59">
        <f t="shared" si="98"/>
        <v>321.12410801891679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238.22801508781848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238.22801508781848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68.704556327672293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-2.8421709430404007E-13</v>
      </c>
      <c r="EK129" s="17">
        <f>EJ129*VLOOKUP('Données projet'!$B$15,Paramètres!$A$1:$I$89,3,0)*VLOOKUP('Données projet'!$B$15,Paramètres!$A$1:$I$89,5,0)</f>
        <v>-2.2612312022829427E-13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416.63597645452791</v>
      </c>
      <c r="EP129" s="59">
        <f t="shared" si="100"/>
        <v>402.05920382353497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72.271667034649568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72.271667034649568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68.704556327672293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>
        <f>FE129*VLOOKUP('Données projet'!$B$16,Paramètres!$A$1:$I$89,3,0)*VLOOKUP('Données projet'!$B$16,Paramètres!$A$1:$I$89,5,0)</f>
        <v>0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395.57130469647603</v>
      </c>
      <c r="FK129" s="59">
        <f t="shared" si="102"/>
        <v>383.97542781562674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68.557057238923136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68.557057238923136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68.704556327672293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>
        <f>FZ129*VLOOKUP('Données projet'!$B$17,Paramètres!$A$1:$I$89,3,0)*VLOOKUP('Données projet'!$B$17,Paramètres!$A$1:$I$89,5,0)</f>
        <v>0</v>
      </c>
      <c r="GB129" s="13" t="e">
        <f t="shared" si="103"/>
        <v>#NUM!</v>
      </c>
      <c r="GC129" s="20" t="e">
        <f t="shared" si="79"/>
        <v>#NUM!</v>
      </c>
      <c r="GD129" s="59" t="e">
        <f t="shared" si="80"/>
        <v>#NUM!</v>
      </c>
      <c r="GE129" s="59">
        <f ca="1">AVERAGE(OFFSET($GD$3,0,0,'Données projet'!$E$17+1,1))-AVERAGE(OFFSET($H$3,0,0,'Données projet'!$E$17+1,1))</f>
        <v>301.74744407733351</v>
      </c>
      <c r="GF129" s="59">
        <f t="shared" si="104"/>
        <v>292.46787700966991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35.608541753621502</v>
      </c>
      <c r="GM129" s="21">
        <f>EXP(-LN(2)/25)*GM128+(1-EXP(-LN(2)/25))/(LN(2)/25)*Calculateur!GH129*Calculateur!GJ129*VLOOKUP('Données projet'!$B$17,Paramètres!$A$1:$I$89,3,0)*0.475*44/12</f>
        <v>0</v>
      </c>
      <c r="GN129" s="21">
        <f>EXP(-LN(2)/2)*GN128+(1-EXP(-LN(2)/2))/(LN(2)/2)*GH129*GK129*VLOOKUP('Données projet'!$B$17,Paramètres!$A$1:$I$89,3,0)*0.475*44/12</f>
        <v>0</v>
      </c>
      <c r="GO129" s="21">
        <f t="shared" si="81"/>
        <v>35.608541753621502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68.704556327672293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-2.8421709430404007E-13</v>
      </c>
      <c r="GV129" s="17">
        <f>GU129*VLOOKUP('Données projet'!$B$18,Paramètres!$A$1:$I$89,3,0)*VLOOKUP('Données projet'!$B$18,Paramètres!$A$1:$I$89,5,0)</f>
        <v>-1.6848389350343495E-13</v>
      </c>
      <c r="GW129" s="13" t="e">
        <f t="shared" si="105"/>
        <v>#NUM!</v>
      </c>
      <c r="GX129" s="20" t="e">
        <f t="shared" si="82"/>
        <v>#NUM!</v>
      </c>
      <c r="GY129" s="59" t="e">
        <f t="shared" si="83"/>
        <v>#NUM!</v>
      </c>
      <c r="GZ129" s="59">
        <f ca="1">AVERAGE(OFFSET($GY$3,0,0,'Données projet'!$E$18+1,1))-AVERAGE(OFFSET($H$3,0,0,'Données projet'!$E$18+1,1))</f>
        <v>322.78672881269978</v>
      </c>
      <c r="HA129" s="59">
        <f t="shared" si="106"/>
        <v>313.08736327626434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57.131929584158208</v>
      </c>
      <c r="HH129" s="21">
        <f>EXP(-LN(2)/25)*HH128+(1-EXP(-LN(2)/25))/(LN(2)/25)*Calculateur!HC129*Calculateur!HE129*VLOOKUP('Données projet'!$B$18,Paramètres!$A$1:$I$89,3,0)*0.475*44/12</f>
        <v>0</v>
      </c>
      <c r="HI129" s="21">
        <f>EXP(-LN(2)/2)*HI128+(1-EXP(-LN(2)/2))/(LN(2)/2)*HC129*HF129*VLOOKUP('Données projet'!$B$18,Paramètres!$A$1:$I$89,3,0)*0.475*44/12</f>
        <v>0</v>
      </c>
      <c r="HJ129" s="22">
        <f t="shared" si="84"/>
        <v>57.131929584158208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2.3499999999999996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8.6166666666666654</v>
      </c>
      <c r="H130" s="67">
        <f t="shared" si="56"/>
        <v>222.20000000000002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68.727029379209014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5.6843418860808015E-14</v>
      </c>
      <c r="O130" s="13">
        <f>N130*VLOOKUP('Données projet'!$B$9,Paramètres!$A$1:$I$89,3,0)*VLOOKUP('Données projet'!$B$9,Paramètres!$A$1:$I$89,5,0)</f>
        <v>5.1431925385259088E-14</v>
      </c>
      <c r="P130" s="13">
        <f t="shared" si="87"/>
        <v>8.3482866290946129E-13</v>
      </c>
      <c r="Q130" s="20">
        <f t="shared" si="107"/>
        <v>1.5435705246133045E-12</v>
      </c>
      <c r="R130" s="59">
        <f t="shared" si="55"/>
        <v>288.66577439043459</v>
      </c>
      <c r="S130" s="59">
        <f ca="1">AVERAGE(OFFSET($R$3,0,0,'Données projet'!$E$9+1,1))-AVERAGE(OFFSET($H$3,0,0,'Données projet'!$E$9+1,1))</f>
        <v>473.88815717313474</v>
      </c>
      <c r="T130" s="59">
        <f t="shared" si="88"/>
        <v>287.19790203552895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162.73392466459134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162.73392466459134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68.727029379209014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5.6843418860808015E-14</v>
      </c>
      <c r="AJ130" s="13">
        <f>AI130*VLOOKUP('Données projet'!$B$10,Paramètres!$A$1:$I$89,3,0)*VLOOKUP('Données projet'!$B$10,Paramètres!$A$1:$I$89,5,0)</f>
        <v>4.7884896048344674E-14</v>
      </c>
      <c r="AK130" s="13">
        <f t="shared" si="89"/>
        <v>7.8374629847779921E-13</v>
      </c>
      <c r="AL130" s="20">
        <f t="shared" si="58"/>
        <v>1.4484243304663672E-12</v>
      </c>
      <c r="AM130" s="59">
        <f t="shared" si="59"/>
        <v>288.66577439043448</v>
      </c>
      <c r="AN130" s="59">
        <f ca="1">AVERAGE(OFFSET($AM$3,0,0,'Données projet'!$E$10+1,1))-AVERAGE(OFFSET($H$3,0,0,'Données projet'!$E$10+1,1))</f>
        <v>445.19118535527258</v>
      </c>
      <c r="AO130" s="59">
        <f t="shared" si="90"/>
        <v>270.93483242839363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151.51089537737823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151.51089537737823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68.727029379209014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5.6843418860808015E-14</v>
      </c>
      <c r="BE130" s="13">
        <f>BD130*VLOOKUP('Données projet'!$B$11,Paramètres!$A$1:$I$89,3,0)*VLOOKUP('Données projet'!$B$11,Paramètres!$A$1:$I$89,5,0)</f>
        <v>5.7639226724859328E-14</v>
      </c>
      <c r="BF130" s="13">
        <f t="shared" si="91"/>
        <v>9.2325701996134334E-13</v>
      </c>
      <c r="BG130" s="20">
        <f t="shared" si="61"/>
        <v>1.708394296311803E-12</v>
      </c>
      <c r="BH130" s="59">
        <f t="shared" si="62"/>
        <v>288.66577439043476</v>
      </c>
      <c r="BI130" s="59">
        <f ca="1">AVERAGE(OFFSET($BH$3,0,0,'Données projet'!$E$11+1,1))-AVERAGE(OFFSET($H$3,0,0,'Données projet'!$E$11+1,1))</f>
        <v>524.01140973345832</v>
      </c>
      <c r="BJ130" s="59">
        <f t="shared" si="92"/>
        <v>315.59942237999621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182.37422591721452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182.37422591721452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68.727029379209014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-2.8421709430404007E-13</v>
      </c>
      <c r="BZ130" s="13">
        <f>BY130*VLOOKUP('Données projet'!$B$12,Paramètres!$A$1:$I$89,3,0)*VLOOKUP('Données projet'!$B$12,Paramètres!$A$1:$I$89,5,0)</f>
        <v>-1.9065282685915009E-13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358.95222991910504</v>
      </c>
      <c r="CE130" s="59">
        <f t="shared" si="94"/>
        <v>347.37506646970905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55.987040797622662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55.987040797622662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68.727029379209014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-2.8421709430404007E-13</v>
      </c>
      <c r="CU130" s="17">
        <f>CT130*VLOOKUP('Données projet'!$B$13,Paramètres!$A$1:$I$89,3,0)*VLOOKUP('Données projet'!$B$13,Paramètres!$A$1:$I$89,5,0)</f>
        <v>-1.8621904018800707E-13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351.7266381615546</v>
      </c>
      <c r="CZ130" s="59">
        <f t="shared" si="96"/>
        <v>340.52483243761799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47.341162222785286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47.341162222785286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68.727029379209014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2.2737367544323206E-13</v>
      </c>
      <c r="DP130" s="17">
        <f>DO130*VLOOKUP('Données projet'!$B$14,Paramètres!$A$1:$I$89,3,0)*VLOOKUP('Données projet'!$B$14,Paramètres!$A$1:$I$89,5,0)</f>
        <v>1.9508661353029313E-13</v>
      </c>
      <c r="DQ130" s="13">
        <f t="shared" si="97"/>
        <v>2.711421636700695E-12</v>
      </c>
      <c r="DR130" s="20">
        <f t="shared" si="70"/>
        <v>5.0621685358189711E-12</v>
      </c>
      <c r="DS130" s="59">
        <f t="shared" si="71"/>
        <v>288.66577439043812</v>
      </c>
      <c r="DT130" s="59">
        <f ca="1">AVERAGE(OFFSET($DS$3,0,0,'Données projet'!$E$14+1,1))-AVERAGE(OFFSET($H$3,0,0,'Données projet'!$E$14+1,1))</f>
        <v>569.21675741362196</v>
      </c>
      <c r="DU130" s="59">
        <f t="shared" si="98"/>
        <v>321.12410801891679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233.5565090166879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233.5565090166879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68.727029379209014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-2.8421709430404007E-13</v>
      </c>
      <c r="EK130" s="17">
        <f>EJ130*VLOOKUP('Données projet'!$B$15,Paramètres!$A$1:$I$89,3,0)*VLOOKUP('Données projet'!$B$15,Paramètres!$A$1:$I$89,5,0)</f>
        <v>-2.2612312022829427E-13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416.63597645452791</v>
      </c>
      <c r="EP130" s="59">
        <f t="shared" si="100"/>
        <v>402.05920382353497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70.854463725464313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70.854463725464313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68.727029379209014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>
        <f>FE130*VLOOKUP('Données projet'!$B$16,Paramètres!$A$1:$I$89,3,0)*VLOOKUP('Données projet'!$B$16,Paramètres!$A$1:$I$89,5,0)</f>
        <v>0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395.57130469647603</v>
      </c>
      <c r="FK130" s="59">
        <f t="shared" si="102"/>
        <v>383.97542781562674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67.212695162143817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67.212695162143817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68.727029379209014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>
        <f>FZ130*VLOOKUP('Données projet'!$B$17,Paramètres!$A$1:$I$89,3,0)*VLOOKUP('Données projet'!$B$17,Paramètres!$A$1:$I$89,5,0)</f>
        <v>0</v>
      </c>
      <c r="GB130" s="13" t="e">
        <f t="shared" si="103"/>
        <v>#NUM!</v>
      </c>
      <c r="GC130" s="20" t="e">
        <f t="shared" si="79"/>
        <v>#NUM!</v>
      </c>
      <c r="GD130" s="59" t="e">
        <f t="shared" si="80"/>
        <v>#NUM!</v>
      </c>
      <c r="GE130" s="59">
        <f ca="1">AVERAGE(OFFSET($GD$3,0,0,'Données projet'!$E$17+1,1))-AVERAGE(OFFSET($H$3,0,0,'Données projet'!$E$17+1,1))</f>
        <v>301.74744407733351</v>
      </c>
      <c r="GF130" s="59">
        <f t="shared" si="104"/>
        <v>292.46787700966991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34.910279968898877</v>
      </c>
      <c r="GM130" s="21">
        <f>EXP(-LN(2)/25)*GM129+(1-EXP(-LN(2)/25))/(LN(2)/25)*Calculateur!GH130*Calculateur!GJ130*VLOOKUP('Données projet'!$B$17,Paramètres!$A$1:$I$89,3,0)*0.475*44/12</f>
        <v>0</v>
      </c>
      <c r="GN130" s="21">
        <f>EXP(-LN(2)/2)*GN129+(1-EXP(-LN(2)/2))/(LN(2)/2)*GH130*GK130*VLOOKUP('Données projet'!$B$17,Paramètres!$A$1:$I$89,3,0)*0.475*44/12</f>
        <v>0</v>
      </c>
      <c r="GO130" s="21">
        <f t="shared" si="81"/>
        <v>34.910279968898877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68.727029379209014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-2.8421709430404007E-13</v>
      </c>
      <c r="GV130" s="17">
        <f>GU130*VLOOKUP('Données projet'!$B$18,Paramètres!$A$1:$I$89,3,0)*VLOOKUP('Données projet'!$B$18,Paramètres!$A$1:$I$89,5,0)</f>
        <v>-1.6848389350343495E-13</v>
      </c>
      <c r="GW130" s="13" t="e">
        <f t="shared" si="105"/>
        <v>#NUM!</v>
      </c>
      <c r="GX130" s="20" t="e">
        <f t="shared" si="82"/>
        <v>#NUM!</v>
      </c>
      <c r="GY130" s="59" t="e">
        <f t="shared" si="83"/>
        <v>#NUM!</v>
      </c>
      <c r="GZ130" s="59">
        <f ca="1">AVERAGE(OFFSET($GY$3,0,0,'Données projet'!$E$18+1,1))-AVERAGE(OFFSET($H$3,0,0,'Données projet'!$E$18+1,1))</f>
        <v>322.78672881269978</v>
      </c>
      <c r="HA130" s="59">
        <f t="shared" si="106"/>
        <v>313.08736327626434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56.01160729204905</v>
      </c>
      <c r="HH130" s="21">
        <f>EXP(-LN(2)/25)*HH129+(1-EXP(-LN(2)/25))/(LN(2)/25)*Calculateur!HC130*Calculateur!HE130*VLOOKUP('Données projet'!$B$18,Paramètres!$A$1:$I$89,3,0)*0.475*44/12</f>
        <v>0</v>
      </c>
      <c r="HI130" s="21">
        <f>EXP(-LN(2)/2)*HI129+(1-EXP(-LN(2)/2))/(LN(2)/2)*HC130*HF130*VLOOKUP('Données projet'!$B$18,Paramètres!$A$1:$I$89,3,0)*0.475*44/12</f>
        <v>0</v>
      </c>
      <c r="HJ130" s="22">
        <f t="shared" si="84"/>
        <v>56.01160729204905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2.3499999999999996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8.6166666666666654</v>
      </c>
      <c r="H131" s="67">
        <f t="shared" si="56"/>
        <v>222.20000000000002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68.749112573543783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5.6843418860808015E-14</v>
      </c>
      <c r="O131" s="13">
        <f>N131*VLOOKUP('Données projet'!$B$9,Paramètres!$A$1:$I$89,3,0)*VLOOKUP('Données projet'!$B$9,Paramètres!$A$1:$I$89,5,0)</f>
        <v>5.1431925385259088E-14</v>
      </c>
      <c r="P131" s="13">
        <f t="shared" si="87"/>
        <v>8.3482866290946129E-13</v>
      </c>
      <c r="Q131" s="20">
        <f t="shared" ref="Q131:Q153" si="108">(O131+P131)*0.475*44/12</f>
        <v>1.5435705246133045E-12</v>
      </c>
      <c r="R131" s="59">
        <f t="shared" ref="R131:R194" si="109">Q131+(I131+J131)*44/12</f>
        <v>288.74674610299542</v>
      </c>
      <c r="S131" s="59">
        <f ca="1">AVERAGE(OFFSET($R$3,0,0,'Données projet'!$E$9+1,1))-AVERAGE(OFFSET($H$3,0,0,'Données projet'!$E$9+1,1))</f>
        <v>473.88815717313474</v>
      </c>
      <c r="T131" s="59">
        <f t="shared" si="88"/>
        <v>287.19790203552895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159.54281165981186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159.54281165981186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68.749112573543783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5.6843418860808015E-14</v>
      </c>
      <c r="AJ131" s="13">
        <f>AI131*VLOOKUP('Données projet'!$B$10,Paramètres!$A$1:$I$89,3,0)*VLOOKUP('Données projet'!$B$10,Paramètres!$A$1:$I$89,5,0)</f>
        <v>4.7884896048344674E-14</v>
      </c>
      <c r="AK131" s="13">
        <f t="shared" si="89"/>
        <v>7.8374629847779921E-13</v>
      </c>
      <c r="AL131" s="20">
        <f t="shared" si="58"/>
        <v>1.4484243304663672E-12</v>
      </c>
      <c r="AM131" s="59">
        <f t="shared" si="59"/>
        <v>288.7467461029953</v>
      </c>
      <c r="AN131" s="59">
        <f ca="1">AVERAGE(OFFSET($AM$3,0,0,'Données projet'!$E$10+1,1))-AVERAGE(OFFSET($H$3,0,0,'Données projet'!$E$10+1,1))</f>
        <v>445.19118535527258</v>
      </c>
      <c r="AO131" s="59">
        <f t="shared" si="90"/>
        <v>270.93483242839363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148.53985913154904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148.53985913154904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68.749112573543783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5.6843418860808015E-14</v>
      </c>
      <c r="BE131" s="13">
        <f>BD131*VLOOKUP('Données projet'!$B$11,Paramètres!$A$1:$I$89,3,0)*VLOOKUP('Données projet'!$B$11,Paramètres!$A$1:$I$89,5,0)</f>
        <v>5.7639226724859328E-14</v>
      </c>
      <c r="BF131" s="13">
        <f t="shared" si="91"/>
        <v>9.2325701996134334E-13</v>
      </c>
      <c r="BG131" s="20">
        <f t="shared" si="61"/>
        <v>1.708394296311803E-12</v>
      </c>
      <c r="BH131" s="59">
        <f t="shared" si="62"/>
        <v>288.74674610299559</v>
      </c>
      <c r="BI131" s="59">
        <f ca="1">AVERAGE(OFFSET($BH$3,0,0,'Données projet'!$E$11+1,1))-AVERAGE(OFFSET($H$3,0,0,'Données projet'!$E$11+1,1))</f>
        <v>524.01140973345832</v>
      </c>
      <c r="BJ131" s="59">
        <f t="shared" si="92"/>
        <v>315.59942237999621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178.79797858427199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178.79797858427199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68.749112573543783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-2.8421709430404007E-13</v>
      </c>
      <c r="BZ131" s="13">
        <f>BY131*VLOOKUP('Données projet'!$B$12,Paramètres!$A$1:$I$89,3,0)*VLOOKUP('Données projet'!$B$12,Paramètres!$A$1:$I$89,5,0)</f>
        <v>-1.9065282685915009E-13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358.95222991910504</v>
      </c>
      <c r="CE131" s="59">
        <f t="shared" si="94"/>
        <v>347.37506646970905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54.889169076304263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54.889169076304263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68.749112573543783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-2.8421709430404007E-13</v>
      </c>
      <c r="CU131" s="17">
        <f>CT131*VLOOKUP('Données projet'!$B$13,Paramètres!$A$1:$I$89,3,0)*VLOOKUP('Données projet'!$B$13,Paramètres!$A$1:$I$89,5,0)</f>
        <v>-1.8621904018800707E-13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351.7266381615546</v>
      </c>
      <c r="CZ131" s="59">
        <f t="shared" si="96"/>
        <v>340.52483243761799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46.412830906854225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46.412830906854225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68.749112573543783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2.2737367544323206E-13</v>
      </c>
      <c r="DP131" s="17">
        <f>DO131*VLOOKUP('Données projet'!$B$14,Paramètres!$A$1:$I$89,3,0)*VLOOKUP('Données projet'!$B$14,Paramètres!$A$1:$I$89,5,0)</f>
        <v>1.9508661353029313E-13</v>
      </c>
      <c r="DQ131" s="13">
        <f t="shared" si="97"/>
        <v>2.711421636700695E-12</v>
      </c>
      <c r="DR131" s="20">
        <f t="shared" si="70"/>
        <v>5.0621685358189711E-12</v>
      </c>
      <c r="DS131" s="59">
        <f t="shared" si="71"/>
        <v>288.74674610299894</v>
      </c>
      <c r="DT131" s="59">
        <f ca="1">AVERAGE(OFFSET($DS$3,0,0,'Données projet'!$E$14+1,1))-AVERAGE(OFFSET($H$3,0,0,'Données projet'!$E$14+1,1))</f>
        <v>569.21675741362196</v>
      </c>
      <c r="DU131" s="59">
        <f t="shared" si="98"/>
        <v>321.12410801891679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228.97660833027484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228.97660833027484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68.749112573543783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-2.8421709430404007E-13</v>
      </c>
      <c r="EK131" s="17">
        <f>EJ131*VLOOKUP('Données projet'!$B$15,Paramètres!$A$1:$I$89,3,0)*VLOOKUP('Données projet'!$B$15,Paramètres!$A$1:$I$89,5,0)</f>
        <v>-2.2612312022829427E-13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416.63597645452791</v>
      </c>
      <c r="EP131" s="59">
        <f t="shared" si="100"/>
        <v>402.05920382353497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69.465050908763516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69.465050908763516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68.749112573543783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>
        <f>FE131*VLOOKUP('Données projet'!$B$16,Paramètres!$A$1:$I$89,3,0)*VLOOKUP('Données projet'!$B$16,Paramètres!$A$1:$I$89,5,0)</f>
        <v>0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395.57130469647603</v>
      </c>
      <c r="FK131" s="59">
        <f t="shared" si="102"/>
        <v>383.97542781562674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65.894695205710235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65.894695205710235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68.749112573543783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>
        <f>FZ131*VLOOKUP('Données projet'!$B$17,Paramètres!$A$1:$I$89,3,0)*VLOOKUP('Données projet'!$B$17,Paramètres!$A$1:$I$89,5,0)</f>
        <v>0</v>
      </c>
      <c r="GB131" s="13" t="e">
        <f t="shared" si="103"/>
        <v>#NUM!</v>
      </c>
      <c r="GC131" s="20" t="e">
        <f t="shared" si="79"/>
        <v>#NUM!</v>
      </c>
      <c r="GD131" s="59" t="e">
        <f t="shared" si="80"/>
        <v>#NUM!</v>
      </c>
      <c r="GE131" s="59">
        <f ca="1">AVERAGE(OFFSET($GD$3,0,0,'Données projet'!$E$17+1,1))-AVERAGE(OFFSET($H$3,0,0,'Données projet'!$E$17+1,1))</f>
        <v>301.74744407733351</v>
      </c>
      <c r="GF131" s="59">
        <f t="shared" si="104"/>
        <v>292.46787700966991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34.225710671877025</v>
      </c>
      <c r="GM131" s="21">
        <f>EXP(-LN(2)/25)*GM130+(1-EXP(-LN(2)/25))/(LN(2)/25)*Calculateur!GH131*Calculateur!GJ131*VLOOKUP('Données projet'!$B$17,Paramètres!$A$1:$I$89,3,0)*0.475*44/12</f>
        <v>0</v>
      </c>
      <c r="GN131" s="21">
        <f>EXP(-LN(2)/2)*GN130+(1-EXP(-LN(2)/2))/(LN(2)/2)*GH131*GK131*VLOOKUP('Données projet'!$B$17,Paramètres!$A$1:$I$89,3,0)*0.475*44/12</f>
        <v>0</v>
      </c>
      <c r="GO131" s="21">
        <f t="shared" si="81"/>
        <v>34.225710671877025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68.749112573543783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-2.8421709430404007E-13</v>
      </c>
      <c r="GV131" s="17">
        <f>GU131*VLOOKUP('Données projet'!$B$18,Paramètres!$A$1:$I$89,3,0)*VLOOKUP('Données projet'!$B$18,Paramètres!$A$1:$I$89,5,0)</f>
        <v>-1.6848389350343495E-13</v>
      </c>
      <c r="GW131" s="13" t="e">
        <f t="shared" si="105"/>
        <v>#NUM!</v>
      </c>
      <c r="GX131" s="20" t="e">
        <f t="shared" si="82"/>
        <v>#NUM!</v>
      </c>
      <c r="GY131" s="59" t="e">
        <f t="shared" si="83"/>
        <v>#NUM!</v>
      </c>
      <c r="GZ131" s="59">
        <f ca="1">AVERAGE(OFFSET($GY$3,0,0,'Données projet'!$E$18+1,1))-AVERAGE(OFFSET($H$3,0,0,'Données projet'!$E$18+1,1))</f>
        <v>322.78672881269978</v>
      </c>
      <c r="HA131" s="59">
        <f t="shared" si="106"/>
        <v>313.08736327626434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54.913253836759033</v>
      </c>
      <c r="HH131" s="21">
        <f>EXP(-LN(2)/25)*HH130+(1-EXP(-LN(2)/25))/(LN(2)/25)*Calculateur!HC131*Calculateur!HE131*VLOOKUP('Données projet'!$B$18,Paramètres!$A$1:$I$89,3,0)*0.475*44/12</f>
        <v>0</v>
      </c>
      <c r="HI131" s="21">
        <f>EXP(-LN(2)/2)*HI130+(1-EXP(-LN(2)/2))/(LN(2)/2)*HC131*HF131*VLOOKUP('Données projet'!$B$18,Paramètres!$A$1:$I$89,3,0)*0.475*44/12</f>
        <v>0</v>
      </c>
      <c r="HJ131" s="22">
        <f t="shared" si="84"/>
        <v>54.913253836759033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2.3499999999999996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8.6166666666666654</v>
      </c>
      <c r="H132" s="67">
        <f t="shared" ref="H132:H195" si="110">(B132+E132+F132)*44/12+(C132+D132)*0.475*44/12</f>
        <v>222.20000000000002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68.770812673827464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5.6843418860808015E-14</v>
      </c>
      <c r="O132" s="13">
        <f>N132*VLOOKUP('Données projet'!$B$9,Paramètres!$A$1:$I$89,3,0)*VLOOKUP('Données projet'!$B$9,Paramètres!$A$1:$I$89,5,0)</f>
        <v>5.1431925385259088E-14</v>
      </c>
      <c r="P132" s="13">
        <f t="shared" si="87"/>
        <v>8.3482866290946129E-13</v>
      </c>
      <c r="Q132" s="20">
        <f t="shared" si="108"/>
        <v>1.5435705246133045E-12</v>
      </c>
      <c r="R132" s="59">
        <f t="shared" si="109"/>
        <v>288.82631313736891</v>
      </c>
      <c r="S132" s="59">
        <f ca="1">AVERAGE(OFFSET($R$3,0,0,'Données projet'!$E$9+1,1))-AVERAGE(OFFSET($H$3,0,0,'Données projet'!$E$9+1,1))</f>
        <v>473.88815717313474</v>
      </c>
      <c r="T132" s="59">
        <f t="shared" si="88"/>
        <v>287.19790203552895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156.41427443466935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156.41427443466935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68.770812673827464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5.6843418860808015E-14</v>
      </c>
      <c r="AJ132" s="13">
        <f>AI132*VLOOKUP('Données projet'!$B$10,Paramètres!$A$1:$I$89,3,0)*VLOOKUP('Données projet'!$B$10,Paramètres!$A$1:$I$89,5,0)</f>
        <v>4.7884896048344674E-14</v>
      </c>
      <c r="AK132" s="13">
        <f t="shared" si="89"/>
        <v>7.8374629847779921E-13</v>
      </c>
      <c r="AL132" s="20">
        <f t="shared" ref="AL132:AL153" si="112">(AJ132+AK132)*0.475*44/12</f>
        <v>1.4484243304663672E-12</v>
      </c>
      <c r="AM132" s="59">
        <f t="shared" ref="AM132:AM195" si="113">AL132+(AD132+AE132)*44/12</f>
        <v>288.8263131373688</v>
      </c>
      <c r="AN132" s="59">
        <f ca="1">AVERAGE(OFFSET($AM$3,0,0,'Données projet'!$E$10+1,1))-AVERAGE(OFFSET($H$3,0,0,'Données projet'!$E$10+1,1))</f>
        <v>445.19118535527258</v>
      </c>
      <c r="AO132" s="59">
        <f t="shared" si="90"/>
        <v>270.93483242839363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145.6270830943474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145.6270830943474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68.770812673827464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5.6843418860808015E-14</v>
      </c>
      <c r="BE132" s="13">
        <f>BD132*VLOOKUP('Données projet'!$B$11,Paramètres!$A$1:$I$89,3,0)*VLOOKUP('Données projet'!$B$11,Paramètres!$A$1:$I$89,5,0)</f>
        <v>5.7639226724859328E-14</v>
      </c>
      <c r="BF132" s="13">
        <f t="shared" si="91"/>
        <v>9.2325701996134334E-13</v>
      </c>
      <c r="BG132" s="20">
        <f t="shared" ref="BG132:BG153" si="115">(BE132+BF132)*0.475*44/12</f>
        <v>1.708394296311803E-12</v>
      </c>
      <c r="BH132" s="59">
        <f t="shared" ref="BH132:BH195" si="116">BG132+(AY132+AZ132)*44/12</f>
        <v>288.82631313736908</v>
      </c>
      <c r="BI132" s="59">
        <f ca="1">AVERAGE(OFFSET($BH$3,0,0,'Données projet'!$E$11+1,1))-AVERAGE(OFFSET($H$3,0,0,'Données projet'!$E$11+1,1))</f>
        <v>524.01140973345832</v>
      </c>
      <c r="BJ132" s="59">
        <f t="shared" si="92"/>
        <v>315.59942237999621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175.29185928023296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175.29185928023296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68.770812673827464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-2.8421709430404007E-13</v>
      </c>
      <c r="BZ132" s="13">
        <f>BY132*VLOOKUP('Données projet'!$B$12,Paramètres!$A$1:$I$89,3,0)*VLOOKUP('Données projet'!$B$12,Paramètres!$A$1:$I$89,5,0)</f>
        <v>-1.9065282685915009E-13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358.95222991910504</v>
      </c>
      <c r="CE132" s="59">
        <f t="shared" si="94"/>
        <v>347.37506646970905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53.812825949805287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53.812825949805287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68.770812673827464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-2.8421709430404007E-13</v>
      </c>
      <c r="CU132" s="17">
        <f>CT132*VLOOKUP('Données projet'!$B$13,Paramètres!$A$1:$I$89,3,0)*VLOOKUP('Données projet'!$B$13,Paramètres!$A$1:$I$89,5,0)</f>
        <v>-1.8621904018800707E-13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351.7266381615546</v>
      </c>
      <c r="CZ132" s="59">
        <f t="shared" si="96"/>
        <v>340.52483243761799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45.502703601802381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45.502703601802381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68.770812673827464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2.2737367544323206E-13</v>
      </c>
      <c r="DP132" s="17">
        <f>DO132*VLOOKUP('Données projet'!$B$14,Paramètres!$A$1:$I$89,3,0)*VLOOKUP('Données projet'!$B$14,Paramètres!$A$1:$I$89,5,0)</f>
        <v>1.9508661353029313E-13</v>
      </c>
      <c r="DQ132" s="13">
        <f t="shared" si="97"/>
        <v>2.711421636700695E-12</v>
      </c>
      <c r="DR132" s="20">
        <f t="shared" ref="DR132:DR153" si="124">(DP132+DQ132)*0.475*44/12</f>
        <v>5.0621685358189711E-12</v>
      </c>
      <c r="DS132" s="59">
        <f t="shared" ref="DS132:DS195" si="125">DR132+(DJ132+DK132)*44/12</f>
        <v>288.82631313737244</v>
      </c>
      <c r="DT132" s="59">
        <f ca="1">AVERAGE(OFFSET($DS$3,0,0,'Données projet'!$E$14+1,1))-AVERAGE(OFFSET($H$3,0,0,'Données projet'!$E$14+1,1))</f>
        <v>569.21675741362196</v>
      </c>
      <c r="DU132" s="59">
        <f t="shared" si="98"/>
        <v>321.12410801891679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224.48651670285875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224.48651670285875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68.770812673827464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-2.8421709430404007E-13</v>
      </c>
      <c r="EK132" s="17">
        <f>EJ132*VLOOKUP('Données projet'!$B$15,Paramètres!$A$1:$I$89,3,0)*VLOOKUP('Données projet'!$B$15,Paramètres!$A$1:$I$89,5,0)</f>
        <v>-2.2612312022829427E-13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416.63597645452791</v>
      </c>
      <c r="EP132" s="59">
        <f t="shared" si="100"/>
        <v>402.05920382353497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68.102883629940081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68.102883629940081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68.770812673827464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>
        <f>FE132*VLOOKUP('Données projet'!$B$16,Paramètres!$A$1:$I$89,3,0)*VLOOKUP('Données projet'!$B$16,Paramètres!$A$1:$I$89,5,0)</f>
        <v>0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395.57130469647603</v>
      </c>
      <c r="FK132" s="59">
        <f t="shared" si="102"/>
        <v>383.97542781562674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64.60254042452172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64.60254042452172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68.770812673827464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>
        <f>FZ132*VLOOKUP('Données projet'!$B$17,Paramètres!$A$1:$I$89,3,0)*VLOOKUP('Données projet'!$B$17,Paramètres!$A$1:$I$89,5,0)</f>
        <v>0</v>
      </c>
      <c r="GB132" s="13" t="e">
        <f t="shared" si="103"/>
        <v>#NUM!</v>
      </c>
      <c r="GC132" s="20" t="e">
        <f t="shared" ref="GC132:GC153" si="133">(GA132+GB132)*0.475*44/12</f>
        <v>#NUM!</v>
      </c>
      <c r="GD132" s="59" t="e">
        <f t="shared" ref="GD132:GD195" si="134">GC132+(FU132+FV132)*44/12</f>
        <v>#NUM!</v>
      </c>
      <c r="GE132" s="59">
        <f ca="1">AVERAGE(OFFSET($GD$3,0,0,'Données projet'!$E$17+1,1))-AVERAGE(OFFSET($H$3,0,0,'Données projet'!$E$17+1,1))</f>
        <v>301.74744407733351</v>
      </c>
      <c r="GF132" s="59">
        <f t="shared" si="104"/>
        <v>292.46787700966991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33.55456536122373</v>
      </c>
      <c r="GM132" s="21">
        <f>EXP(-LN(2)/25)*GM131+(1-EXP(-LN(2)/25))/(LN(2)/25)*Calculateur!GH132*Calculateur!GJ132*VLOOKUP('Données projet'!$B$17,Paramètres!$A$1:$I$89,3,0)*0.475*44/12</f>
        <v>0</v>
      </c>
      <c r="GN132" s="21">
        <f>EXP(-LN(2)/2)*GN131+(1-EXP(-LN(2)/2))/(LN(2)/2)*GH132*GK132*VLOOKUP('Données projet'!$B$17,Paramètres!$A$1:$I$89,3,0)*0.475*44/12</f>
        <v>0</v>
      </c>
      <c r="GO132" s="21">
        <f t="shared" ref="GO132:GO153" si="135">SUM(GL132:GN132)</f>
        <v>33.55456536122373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68.770812673827464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-2.8421709430404007E-13</v>
      </c>
      <c r="GV132" s="17">
        <f>GU132*VLOOKUP('Données projet'!$B$18,Paramètres!$A$1:$I$89,3,0)*VLOOKUP('Données projet'!$B$18,Paramètres!$A$1:$I$89,5,0)</f>
        <v>-1.6848389350343495E-13</v>
      </c>
      <c r="GW132" s="13" t="e">
        <f t="shared" si="105"/>
        <v>#NUM!</v>
      </c>
      <c r="GX132" s="20" t="e">
        <f t="shared" ref="GX132:GX153" si="136">(GV132+GW132)*0.475*44/12</f>
        <v>#NUM!</v>
      </c>
      <c r="GY132" s="59" t="e">
        <f t="shared" ref="GY132:GY195" si="137">GX132+(GP132+GQ132)*44/12</f>
        <v>#NUM!</v>
      </c>
      <c r="GZ132" s="59">
        <f ca="1">AVERAGE(OFFSET($GY$3,0,0,'Données projet'!$E$18+1,1))-AVERAGE(OFFSET($H$3,0,0,'Données projet'!$E$18+1,1))</f>
        <v>322.78672881269978</v>
      </c>
      <c r="HA132" s="59">
        <f t="shared" si="106"/>
        <v>313.08736327626434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53.836438422797791</v>
      </c>
      <c r="HH132" s="21">
        <f>EXP(-LN(2)/25)*HH131+(1-EXP(-LN(2)/25))/(LN(2)/25)*Calculateur!HC132*Calculateur!HE132*VLOOKUP('Données projet'!$B$18,Paramètres!$A$1:$I$89,3,0)*0.475*44/12</f>
        <v>0</v>
      </c>
      <c r="HI132" s="21">
        <f>EXP(-LN(2)/2)*HI131+(1-EXP(-LN(2)/2))/(LN(2)/2)*HC132*HF132*VLOOKUP('Données projet'!$B$18,Paramètres!$A$1:$I$89,3,0)*0.475*44/12</f>
        <v>0</v>
      </c>
      <c r="HJ132" s="22">
        <f t="shared" ref="HJ132:HJ153" si="138">SUM(HG132:HI132)</f>
        <v>53.836438422797791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2.3499999999999996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8.6166666666666654</v>
      </c>
      <c r="H133" s="67">
        <f t="shared" si="110"/>
        <v>222.20000000000002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68.792136325885394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5.6843418860808015E-14</v>
      </c>
      <c r="O133" s="13">
        <f>N133*VLOOKUP('Données projet'!$B$9,Paramètres!$A$1:$I$89,3,0)*VLOOKUP('Données projet'!$B$9,Paramètres!$A$1:$I$89,5,0)</f>
        <v>5.1431925385259088E-14</v>
      </c>
      <c r="P133" s="13">
        <f t="shared" ref="P133:P196" si="141">EXP(-1.0587+0.8836*LN(O133)+0.284)</f>
        <v>8.3482866290946129E-13</v>
      </c>
      <c r="Q133" s="20">
        <f t="shared" si="108"/>
        <v>1.5435705246133045E-12</v>
      </c>
      <c r="R133" s="59">
        <f t="shared" si="109"/>
        <v>288.90449986158131</v>
      </c>
      <c r="S133" s="59">
        <f ca="1">AVERAGE(OFFSET($R$3,0,0,'Données projet'!$E$9+1,1))-AVERAGE(OFFSET($H$3,0,0,'Données projet'!$E$9+1,1))</f>
        <v>473.88815717313474</v>
      </c>
      <c r="T133" s="59">
        <f t="shared" ref="T133:T196" si="142">$T$3</f>
        <v>287.19790203552895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153.3470859162926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153.3470859162926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68.792136325885394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5.6843418860808015E-14</v>
      </c>
      <c r="AJ133" s="13">
        <f>AI133*VLOOKUP('Données projet'!$B$10,Paramètres!$A$1:$I$89,3,0)*VLOOKUP('Données projet'!$B$10,Paramètres!$A$1:$I$89,5,0)</f>
        <v>4.7884896048344674E-14</v>
      </c>
      <c r="AK133" s="13">
        <f t="shared" ref="AK133:AK153" si="143">EXP(-1.0587+0.8836*LN(AJ133)+0.284)</f>
        <v>7.8374629847779921E-13</v>
      </c>
      <c r="AL133" s="20">
        <f t="shared" si="112"/>
        <v>1.4484243304663672E-12</v>
      </c>
      <c r="AM133" s="59">
        <f t="shared" si="113"/>
        <v>288.9044998615812</v>
      </c>
      <c r="AN133" s="59">
        <f ca="1">AVERAGE(OFFSET($AM$3,0,0,'Données projet'!$E$10+1,1))-AVERAGE(OFFSET($H$3,0,0,'Données projet'!$E$10+1,1))</f>
        <v>445.19118535527258</v>
      </c>
      <c r="AO133" s="59">
        <f t="shared" ref="AO133:AO196" si="144">$AO$3</f>
        <v>270.93483242839363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142.77142481861731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142.77142481861731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68.792136325885394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5.6843418860808015E-14</v>
      </c>
      <c r="BE133" s="13">
        <f>BD133*VLOOKUP('Données projet'!$B$11,Paramètres!$A$1:$I$89,3,0)*VLOOKUP('Données projet'!$B$11,Paramètres!$A$1:$I$89,5,0)</f>
        <v>5.7639226724859328E-14</v>
      </c>
      <c r="BF133" s="13">
        <f t="shared" ref="BF133:BF153" si="145">EXP(-1.0587+0.8836*LN(BE133)+0.284)</f>
        <v>9.2325701996134334E-13</v>
      </c>
      <c r="BG133" s="20">
        <f t="shared" si="115"/>
        <v>1.708394296311803E-12</v>
      </c>
      <c r="BH133" s="59">
        <f t="shared" si="116"/>
        <v>288.90449986158148</v>
      </c>
      <c r="BI133" s="59">
        <f ca="1">AVERAGE(OFFSET($BH$3,0,0,'Données projet'!$E$11+1,1))-AVERAGE(OFFSET($H$3,0,0,'Données projet'!$E$11+1,1))</f>
        <v>524.01140973345832</v>
      </c>
      <c r="BJ133" s="59">
        <f t="shared" ref="BJ133:BJ196" si="146">$BJ$3</f>
        <v>315.59942237999621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171.85449283722451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171.85449283722451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68.792136325885394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-2.8421709430404007E-13</v>
      </c>
      <c r="BZ133" s="13">
        <f>BY133*VLOOKUP('Données projet'!$B$12,Paramètres!$A$1:$I$89,3,0)*VLOOKUP('Données projet'!$B$12,Paramètres!$A$1:$I$89,5,0)</f>
        <v>-1.9065282685915009E-13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358.95222991910504</v>
      </c>
      <c r="CE133" s="59">
        <f t="shared" ref="CE133:CE196" si="148">$CE$3</f>
        <v>347.37506646970905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52.757589255512471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52.757589255512471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68.792136325885394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-2.8421709430404007E-13</v>
      </c>
      <c r="CU133" s="17">
        <f>CT133*VLOOKUP('Données projet'!$B$13,Paramètres!$A$1:$I$89,3,0)*VLOOKUP('Données projet'!$B$13,Paramètres!$A$1:$I$89,5,0)</f>
        <v>-1.8621904018800707E-13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351.7266381615546</v>
      </c>
      <c r="CZ133" s="59">
        <f t="shared" ref="CZ133:CZ196" si="150">$CZ$3</f>
        <v>340.52483243761799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44.610423338079762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44.610423338079762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68.792136325885394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2.2737367544323206E-13</v>
      </c>
      <c r="DP133" s="17">
        <f>DO133*VLOOKUP('Données projet'!$B$14,Paramètres!$A$1:$I$89,3,0)*VLOOKUP('Données projet'!$B$14,Paramètres!$A$1:$I$89,5,0)</f>
        <v>1.9508661353029313E-13</v>
      </c>
      <c r="DQ133" s="13">
        <f t="shared" ref="DQ133:DQ153" si="151">EXP(-1.0587+0.8836*LN(DP133)+0.284)</f>
        <v>2.711421636700695E-12</v>
      </c>
      <c r="DR133" s="20">
        <f t="shared" si="124"/>
        <v>5.0621685358189711E-12</v>
      </c>
      <c r="DS133" s="59">
        <f t="shared" si="125"/>
        <v>288.90449986158484</v>
      </c>
      <c r="DT133" s="59">
        <f ca="1">AVERAGE(OFFSET($DS$3,0,0,'Données projet'!$E$14+1,1))-AVERAGE(OFFSET($H$3,0,0,'Données projet'!$E$14+1,1))</f>
        <v>569.21675741362196</v>
      </c>
      <c r="DU133" s="59">
        <f t="shared" ref="DU133:DU196" si="152">$DU$3</f>
        <v>321.12410801891679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220.08447303357084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220.08447303357084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68.792136325885394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-2.8421709430404007E-13</v>
      </c>
      <c r="EK133" s="17">
        <f>EJ133*VLOOKUP('Données projet'!$B$15,Paramètres!$A$1:$I$89,3,0)*VLOOKUP('Données projet'!$B$15,Paramètres!$A$1:$I$89,5,0)</f>
        <v>-2.2612312022829427E-13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416.63597645452791</v>
      </c>
      <c r="EP133" s="59">
        <f t="shared" ref="EP133:EP196" si="154">$EP$3</f>
        <v>402.05920382353497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66.76742762061437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66.76742762061437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68.792136325885394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>
        <f>FE133*VLOOKUP('Données projet'!$B$16,Paramètres!$A$1:$I$89,3,0)*VLOOKUP('Données projet'!$B$16,Paramètres!$A$1:$I$89,5,0)</f>
        <v>0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395.57130469647603</v>
      </c>
      <c r="FK133" s="59">
        <f t="shared" ref="FK133:FK196" si="156">$FK$3</f>
        <v>383.97542781562674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63.335724010455721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63.335724010455721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68.792136325885394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>
        <f>FZ133*VLOOKUP('Données projet'!$B$17,Paramètres!$A$1:$I$89,3,0)*VLOOKUP('Données projet'!$B$17,Paramètres!$A$1:$I$89,5,0)</f>
        <v>0</v>
      </c>
      <c r="GB133" s="13" t="e">
        <f t="shared" ref="GB133:GB153" si="157">EXP(-1.0587+0.8836*LN(GA133)+0.284)</f>
        <v>#NUM!</v>
      </c>
      <c r="GC133" s="20" t="e">
        <f t="shared" si="133"/>
        <v>#NUM!</v>
      </c>
      <c r="GD133" s="59" t="e">
        <f t="shared" si="134"/>
        <v>#NUM!</v>
      </c>
      <c r="GE133" s="59">
        <f ca="1">AVERAGE(OFFSET($GD$3,0,0,'Données projet'!$E$17+1,1))-AVERAGE(OFFSET($H$3,0,0,'Données projet'!$E$17+1,1))</f>
        <v>301.74744407733351</v>
      </c>
      <c r="GF133" s="59">
        <f t="shared" ref="GF133:GF196" si="158">$GF$3</f>
        <v>292.46787700966991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32.89658080075413</v>
      </c>
      <c r="GM133" s="21">
        <f>EXP(-LN(2)/25)*GM132+(1-EXP(-LN(2)/25))/(LN(2)/25)*Calculateur!GH133*Calculateur!GJ133*VLOOKUP('Données projet'!$B$17,Paramètres!$A$1:$I$89,3,0)*0.475*44/12</f>
        <v>0</v>
      </c>
      <c r="GN133" s="21">
        <f>EXP(-LN(2)/2)*GN132+(1-EXP(-LN(2)/2))/(LN(2)/2)*GH133*GK133*VLOOKUP('Données projet'!$B$17,Paramètres!$A$1:$I$89,3,0)*0.475*44/12</f>
        <v>0</v>
      </c>
      <c r="GO133" s="21">
        <f t="shared" si="135"/>
        <v>32.89658080075413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68.792136325885394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-2.8421709430404007E-13</v>
      </c>
      <c r="GV133" s="17">
        <f>GU133*VLOOKUP('Données projet'!$B$18,Paramètres!$A$1:$I$89,3,0)*VLOOKUP('Données projet'!$B$18,Paramètres!$A$1:$I$89,5,0)</f>
        <v>-1.6848389350343495E-13</v>
      </c>
      <c r="GW133" s="13" t="e">
        <f t="shared" ref="GW133:GW153" si="159">EXP(-1.0587+0.8836*LN(GV133)+0.284)</f>
        <v>#NUM!</v>
      </c>
      <c r="GX133" s="20" t="e">
        <f t="shared" si="136"/>
        <v>#NUM!</v>
      </c>
      <c r="GY133" s="59" t="e">
        <f t="shared" si="137"/>
        <v>#NUM!</v>
      </c>
      <c r="GZ133" s="59">
        <f ca="1">AVERAGE(OFFSET($GY$3,0,0,'Données projet'!$E$18+1,1))-AVERAGE(OFFSET($H$3,0,0,'Données projet'!$E$18+1,1))</f>
        <v>322.78672881269978</v>
      </c>
      <c r="HA133" s="59">
        <f t="shared" ref="HA133:HA196" si="160">$HA$3</f>
        <v>313.08736327626434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52.78073870231178</v>
      </c>
      <c r="HH133" s="21">
        <f>EXP(-LN(2)/25)*HH132+(1-EXP(-LN(2)/25))/(LN(2)/25)*Calculateur!HC133*Calculateur!HE133*VLOOKUP('Données projet'!$B$18,Paramètres!$A$1:$I$89,3,0)*0.475*44/12</f>
        <v>0</v>
      </c>
      <c r="HI133" s="21">
        <f>EXP(-LN(2)/2)*HI132+(1-EXP(-LN(2)/2))/(LN(2)/2)*HC133*HF133*VLOOKUP('Données projet'!$B$18,Paramètres!$A$1:$I$89,3,0)*0.475*44/12</f>
        <v>0</v>
      </c>
      <c r="HJ133" s="22">
        <f t="shared" si="138"/>
        <v>52.78073870231178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2.3499999999999996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8.6166666666666654</v>
      </c>
      <c r="H134" s="67">
        <f t="shared" si="110"/>
        <v>222.20000000000002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68.813090060252648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5.6843418860808015E-14</v>
      </c>
      <c r="O134" s="13">
        <f>N134*VLOOKUP('Données projet'!$B$9,Paramètres!$A$1:$I$89,3,0)*VLOOKUP('Données projet'!$B$9,Paramètres!$A$1:$I$89,5,0)</f>
        <v>5.1431925385259088E-14</v>
      </c>
      <c r="P134" s="13">
        <f t="shared" si="141"/>
        <v>8.3482866290946129E-13</v>
      </c>
      <c r="Q134" s="20">
        <f t="shared" si="108"/>
        <v>1.5435705246133045E-12</v>
      </c>
      <c r="R134" s="59">
        <f t="shared" si="109"/>
        <v>288.98133022092793</v>
      </c>
      <c r="S134" s="59">
        <f ca="1">AVERAGE(OFFSET($R$3,0,0,'Données projet'!$E$9+1,1))-AVERAGE(OFFSET($H$3,0,0,'Données projet'!$E$9+1,1))</f>
        <v>473.88815717313474</v>
      </c>
      <c r="T134" s="59">
        <f t="shared" si="142"/>
        <v>287.19790203552895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150.34004309396096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150.34004309396096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68.813090060252648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5.6843418860808015E-14</v>
      </c>
      <c r="AJ134" s="13">
        <f>AI134*VLOOKUP('Données projet'!$B$10,Paramètres!$A$1:$I$89,3,0)*VLOOKUP('Données projet'!$B$10,Paramètres!$A$1:$I$89,5,0)</f>
        <v>4.7884896048344674E-14</v>
      </c>
      <c r="AK134" s="13">
        <f t="shared" si="143"/>
        <v>7.8374629847779921E-13</v>
      </c>
      <c r="AL134" s="20">
        <f t="shared" si="112"/>
        <v>1.4484243304663672E-12</v>
      </c>
      <c r="AM134" s="59">
        <f t="shared" si="113"/>
        <v>288.98133022092782</v>
      </c>
      <c r="AN134" s="59">
        <f ca="1">AVERAGE(OFFSET($AM$3,0,0,'Données projet'!$E$10+1,1))-AVERAGE(OFFSET($H$3,0,0,'Données projet'!$E$10+1,1))</f>
        <v>445.19118535527258</v>
      </c>
      <c r="AO134" s="59">
        <f t="shared" si="144"/>
        <v>270.93483242839363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139.97176425989474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139.97176425989474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68.813090060252648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5.6843418860808015E-14</v>
      </c>
      <c r="BE134" s="13">
        <f>BD134*VLOOKUP('Données projet'!$B$11,Paramètres!$A$1:$I$89,3,0)*VLOOKUP('Données projet'!$B$11,Paramètres!$A$1:$I$89,5,0)</f>
        <v>5.7639226724859328E-14</v>
      </c>
      <c r="BF134" s="13">
        <f t="shared" si="145"/>
        <v>9.2325701996134334E-13</v>
      </c>
      <c r="BG134" s="20">
        <f t="shared" si="115"/>
        <v>1.708394296311803E-12</v>
      </c>
      <c r="BH134" s="59">
        <f t="shared" si="116"/>
        <v>288.9813302209281</v>
      </c>
      <c r="BI134" s="59">
        <f ca="1">AVERAGE(OFFSET($BH$3,0,0,'Données projet'!$E$11+1,1))-AVERAGE(OFFSET($H$3,0,0,'Données projet'!$E$11+1,1))</f>
        <v>524.01140973345832</v>
      </c>
      <c r="BJ134" s="59">
        <f t="shared" si="146"/>
        <v>315.59942237999621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168.48453105357697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168.48453105357697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68.813090060252648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-2.8421709430404007E-13</v>
      </c>
      <c r="BZ134" s="13">
        <f>BY134*VLOOKUP('Données projet'!$B$12,Paramètres!$A$1:$I$89,3,0)*VLOOKUP('Données projet'!$B$12,Paramètres!$A$1:$I$89,5,0)</f>
        <v>-1.9065282685915009E-13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358.95222991910504</v>
      </c>
      <c r="CE134" s="59">
        <f t="shared" si="148"/>
        <v>347.37506646970905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51.723045109163913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51.723045109163913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68.813090060252648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-2.8421709430404007E-13</v>
      </c>
      <c r="CU134" s="17">
        <f>CT134*VLOOKUP('Données projet'!$B$13,Paramètres!$A$1:$I$89,3,0)*VLOOKUP('Données projet'!$B$13,Paramètres!$A$1:$I$89,5,0)</f>
        <v>-1.8621904018800707E-13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351.7266381615546</v>
      </c>
      <c r="CZ134" s="59">
        <f t="shared" si="150"/>
        <v>340.52483243761799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43.735640146091519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43.735640146091519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68.813090060252648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2.2737367544323206E-13</v>
      </c>
      <c r="DP134" s="17">
        <f>DO134*VLOOKUP('Données projet'!$B$14,Paramètres!$A$1:$I$89,3,0)*VLOOKUP('Données projet'!$B$14,Paramètres!$A$1:$I$89,5,0)</f>
        <v>1.9508661353029313E-13</v>
      </c>
      <c r="DQ134" s="13">
        <f t="shared" si="151"/>
        <v>2.711421636700695E-12</v>
      </c>
      <c r="DR134" s="20">
        <f t="shared" si="124"/>
        <v>5.0621685358189711E-12</v>
      </c>
      <c r="DS134" s="59">
        <f t="shared" si="125"/>
        <v>288.98133022093145</v>
      </c>
      <c r="DT134" s="59">
        <f ca="1">AVERAGE(OFFSET($DS$3,0,0,'Données projet'!$E$14+1,1))-AVERAGE(OFFSET($H$3,0,0,'Données projet'!$E$14+1,1))</f>
        <v>569.21675741362196</v>
      </c>
      <c r="DU134" s="59">
        <f t="shared" si="152"/>
        <v>321.12410801891679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215.76875075565613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215.76875075565613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68.813090060252648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-2.8421709430404007E-13</v>
      </c>
      <c r="EK134" s="17">
        <f>EJ134*VLOOKUP('Données projet'!$B$15,Paramètres!$A$1:$I$89,3,0)*VLOOKUP('Données projet'!$B$15,Paramètres!$A$1:$I$89,5,0)</f>
        <v>-2.2612312022829427E-13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416.63597645452791</v>
      </c>
      <c r="EP134" s="59">
        <f t="shared" si="154"/>
        <v>402.05920382353497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65.458159089083793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65.458159089083793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68.813090060252648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>
        <f>FE134*VLOOKUP('Données projet'!$B$16,Paramètres!$A$1:$I$89,3,0)*VLOOKUP('Données projet'!$B$16,Paramètres!$A$1:$I$89,5,0)</f>
        <v>0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395.57130469647603</v>
      </c>
      <c r="FK134" s="59">
        <f t="shared" si="156"/>
        <v>383.97542781562674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62.093749093587839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62.093749093587839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68.813090060252648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>
        <f>FZ134*VLOOKUP('Données projet'!$B$17,Paramètres!$A$1:$I$89,3,0)*VLOOKUP('Données projet'!$B$17,Paramètres!$A$1:$I$89,5,0)</f>
        <v>0</v>
      </c>
      <c r="GB134" s="13" t="e">
        <f t="shared" si="157"/>
        <v>#NUM!</v>
      </c>
      <c r="GC134" s="20" t="e">
        <f t="shared" si="133"/>
        <v>#NUM!</v>
      </c>
      <c r="GD134" s="59" t="e">
        <f t="shared" si="134"/>
        <v>#NUM!</v>
      </c>
      <c r="GE134" s="59">
        <f ca="1">AVERAGE(OFFSET($GD$3,0,0,'Données projet'!$E$17+1,1))-AVERAGE(OFFSET($H$3,0,0,'Données projet'!$E$17+1,1))</f>
        <v>301.74744407733351</v>
      </c>
      <c r="GF134" s="59">
        <f t="shared" si="158"/>
        <v>292.46787700966991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32.251498916184381</v>
      </c>
      <c r="GM134" s="21">
        <f>EXP(-LN(2)/25)*GM133+(1-EXP(-LN(2)/25))/(LN(2)/25)*Calculateur!GH134*Calculateur!GJ134*VLOOKUP('Données projet'!$B$17,Paramètres!$A$1:$I$89,3,0)*0.475*44/12</f>
        <v>0</v>
      </c>
      <c r="GN134" s="21">
        <f>EXP(-LN(2)/2)*GN133+(1-EXP(-LN(2)/2))/(LN(2)/2)*GH134*GK134*VLOOKUP('Données projet'!$B$17,Paramètres!$A$1:$I$89,3,0)*0.475*44/12</f>
        <v>0</v>
      </c>
      <c r="GO134" s="21">
        <f t="shared" si="135"/>
        <v>32.251498916184381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68.813090060252648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-2.8421709430404007E-13</v>
      </c>
      <c r="GV134" s="17">
        <f>GU134*VLOOKUP('Données projet'!$B$18,Paramètres!$A$1:$I$89,3,0)*VLOOKUP('Données projet'!$B$18,Paramètres!$A$1:$I$89,5,0)</f>
        <v>-1.6848389350343495E-13</v>
      </c>
      <c r="GW134" s="13" t="e">
        <f t="shared" si="159"/>
        <v>#NUM!</v>
      </c>
      <c r="GX134" s="20" t="e">
        <f t="shared" si="136"/>
        <v>#NUM!</v>
      </c>
      <c r="GY134" s="59" t="e">
        <f t="shared" si="137"/>
        <v>#NUM!</v>
      </c>
      <c r="GZ134" s="59">
        <f ca="1">AVERAGE(OFFSET($GY$3,0,0,'Données projet'!$E$18+1,1))-AVERAGE(OFFSET($H$3,0,0,'Données projet'!$E$18+1,1))</f>
        <v>322.78672881269978</v>
      </c>
      <c r="HA134" s="59">
        <f t="shared" si="160"/>
        <v>313.08736327626434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51.745740609431252</v>
      </c>
      <c r="HH134" s="21">
        <f>EXP(-LN(2)/25)*HH133+(1-EXP(-LN(2)/25))/(LN(2)/25)*Calculateur!HC134*Calculateur!HE134*VLOOKUP('Données projet'!$B$18,Paramètres!$A$1:$I$89,3,0)*0.475*44/12</f>
        <v>0</v>
      </c>
      <c r="HI134" s="21">
        <f>EXP(-LN(2)/2)*HI133+(1-EXP(-LN(2)/2))/(LN(2)/2)*HC134*HF134*VLOOKUP('Données projet'!$B$18,Paramètres!$A$1:$I$89,3,0)*0.475*44/12</f>
        <v>0</v>
      </c>
      <c r="HJ134" s="22">
        <f t="shared" si="138"/>
        <v>51.745740609431252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2.3499999999999996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8.6166666666666654</v>
      </c>
      <c r="H135" s="67">
        <f t="shared" si="110"/>
        <v>222.20000000000002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68.833680294174172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5.6843418860808015E-14</v>
      </c>
      <c r="O135" s="13">
        <f>N135*VLOOKUP('Données projet'!$B$9,Paramètres!$A$1:$I$89,3,0)*VLOOKUP('Données projet'!$B$9,Paramètres!$A$1:$I$89,5,0)</f>
        <v>5.1431925385259088E-14</v>
      </c>
      <c r="P135" s="13">
        <f t="shared" si="141"/>
        <v>8.3482866290946129E-13</v>
      </c>
      <c r="Q135" s="20">
        <f t="shared" si="108"/>
        <v>1.5435705246133045E-12</v>
      </c>
      <c r="R135" s="59">
        <f t="shared" si="109"/>
        <v>289.0568277453068</v>
      </c>
      <c r="S135" s="59">
        <f ca="1">AVERAGE(OFFSET($R$3,0,0,'Données projet'!$E$9+1,1))-AVERAGE(OFFSET($H$3,0,0,'Données projet'!$E$9+1,1))</f>
        <v>473.88815717313474</v>
      </c>
      <c r="T135" s="59">
        <f t="shared" si="142"/>
        <v>287.19790203552895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147.39196654726021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147.39196654726021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68.833680294174172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5.6843418860808015E-14</v>
      </c>
      <c r="AJ135" s="13">
        <f>AI135*VLOOKUP('Données projet'!$B$10,Paramètres!$A$1:$I$89,3,0)*VLOOKUP('Données projet'!$B$10,Paramètres!$A$1:$I$89,5,0)</f>
        <v>4.7884896048344674E-14</v>
      </c>
      <c r="AK135" s="13">
        <f t="shared" si="143"/>
        <v>7.8374629847779921E-13</v>
      </c>
      <c r="AL135" s="20">
        <f t="shared" si="112"/>
        <v>1.4484243304663672E-12</v>
      </c>
      <c r="AM135" s="59">
        <f t="shared" si="113"/>
        <v>289.05682774530669</v>
      </c>
      <c r="AN135" s="59">
        <f ca="1">AVERAGE(OFFSET($AM$3,0,0,'Données projet'!$E$10+1,1))-AVERAGE(OFFSET($H$3,0,0,'Données projet'!$E$10+1,1))</f>
        <v>445.19118535527258</v>
      </c>
      <c r="AO135" s="59">
        <f t="shared" si="144"/>
        <v>270.93483242839363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137.22700333710438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137.22700333710438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68.833680294174172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5.6843418860808015E-14</v>
      </c>
      <c r="BE135" s="13">
        <f>BD135*VLOOKUP('Données projet'!$B$11,Paramètres!$A$1:$I$89,3,0)*VLOOKUP('Données projet'!$B$11,Paramètres!$A$1:$I$89,5,0)</f>
        <v>5.7639226724859328E-14</v>
      </c>
      <c r="BF135" s="13">
        <f t="shared" si="145"/>
        <v>9.2325701996134334E-13</v>
      </c>
      <c r="BG135" s="20">
        <f t="shared" si="115"/>
        <v>1.708394296311803E-12</v>
      </c>
      <c r="BH135" s="59">
        <f t="shared" si="116"/>
        <v>289.05682774530698</v>
      </c>
      <c r="BI135" s="59">
        <f ca="1">AVERAGE(OFFSET($BH$3,0,0,'Données projet'!$E$11+1,1))-AVERAGE(OFFSET($H$3,0,0,'Données projet'!$E$11+1,1))</f>
        <v>524.01140973345832</v>
      </c>
      <c r="BJ135" s="59">
        <f t="shared" si="146"/>
        <v>315.59942237999621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165.18065216503302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165.18065216503302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68.833680294174172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-2.8421709430404007E-13</v>
      </c>
      <c r="BZ135" s="13">
        <f>BY135*VLOOKUP('Données projet'!$B$12,Paramètres!$A$1:$I$89,3,0)*VLOOKUP('Données projet'!$B$12,Paramètres!$A$1:$I$89,5,0)</f>
        <v>-1.9065282685915009E-13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358.95222991910504</v>
      </c>
      <c r="CE135" s="59">
        <f t="shared" si="148"/>
        <v>347.37506646970905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50.708787742515625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50.708787742515625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68.833680294174172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-2.8421709430404007E-13</v>
      </c>
      <c r="CU135" s="17">
        <f>CT135*VLOOKUP('Données projet'!$B$13,Paramètres!$A$1:$I$89,3,0)*VLOOKUP('Données projet'!$B$13,Paramètres!$A$1:$I$89,5,0)</f>
        <v>-1.8621904018800707E-13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351.7266381615546</v>
      </c>
      <c r="CZ135" s="59">
        <f t="shared" si="150"/>
        <v>340.52483243761799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42.878010918933107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42.878010918933107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68.833680294174172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2.2737367544323206E-13</v>
      </c>
      <c r="DP135" s="17">
        <f>DO135*VLOOKUP('Données projet'!$B$14,Paramètres!$A$1:$I$89,3,0)*VLOOKUP('Données projet'!$B$14,Paramètres!$A$1:$I$89,5,0)</f>
        <v>1.9508661353029313E-13</v>
      </c>
      <c r="DQ135" s="13">
        <f t="shared" si="151"/>
        <v>2.711421636700695E-12</v>
      </c>
      <c r="DR135" s="20">
        <f t="shared" si="124"/>
        <v>5.0621685358189711E-12</v>
      </c>
      <c r="DS135" s="59">
        <f t="shared" si="125"/>
        <v>289.05682774531033</v>
      </c>
      <c r="DT135" s="59">
        <f ca="1">AVERAGE(OFFSET($DS$3,0,0,'Données projet'!$E$14+1,1))-AVERAGE(OFFSET($H$3,0,0,'Données projet'!$E$14+1,1))</f>
        <v>569.21675741362196</v>
      </c>
      <c r="DU135" s="59">
        <f t="shared" si="152"/>
        <v>321.12410801891679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211.53765715928066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211.53765715928066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68.833680294174172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-2.8421709430404007E-13</v>
      </c>
      <c r="EK135" s="17">
        <f>EJ135*VLOOKUP('Données projet'!$B$15,Paramètres!$A$1:$I$89,3,0)*VLOOKUP('Données projet'!$B$15,Paramètres!$A$1:$I$89,5,0)</f>
        <v>-2.2612312022829427E-13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416.63597645452791</v>
      </c>
      <c r="EP135" s="59">
        <f t="shared" si="154"/>
        <v>402.05920382353497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64.174564514881581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64.174564514881581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68.833680294174172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>
        <f>FE135*VLOOKUP('Données projet'!$B$16,Paramètres!$A$1:$I$89,3,0)*VLOOKUP('Données projet'!$B$16,Paramètres!$A$1:$I$89,5,0)</f>
        <v>0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395.57130469647603</v>
      </c>
      <c r="FK135" s="59">
        <f t="shared" si="156"/>
        <v>383.97542781562674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60.876128547309833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60.876128547309833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68.833680294174172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>
        <f>FZ135*VLOOKUP('Données projet'!$B$17,Paramètres!$A$1:$I$89,3,0)*VLOOKUP('Données projet'!$B$17,Paramètres!$A$1:$I$89,5,0)</f>
        <v>0</v>
      </c>
      <c r="GB135" s="13" t="e">
        <f t="shared" si="157"/>
        <v>#NUM!</v>
      </c>
      <c r="GC135" s="20" t="e">
        <f t="shared" si="133"/>
        <v>#NUM!</v>
      </c>
      <c r="GD135" s="59" t="e">
        <f t="shared" si="134"/>
        <v>#NUM!</v>
      </c>
      <c r="GE135" s="59">
        <f ca="1">AVERAGE(OFFSET($GD$3,0,0,'Données projet'!$E$17+1,1))-AVERAGE(OFFSET($H$3,0,0,'Données projet'!$E$17+1,1))</f>
        <v>301.74744407733351</v>
      </c>
      <c r="GF135" s="59">
        <f t="shared" si="158"/>
        <v>292.46787700966991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31.619066693909947</v>
      </c>
      <c r="GM135" s="21">
        <f>EXP(-LN(2)/25)*GM134+(1-EXP(-LN(2)/25))/(LN(2)/25)*Calculateur!GH135*Calculateur!GJ135*VLOOKUP('Données projet'!$B$17,Paramètres!$A$1:$I$89,3,0)*0.475*44/12</f>
        <v>0</v>
      </c>
      <c r="GN135" s="21">
        <f>EXP(-LN(2)/2)*GN134+(1-EXP(-LN(2)/2))/(LN(2)/2)*GH135*GK135*VLOOKUP('Données projet'!$B$17,Paramètres!$A$1:$I$89,3,0)*0.475*44/12</f>
        <v>0</v>
      </c>
      <c r="GO135" s="21">
        <f t="shared" si="135"/>
        <v>31.619066693909947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68.833680294174172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-2.8421709430404007E-13</v>
      </c>
      <c r="GV135" s="17">
        <f>GU135*VLOOKUP('Données projet'!$B$18,Paramètres!$A$1:$I$89,3,0)*VLOOKUP('Données projet'!$B$18,Paramètres!$A$1:$I$89,5,0)</f>
        <v>-1.6848389350343495E-13</v>
      </c>
      <c r="GW135" s="13" t="e">
        <f t="shared" si="159"/>
        <v>#NUM!</v>
      </c>
      <c r="GX135" s="20" t="e">
        <f t="shared" si="136"/>
        <v>#NUM!</v>
      </c>
      <c r="GY135" s="59" t="e">
        <f t="shared" si="137"/>
        <v>#NUM!</v>
      </c>
      <c r="GZ135" s="59">
        <f ca="1">AVERAGE(OFFSET($GY$3,0,0,'Données projet'!$E$18+1,1))-AVERAGE(OFFSET($H$3,0,0,'Données projet'!$E$18+1,1))</f>
        <v>322.78672881269978</v>
      </c>
      <c r="HA135" s="59">
        <f t="shared" si="160"/>
        <v>313.08736327626434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50.731038197865608</v>
      </c>
      <c r="HH135" s="21">
        <f>EXP(-LN(2)/25)*HH134+(1-EXP(-LN(2)/25))/(LN(2)/25)*Calculateur!HC135*Calculateur!HE135*VLOOKUP('Données projet'!$B$18,Paramètres!$A$1:$I$89,3,0)*0.475*44/12</f>
        <v>0</v>
      </c>
      <c r="HI135" s="21">
        <f>EXP(-LN(2)/2)*HI134+(1-EXP(-LN(2)/2))/(LN(2)/2)*HC135*HF135*VLOOKUP('Données projet'!$B$18,Paramètres!$A$1:$I$89,3,0)*0.475*44/12</f>
        <v>0</v>
      </c>
      <c r="HJ135" s="22">
        <f t="shared" si="138"/>
        <v>50.731038197865608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2.3499999999999996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8.6166666666666654</v>
      </c>
      <c r="H136" s="67">
        <f t="shared" si="110"/>
        <v>222.20000000000002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68.853913333570006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5.6843418860808015E-14</v>
      </c>
      <c r="O136" s="13">
        <f>N136*VLOOKUP('Données projet'!$B$9,Paramètres!$A$1:$I$89,3,0)*VLOOKUP('Données projet'!$B$9,Paramètres!$A$1:$I$89,5,0)</f>
        <v>5.1431925385259088E-14</v>
      </c>
      <c r="P136" s="13">
        <f t="shared" si="141"/>
        <v>8.3482866290946129E-13</v>
      </c>
      <c r="Q136" s="20">
        <f t="shared" si="108"/>
        <v>1.5435705246133045E-12</v>
      </c>
      <c r="R136" s="59">
        <f t="shared" si="109"/>
        <v>289.13101555642487</v>
      </c>
      <c r="S136" s="59">
        <f ca="1">AVERAGE(OFFSET($R$3,0,0,'Données projet'!$E$9+1,1))-AVERAGE(OFFSET($H$3,0,0,'Données projet'!$E$9+1,1))</f>
        <v>473.88815717313474</v>
      </c>
      <c r="T136" s="59">
        <f t="shared" si="142"/>
        <v>287.19790203552895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144.50169998349114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144.50169998349114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68.853913333570006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5.6843418860808015E-14</v>
      </c>
      <c r="AJ136" s="13">
        <f>AI136*VLOOKUP('Données projet'!$B$10,Paramètres!$A$1:$I$89,3,0)*VLOOKUP('Données projet'!$B$10,Paramètres!$A$1:$I$89,5,0)</f>
        <v>4.7884896048344674E-14</v>
      </c>
      <c r="AK136" s="13">
        <f t="shared" si="143"/>
        <v>7.8374629847779921E-13</v>
      </c>
      <c r="AL136" s="20">
        <f t="shared" si="112"/>
        <v>1.4484243304663672E-12</v>
      </c>
      <c r="AM136" s="59">
        <f t="shared" si="113"/>
        <v>289.13101555642476</v>
      </c>
      <c r="AN136" s="59">
        <f ca="1">AVERAGE(OFFSET($AM$3,0,0,'Données projet'!$E$10+1,1))-AVERAGE(OFFSET($H$3,0,0,'Données projet'!$E$10+1,1))</f>
        <v>445.19118535527258</v>
      </c>
      <c r="AO136" s="59">
        <f t="shared" si="144"/>
        <v>270.93483242839363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134.53606550187109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134.53606550187109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68.853913333570006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5.6843418860808015E-14</v>
      </c>
      <c r="BE136" s="13">
        <f>BD136*VLOOKUP('Données projet'!$B$11,Paramètres!$A$1:$I$89,3,0)*VLOOKUP('Données projet'!$B$11,Paramètres!$A$1:$I$89,5,0)</f>
        <v>5.7639226724859328E-14</v>
      </c>
      <c r="BF136" s="13">
        <f t="shared" si="145"/>
        <v>9.2325701996134334E-13</v>
      </c>
      <c r="BG136" s="20">
        <f t="shared" si="115"/>
        <v>1.708394296311803E-12</v>
      </c>
      <c r="BH136" s="59">
        <f t="shared" si="116"/>
        <v>289.13101555642504</v>
      </c>
      <c r="BI136" s="59">
        <f ca="1">AVERAGE(OFFSET($BH$3,0,0,'Données projet'!$E$11+1,1))-AVERAGE(OFFSET($H$3,0,0,'Données projet'!$E$11+1,1))</f>
        <v>524.01140973345832</v>
      </c>
      <c r="BJ136" s="59">
        <f t="shared" si="146"/>
        <v>315.59942237999621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161.94156032632628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161.94156032632628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68.853913333570006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-2.8421709430404007E-13</v>
      </c>
      <c r="BZ136" s="13">
        <f>BY136*VLOOKUP('Données projet'!$B$12,Paramètres!$A$1:$I$89,3,0)*VLOOKUP('Données projet'!$B$12,Paramètres!$A$1:$I$89,5,0)</f>
        <v>-1.9065282685915009E-13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358.95222991910504</v>
      </c>
      <c r="CE136" s="59">
        <f t="shared" si="148"/>
        <v>347.37506646970905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49.714419344191398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49.714419344191398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68.853913333570006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-2.8421709430404007E-13</v>
      </c>
      <c r="CU136" s="17">
        <f>CT136*VLOOKUP('Données projet'!$B$13,Paramètres!$A$1:$I$89,3,0)*VLOOKUP('Données projet'!$B$13,Paramètres!$A$1:$I$89,5,0)</f>
        <v>-1.8621904018800707E-13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351.7266381615546</v>
      </c>
      <c r="CZ136" s="59">
        <f t="shared" si="150"/>
        <v>340.52483243761799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42.037199277817095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42.037199277817095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68.853913333570006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2.2737367544323206E-13</v>
      </c>
      <c r="DP136" s="17">
        <f>DO136*VLOOKUP('Données projet'!$B$14,Paramètres!$A$1:$I$89,3,0)*VLOOKUP('Données projet'!$B$14,Paramètres!$A$1:$I$89,5,0)</f>
        <v>1.9508661353029313E-13</v>
      </c>
      <c r="DQ136" s="13">
        <f t="shared" si="151"/>
        <v>2.711421636700695E-12</v>
      </c>
      <c r="DR136" s="20">
        <f t="shared" si="124"/>
        <v>5.0621685358189711E-12</v>
      </c>
      <c r="DS136" s="59">
        <f t="shared" si="125"/>
        <v>289.13101555642839</v>
      </c>
      <c r="DT136" s="59">
        <f ca="1">AVERAGE(OFFSET($DS$3,0,0,'Données projet'!$E$14+1,1))-AVERAGE(OFFSET($H$3,0,0,'Données projet'!$E$14+1,1))</f>
        <v>569.21675741362196</v>
      </c>
      <c r="DU136" s="59">
        <f t="shared" si="152"/>
        <v>321.12410801891679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207.38953272761785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207.38953272761785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68.853913333570006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-2.8421709430404007E-13</v>
      </c>
      <c r="EK136" s="17">
        <f>EJ136*VLOOKUP('Données projet'!$B$15,Paramètres!$A$1:$I$89,3,0)*VLOOKUP('Données projet'!$B$15,Paramètres!$A$1:$I$89,5,0)</f>
        <v>-2.2612312022829427E-13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416.63597645452791</v>
      </c>
      <c r="EP136" s="59">
        <f t="shared" si="154"/>
        <v>402.05920382353497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62.916140447364093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62.916140447364093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68.853913333570006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>
        <f>FE136*VLOOKUP('Données projet'!$B$16,Paramètres!$A$1:$I$89,3,0)*VLOOKUP('Données projet'!$B$16,Paramètres!$A$1:$I$89,5,0)</f>
        <v>0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395.57130469647603</v>
      </c>
      <c r="FK136" s="59">
        <f t="shared" si="156"/>
        <v>383.97542781562674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59.682384797269144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59.682384797269144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68.853913333570006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>
        <f>FZ136*VLOOKUP('Données projet'!$B$17,Paramètres!$A$1:$I$89,3,0)*VLOOKUP('Données projet'!$B$17,Paramètres!$A$1:$I$89,5,0)</f>
        <v>0</v>
      </c>
      <c r="GB136" s="13" t="e">
        <f t="shared" si="157"/>
        <v>#NUM!</v>
      </c>
      <c r="GC136" s="20" t="e">
        <f t="shared" si="133"/>
        <v>#NUM!</v>
      </c>
      <c r="GD136" s="59" t="e">
        <f t="shared" si="134"/>
        <v>#NUM!</v>
      </c>
      <c r="GE136" s="59">
        <f ca="1">AVERAGE(OFFSET($GD$3,0,0,'Données projet'!$E$17+1,1))-AVERAGE(OFFSET($H$3,0,0,'Données projet'!$E$17+1,1))</f>
        <v>301.74744407733351</v>
      </c>
      <c r="GF136" s="59">
        <f t="shared" si="158"/>
        <v>292.46787700966991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30.999036081768747</v>
      </c>
      <c r="GM136" s="21">
        <f>EXP(-LN(2)/25)*GM135+(1-EXP(-LN(2)/25))/(LN(2)/25)*Calculateur!GH136*Calculateur!GJ136*VLOOKUP('Données projet'!$B$17,Paramètres!$A$1:$I$89,3,0)*0.475*44/12</f>
        <v>0</v>
      </c>
      <c r="GN136" s="21">
        <f>EXP(-LN(2)/2)*GN135+(1-EXP(-LN(2)/2))/(LN(2)/2)*GH136*GK136*VLOOKUP('Données projet'!$B$17,Paramètres!$A$1:$I$89,3,0)*0.475*44/12</f>
        <v>0</v>
      </c>
      <c r="GO136" s="21">
        <f t="shared" si="135"/>
        <v>30.999036081768747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68.853913333570006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-2.8421709430404007E-13</v>
      </c>
      <c r="GV136" s="17">
        <f>GU136*VLOOKUP('Données projet'!$B$18,Paramètres!$A$1:$I$89,3,0)*VLOOKUP('Données projet'!$B$18,Paramètres!$A$1:$I$89,5,0)</f>
        <v>-1.6848389350343495E-13</v>
      </c>
      <c r="GW136" s="13" t="e">
        <f t="shared" si="159"/>
        <v>#NUM!</v>
      </c>
      <c r="GX136" s="20" t="e">
        <f t="shared" si="136"/>
        <v>#NUM!</v>
      </c>
      <c r="GY136" s="59" t="e">
        <f t="shared" si="137"/>
        <v>#NUM!</v>
      </c>
      <c r="GZ136" s="59">
        <f ca="1">AVERAGE(OFFSET($GY$3,0,0,'Données projet'!$E$18+1,1))-AVERAGE(OFFSET($H$3,0,0,'Données projet'!$E$18+1,1))</f>
        <v>322.78672881269978</v>
      </c>
      <c r="HA136" s="59">
        <f t="shared" si="160"/>
        <v>313.08736327626434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49.736233481683406</v>
      </c>
      <c r="HH136" s="21">
        <f>EXP(-LN(2)/25)*HH135+(1-EXP(-LN(2)/25))/(LN(2)/25)*Calculateur!HC136*Calculateur!HE136*VLOOKUP('Données projet'!$B$18,Paramètres!$A$1:$I$89,3,0)*0.475*44/12</f>
        <v>0</v>
      </c>
      <c r="HI136" s="21">
        <f>EXP(-LN(2)/2)*HI135+(1-EXP(-LN(2)/2))/(LN(2)/2)*HC136*HF136*VLOOKUP('Données projet'!$B$18,Paramètres!$A$1:$I$89,3,0)*0.475*44/12</f>
        <v>0</v>
      </c>
      <c r="HJ136" s="22">
        <f t="shared" si="138"/>
        <v>49.736233481683406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2.3499999999999996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8.6166666666666654</v>
      </c>
      <c r="H137" s="67">
        <f t="shared" si="110"/>
        <v>222.20000000000002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68.873795374966647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5.6843418860808015E-14</v>
      </c>
      <c r="O137" s="13">
        <f>N137*VLOOKUP('Données projet'!$B$9,Paramètres!$A$1:$I$89,3,0)*VLOOKUP('Données projet'!$B$9,Paramètres!$A$1:$I$89,5,0)</f>
        <v>5.1431925385259088E-14</v>
      </c>
      <c r="P137" s="13">
        <f t="shared" si="141"/>
        <v>8.3482866290946129E-13</v>
      </c>
      <c r="Q137" s="20">
        <f t="shared" si="108"/>
        <v>1.5435705246133045E-12</v>
      </c>
      <c r="R137" s="59">
        <f t="shared" si="109"/>
        <v>289.20391637487921</v>
      </c>
      <c r="S137" s="59">
        <f ca="1">AVERAGE(OFFSET($R$3,0,0,'Données projet'!$E$9+1,1))-AVERAGE(OFFSET($H$3,0,0,'Données projet'!$E$9+1,1))</f>
        <v>473.88815717313474</v>
      </c>
      <c r="T137" s="59">
        <f t="shared" si="142"/>
        <v>287.19790203552895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141.66810978414904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141.66810978414904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68.873795374966647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5.6843418860808015E-14</v>
      </c>
      <c r="AJ137" s="13">
        <f>AI137*VLOOKUP('Données projet'!$B$10,Paramètres!$A$1:$I$89,3,0)*VLOOKUP('Données projet'!$B$10,Paramètres!$A$1:$I$89,5,0)</f>
        <v>4.7884896048344674E-14</v>
      </c>
      <c r="AK137" s="13">
        <f t="shared" si="143"/>
        <v>7.8374629847779921E-13</v>
      </c>
      <c r="AL137" s="20">
        <f t="shared" si="112"/>
        <v>1.4484243304663672E-12</v>
      </c>
      <c r="AM137" s="59">
        <f t="shared" si="113"/>
        <v>289.2039163748791</v>
      </c>
      <c r="AN137" s="59">
        <f ca="1">AVERAGE(OFFSET($AM$3,0,0,'Données projet'!$E$10+1,1))-AVERAGE(OFFSET($H$3,0,0,'Données projet'!$E$10+1,1))</f>
        <v>445.19118535527258</v>
      </c>
      <c r="AO137" s="59">
        <f t="shared" si="144"/>
        <v>270.93483242839363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131.8978953162767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131.8978953162767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68.873795374966647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5.6843418860808015E-14</v>
      </c>
      <c r="BE137" s="13">
        <f>BD137*VLOOKUP('Données projet'!$B$11,Paramètres!$A$1:$I$89,3,0)*VLOOKUP('Données projet'!$B$11,Paramètres!$A$1:$I$89,5,0)</f>
        <v>5.7639226724859328E-14</v>
      </c>
      <c r="BF137" s="13">
        <f t="shared" si="145"/>
        <v>9.2325701996134334E-13</v>
      </c>
      <c r="BG137" s="20">
        <f t="shared" si="115"/>
        <v>1.708394296311803E-12</v>
      </c>
      <c r="BH137" s="59">
        <f t="shared" si="116"/>
        <v>289.20391637487938</v>
      </c>
      <c r="BI137" s="59">
        <f ca="1">AVERAGE(OFFSET($BH$3,0,0,'Données projet'!$E$11+1,1))-AVERAGE(OFFSET($H$3,0,0,'Données projet'!$E$11+1,1))</f>
        <v>524.01140973345832</v>
      </c>
      <c r="BJ137" s="59">
        <f t="shared" si="146"/>
        <v>315.59942237999621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158.76598510292564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158.76598510292564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68.873795374966647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-2.8421709430404007E-13</v>
      </c>
      <c r="BZ137" s="13">
        <f>BY137*VLOOKUP('Données projet'!$B$12,Paramètres!$A$1:$I$89,3,0)*VLOOKUP('Données projet'!$B$12,Paramètres!$A$1:$I$89,5,0)</f>
        <v>-1.9065282685915009E-13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358.95222991910504</v>
      </c>
      <c r="CE137" s="59">
        <f t="shared" si="148"/>
        <v>347.37506646970905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48.739549903653476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48.739549903653476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68.873795374966647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-2.8421709430404007E-13</v>
      </c>
      <c r="CU137" s="17">
        <f>CT137*VLOOKUP('Données projet'!$B$13,Paramètres!$A$1:$I$89,3,0)*VLOOKUP('Données projet'!$B$13,Paramètres!$A$1:$I$89,5,0)</f>
        <v>-1.8621904018800707E-13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351.7266381615546</v>
      </c>
      <c r="CZ137" s="59">
        <f t="shared" si="150"/>
        <v>340.52483243761799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41.212875440138909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41.212875440138909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68.873795374966647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2.2737367544323206E-13</v>
      </c>
      <c r="DP137" s="17">
        <f>DO137*VLOOKUP('Données projet'!$B$14,Paramètres!$A$1:$I$89,3,0)*VLOOKUP('Données projet'!$B$14,Paramètres!$A$1:$I$89,5,0)</f>
        <v>1.9508661353029313E-13</v>
      </c>
      <c r="DQ137" s="13">
        <f t="shared" si="151"/>
        <v>2.711421636700695E-12</v>
      </c>
      <c r="DR137" s="20">
        <f t="shared" si="124"/>
        <v>5.0621685358189711E-12</v>
      </c>
      <c r="DS137" s="59">
        <f t="shared" si="125"/>
        <v>289.20391637488274</v>
      </c>
      <c r="DT137" s="59">
        <f ca="1">AVERAGE(OFFSET($DS$3,0,0,'Données projet'!$E$14+1,1))-AVERAGE(OFFSET($H$3,0,0,'Données projet'!$E$14+1,1))</f>
        <v>569.21675741362196</v>
      </c>
      <c r="DU137" s="59">
        <f t="shared" si="152"/>
        <v>321.12410801891679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203.32275048595386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203.32275048595386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68.873795374966647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-2.8421709430404007E-13</v>
      </c>
      <c r="EK137" s="17">
        <f>EJ137*VLOOKUP('Données projet'!$B$15,Paramètres!$A$1:$I$89,3,0)*VLOOKUP('Données projet'!$B$15,Paramètres!$A$1:$I$89,5,0)</f>
        <v>-2.2612312022829427E-13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416.63597645452791</v>
      </c>
      <c r="EP137" s="59">
        <f t="shared" si="154"/>
        <v>402.05920382353497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61.682393308247732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61.682393308247732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68.873795374966647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>
        <f>FE137*VLOOKUP('Données projet'!$B$16,Paramètres!$A$1:$I$89,3,0)*VLOOKUP('Données projet'!$B$16,Paramètres!$A$1:$I$89,5,0)</f>
        <v>0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395.57130469647603</v>
      </c>
      <c r="FK137" s="59">
        <f t="shared" si="156"/>
        <v>383.97542781562674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58.512049634054961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58.512049634054961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68.873795374966647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>
        <f>FZ137*VLOOKUP('Données projet'!$B$17,Paramètres!$A$1:$I$89,3,0)*VLOOKUP('Données projet'!$B$17,Paramètres!$A$1:$I$89,5,0)</f>
        <v>0</v>
      </c>
      <c r="GB137" s="13" t="e">
        <f t="shared" si="157"/>
        <v>#NUM!</v>
      </c>
      <c r="GC137" s="20" t="e">
        <f t="shared" si="133"/>
        <v>#NUM!</v>
      </c>
      <c r="GD137" s="59" t="e">
        <f t="shared" si="134"/>
        <v>#NUM!</v>
      </c>
      <c r="GE137" s="59">
        <f ca="1">AVERAGE(OFFSET($GD$3,0,0,'Données projet'!$E$17+1,1))-AVERAGE(OFFSET($H$3,0,0,'Données projet'!$E$17+1,1))</f>
        <v>301.74744407733351</v>
      </c>
      <c r="GF137" s="59">
        <f t="shared" si="158"/>
        <v>292.46787700966991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30.391163891750306</v>
      </c>
      <c r="GM137" s="21">
        <f>EXP(-LN(2)/25)*GM136+(1-EXP(-LN(2)/25))/(LN(2)/25)*Calculateur!GH137*Calculateur!GJ137*VLOOKUP('Données projet'!$B$17,Paramètres!$A$1:$I$89,3,0)*0.475*44/12</f>
        <v>0</v>
      </c>
      <c r="GN137" s="21">
        <f>EXP(-LN(2)/2)*GN136+(1-EXP(-LN(2)/2))/(LN(2)/2)*GH137*GK137*VLOOKUP('Données projet'!$B$17,Paramètres!$A$1:$I$89,3,0)*0.475*44/12</f>
        <v>0</v>
      </c>
      <c r="GO137" s="21">
        <f t="shared" si="135"/>
        <v>30.391163891750306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68.873795374966647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-2.8421709430404007E-13</v>
      </c>
      <c r="GV137" s="17">
        <f>GU137*VLOOKUP('Données projet'!$B$18,Paramètres!$A$1:$I$89,3,0)*VLOOKUP('Données projet'!$B$18,Paramètres!$A$1:$I$89,5,0)</f>
        <v>-1.6848389350343495E-13</v>
      </c>
      <c r="GW137" s="13" t="e">
        <f t="shared" si="159"/>
        <v>#NUM!</v>
      </c>
      <c r="GX137" s="20" t="e">
        <f t="shared" si="136"/>
        <v>#NUM!</v>
      </c>
      <c r="GY137" s="59" t="e">
        <f t="shared" si="137"/>
        <v>#NUM!</v>
      </c>
      <c r="GZ137" s="59">
        <f ca="1">AVERAGE(OFFSET($GY$3,0,0,'Données projet'!$E$18+1,1))-AVERAGE(OFFSET($H$3,0,0,'Données projet'!$E$18+1,1))</f>
        <v>322.78672881269978</v>
      </c>
      <c r="HA137" s="59">
        <f t="shared" si="160"/>
        <v>313.08736327626434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48.760936279214576</v>
      </c>
      <c r="HH137" s="21">
        <f>EXP(-LN(2)/25)*HH136+(1-EXP(-LN(2)/25))/(LN(2)/25)*Calculateur!HC137*Calculateur!HE137*VLOOKUP('Données projet'!$B$18,Paramètres!$A$1:$I$89,3,0)*0.475*44/12</f>
        <v>0</v>
      </c>
      <c r="HI137" s="21">
        <f>EXP(-LN(2)/2)*HI136+(1-EXP(-LN(2)/2))/(LN(2)/2)*HC137*HF137*VLOOKUP('Données projet'!$B$18,Paramètres!$A$1:$I$89,3,0)*0.475*44/12</f>
        <v>0</v>
      </c>
      <c r="HJ137" s="22">
        <f t="shared" si="138"/>
        <v>48.760936279214576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2.3499999999999996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8.6166666666666654</v>
      </c>
      <c r="H138" s="67">
        <f t="shared" si="110"/>
        <v>222.20000000000002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68.893332507394618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5.6843418860808015E-14</v>
      </c>
      <c r="O138" s="13">
        <f>N138*VLOOKUP('Données projet'!$B$9,Paramètres!$A$1:$I$89,3,0)*VLOOKUP('Données projet'!$B$9,Paramètres!$A$1:$I$89,5,0)</f>
        <v>5.1431925385259088E-14</v>
      </c>
      <c r="P138" s="13">
        <f t="shared" si="141"/>
        <v>8.3482866290946129E-13</v>
      </c>
      <c r="Q138" s="20">
        <f t="shared" si="108"/>
        <v>1.5435705246133045E-12</v>
      </c>
      <c r="R138" s="59">
        <f t="shared" si="109"/>
        <v>289.27555252711511</v>
      </c>
      <c r="S138" s="59">
        <f ca="1">AVERAGE(OFFSET($R$3,0,0,'Données projet'!$E$9+1,1))-AVERAGE(OFFSET($H$3,0,0,'Données projet'!$E$9+1,1))</f>
        <v>473.88815717313474</v>
      </c>
      <c r="T138" s="59">
        <f t="shared" si="142"/>
        <v>287.19790203552895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138.89008456029666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138.89008456029666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68.893332507394618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5.6843418860808015E-14</v>
      </c>
      <c r="AJ138" s="13">
        <f>AI138*VLOOKUP('Données projet'!$B$10,Paramètres!$A$1:$I$89,3,0)*VLOOKUP('Données projet'!$B$10,Paramètres!$A$1:$I$89,5,0)</f>
        <v>4.7884896048344674E-14</v>
      </c>
      <c r="AK138" s="13">
        <f t="shared" si="143"/>
        <v>7.8374629847779921E-13</v>
      </c>
      <c r="AL138" s="20">
        <f t="shared" si="112"/>
        <v>1.4484243304663672E-12</v>
      </c>
      <c r="AM138" s="59">
        <f t="shared" si="113"/>
        <v>289.275552527115</v>
      </c>
      <c r="AN138" s="59">
        <f ca="1">AVERAGE(OFFSET($AM$3,0,0,'Données projet'!$E$10+1,1))-AVERAGE(OFFSET($H$3,0,0,'Données projet'!$E$10+1,1))</f>
        <v>445.19118535527258</v>
      </c>
      <c r="AO138" s="59">
        <f t="shared" si="144"/>
        <v>270.93483242839363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129.31145803889692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129.31145803889692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68.893332507394618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5.6843418860808015E-14</v>
      </c>
      <c r="BE138" s="13">
        <f>BD138*VLOOKUP('Données projet'!$B$11,Paramètres!$A$1:$I$89,3,0)*VLOOKUP('Données projet'!$B$11,Paramètres!$A$1:$I$89,5,0)</f>
        <v>5.7639226724859328E-14</v>
      </c>
      <c r="BF138" s="13">
        <f t="shared" si="145"/>
        <v>9.2325701996134334E-13</v>
      </c>
      <c r="BG138" s="20">
        <f t="shared" si="115"/>
        <v>1.708394296311803E-12</v>
      </c>
      <c r="BH138" s="59">
        <f t="shared" si="116"/>
        <v>289.27555252711528</v>
      </c>
      <c r="BI138" s="59">
        <f ca="1">AVERAGE(OFFSET($BH$3,0,0,'Données projet'!$E$11+1,1))-AVERAGE(OFFSET($H$3,0,0,'Données projet'!$E$11+1,1))</f>
        <v>524.01140973345832</v>
      </c>
      <c r="BJ138" s="59">
        <f t="shared" si="146"/>
        <v>315.59942237999621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155.65268097274625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155.65268097274625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68.893332507394618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-2.8421709430404007E-13</v>
      </c>
      <c r="BZ138" s="13">
        <f>BY138*VLOOKUP('Données projet'!$B$12,Paramètres!$A$1:$I$89,3,0)*VLOOKUP('Données projet'!$B$12,Paramètres!$A$1:$I$89,5,0)</f>
        <v>-1.9065282685915009E-13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358.95222991910504</v>
      </c>
      <c r="CE138" s="59">
        <f t="shared" si="148"/>
        <v>347.37506646970905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47.783797058232857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47.783797058232857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68.893332507394618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-2.8421709430404007E-13</v>
      </c>
      <c r="CU138" s="17">
        <f>CT138*VLOOKUP('Données projet'!$B$13,Paramètres!$A$1:$I$89,3,0)*VLOOKUP('Données projet'!$B$13,Paramètres!$A$1:$I$89,5,0)</f>
        <v>-1.8621904018800707E-13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351.7266381615546</v>
      </c>
      <c r="CZ138" s="59">
        <f t="shared" si="150"/>
        <v>340.52483243761799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40.404716090129696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40.404716090129696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68.893332507394618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2.2737367544323206E-13</v>
      </c>
      <c r="DP138" s="17">
        <f>DO138*VLOOKUP('Données projet'!$B$14,Paramètres!$A$1:$I$89,3,0)*VLOOKUP('Données projet'!$B$14,Paramètres!$A$1:$I$89,5,0)</f>
        <v>1.9508661353029313E-13</v>
      </c>
      <c r="DQ138" s="13">
        <f t="shared" si="151"/>
        <v>2.711421636700695E-12</v>
      </c>
      <c r="DR138" s="20">
        <f t="shared" si="124"/>
        <v>5.0621685358189711E-12</v>
      </c>
      <c r="DS138" s="59">
        <f t="shared" si="125"/>
        <v>289.27555252711863</v>
      </c>
      <c r="DT138" s="59">
        <f ca="1">AVERAGE(OFFSET($DS$3,0,0,'Données projet'!$E$14+1,1))-AVERAGE(OFFSET($H$3,0,0,'Données projet'!$E$14+1,1))</f>
        <v>569.21675741362196</v>
      </c>
      <c r="DU138" s="59">
        <f t="shared" si="152"/>
        <v>321.12410801891679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199.33571536355669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199.33571536355669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68.893332507394618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-2.8421709430404007E-13</v>
      </c>
      <c r="EK138" s="17">
        <f>EJ138*VLOOKUP('Données projet'!$B$15,Paramètres!$A$1:$I$89,3,0)*VLOOKUP('Données projet'!$B$15,Paramètres!$A$1:$I$89,5,0)</f>
        <v>-2.2612312022829427E-13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416.63597645452791</v>
      </c>
      <c r="EP138" s="59">
        <f t="shared" si="154"/>
        <v>402.05920382353497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60.472839198017994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60.472839198017994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68.893332507394618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>
        <f>FE138*VLOOKUP('Données projet'!$B$16,Paramètres!$A$1:$I$89,3,0)*VLOOKUP('Données projet'!$B$16,Paramètres!$A$1:$I$89,5,0)</f>
        <v>0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395.57130469647603</v>
      </c>
      <c r="FK138" s="59">
        <f t="shared" si="156"/>
        <v>383.97542781562674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57.364664029557439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57.364664029557439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68.893332507394618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>
        <f>FZ138*VLOOKUP('Données projet'!$B$17,Paramètres!$A$1:$I$89,3,0)*VLOOKUP('Données projet'!$B$17,Paramètres!$A$1:$I$89,5,0)</f>
        <v>0</v>
      </c>
      <c r="GB138" s="13" t="e">
        <f t="shared" si="157"/>
        <v>#NUM!</v>
      </c>
      <c r="GC138" s="20" t="e">
        <f t="shared" si="133"/>
        <v>#NUM!</v>
      </c>
      <c r="GD138" s="59" t="e">
        <f t="shared" si="134"/>
        <v>#NUM!</v>
      </c>
      <c r="GE138" s="59">
        <f ca="1">AVERAGE(OFFSET($GD$3,0,0,'Données projet'!$E$17+1,1))-AVERAGE(OFFSET($H$3,0,0,'Données projet'!$E$17+1,1))</f>
        <v>301.74744407733351</v>
      </c>
      <c r="GF138" s="59">
        <f t="shared" si="158"/>
        <v>292.46787700966991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29.795211704612701</v>
      </c>
      <c r="GM138" s="21">
        <f>EXP(-LN(2)/25)*GM137+(1-EXP(-LN(2)/25))/(LN(2)/25)*Calculateur!GH138*Calculateur!GJ138*VLOOKUP('Données projet'!$B$17,Paramètres!$A$1:$I$89,3,0)*0.475*44/12</f>
        <v>0</v>
      </c>
      <c r="GN138" s="21">
        <f>EXP(-LN(2)/2)*GN137+(1-EXP(-LN(2)/2))/(LN(2)/2)*GH138*GK138*VLOOKUP('Données projet'!$B$17,Paramètres!$A$1:$I$89,3,0)*0.475*44/12</f>
        <v>0</v>
      </c>
      <c r="GO138" s="21">
        <f t="shared" si="135"/>
        <v>29.795211704612701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68.893332507394618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-2.8421709430404007E-13</v>
      </c>
      <c r="GV138" s="17">
        <f>GU138*VLOOKUP('Données projet'!$B$18,Paramètres!$A$1:$I$89,3,0)*VLOOKUP('Données projet'!$B$18,Paramètres!$A$1:$I$89,5,0)</f>
        <v>-1.6848389350343495E-13</v>
      </c>
      <c r="GW138" s="13" t="e">
        <f t="shared" si="159"/>
        <v>#NUM!</v>
      </c>
      <c r="GX138" s="20" t="e">
        <f t="shared" si="136"/>
        <v>#NUM!</v>
      </c>
      <c r="GY138" s="59" t="e">
        <f t="shared" si="137"/>
        <v>#NUM!</v>
      </c>
      <c r="GZ138" s="59">
        <f ca="1">AVERAGE(OFFSET($GY$3,0,0,'Données projet'!$E$18+1,1))-AVERAGE(OFFSET($H$3,0,0,'Données projet'!$E$18+1,1))</f>
        <v>322.78672881269978</v>
      </c>
      <c r="HA138" s="59">
        <f t="shared" si="160"/>
        <v>313.08736327626434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47.804764060013603</v>
      </c>
      <c r="HH138" s="21">
        <f>EXP(-LN(2)/25)*HH137+(1-EXP(-LN(2)/25))/(LN(2)/25)*Calculateur!HC138*Calculateur!HE138*VLOOKUP('Données projet'!$B$18,Paramètres!$A$1:$I$89,3,0)*0.475*44/12</f>
        <v>0</v>
      </c>
      <c r="HI138" s="21">
        <f>EXP(-LN(2)/2)*HI137+(1-EXP(-LN(2)/2))/(LN(2)/2)*HC138*HF138*VLOOKUP('Données projet'!$B$18,Paramètres!$A$1:$I$89,3,0)*0.475*44/12</f>
        <v>0</v>
      </c>
      <c r="HJ138" s="22">
        <f t="shared" si="138"/>
        <v>47.804764060013603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2.3499999999999996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8.6166666666666654</v>
      </c>
      <c r="H139" s="67">
        <f t="shared" si="110"/>
        <v>222.20000000000002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68.912530714253464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5.6843418860808015E-14</v>
      </c>
      <c r="O139" s="13">
        <f>N139*VLOOKUP('Données projet'!$B$9,Paramètres!$A$1:$I$89,3,0)*VLOOKUP('Données projet'!$B$9,Paramètres!$A$1:$I$89,5,0)</f>
        <v>5.1431925385259088E-14</v>
      </c>
      <c r="P139" s="13">
        <f t="shared" si="141"/>
        <v>8.3482866290946129E-13</v>
      </c>
      <c r="Q139" s="20">
        <f t="shared" si="108"/>
        <v>1.5435705246133045E-12</v>
      </c>
      <c r="R139" s="59">
        <f t="shared" si="109"/>
        <v>289.34594595226423</v>
      </c>
      <c r="S139" s="59">
        <f ca="1">AVERAGE(OFFSET($R$3,0,0,'Données projet'!$E$9+1,1))-AVERAGE(OFFSET($H$3,0,0,'Données projet'!$E$9+1,1))</f>
        <v>473.88815717313474</v>
      </c>
      <c r="T139" s="59">
        <f t="shared" si="142"/>
        <v>287.19790203552895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136.16653471665595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136.16653471665595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68.912530714253464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5.6843418860808015E-14</v>
      </c>
      <c r="AJ139" s="13">
        <f>AI139*VLOOKUP('Données projet'!$B$10,Paramètres!$A$1:$I$89,3,0)*VLOOKUP('Données projet'!$B$10,Paramètres!$A$1:$I$89,5,0)</f>
        <v>4.7884896048344674E-14</v>
      </c>
      <c r="AK139" s="13">
        <f t="shared" si="143"/>
        <v>7.8374629847779921E-13</v>
      </c>
      <c r="AL139" s="20">
        <f t="shared" si="112"/>
        <v>1.4484243304663672E-12</v>
      </c>
      <c r="AM139" s="59">
        <f t="shared" si="113"/>
        <v>289.34594595226412</v>
      </c>
      <c r="AN139" s="59">
        <f ca="1">AVERAGE(OFFSET($AM$3,0,0,'Données projet'!$E$10+1,1))-AVERAGE(OFFSET($H$3,0,0,'Données projet'!$E$10+1,1))</f>
        <v>445.19118535527258</v>
      </c>
      <c r="AO139" s="59">
        <f t="shared" si="144"/>
        <v>270.93483242839363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126.77573921895556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126.77573921895556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68.912530714253464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5.6843418860808015E-14</v>
      </c>
      <c r="BE139" s="13">
        <f>BD139*VLOOKUP('Données projet'!$B$11,Paramètres!$A$1:$I$89,3,0)*VLOOKUP('Données projet'!$B$11,Paramètres!$A$1:$I$89,5,0)</f>
        <v>5.7639226724859328E-14</v>
      </c>
      <c r="BF139" s="13">
        <f t="shared" si="145"/>
        <v>9.2325701996134334E-13</v>
      </c>
      <c r="BG139" s="20">
        <f t="shared" si="115"/>
        <v>1.708394296311803E-12</v>
      </c>
      <c r="BH139" s="59">
        <f t="shared" si="116"/>
        <v>289.3459459522644</v>
      </c>
      <c r="BI139" s="59">
        <f ca="1">AVERAGE(OFFSET($BH$3,0,0,'Données projet'!$E$11+1,1))-AVERAGE(OFFSET($H$3,0,0,'Données projet'!$E$11+1,1))</f>
        <v>524.01140973345832</v>
      </c>
      <c r="BJ139" s="59">
        <f t="shared" si="146"/>
        <v>315.59942237999621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152.60042683763166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152.60042683763166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68.912530714253464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-2.8421709430404007E-13</v>
      </c>
      <c r="BZ139" s="13">
        <f>BY139*VLOOKUP('Données projet'!$B$12,Paramètres!$A$1:$I$89,3,0)*VLOOKUP('Données projet'!$B$12,Paramètres!$A$1:$I$89,5,0)</f>
        <v>-1.9065282685915009E-13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358.95222991910504</v>
      </c>
      <c r="CE139" s="59">
        <f t="shared" si="148"/>
        <v>347.37506646970905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46.846785943159261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46.846785943159261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68.912530714253464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-2.8421709430404007E-13</v>
      </c>
      <c r="CU139" s="17">
        <f>CT139*VLOOKUP('Données projet'!$B$13,Paramètres!$A$1:$I$89,3,0)*VLOOKUP('Données projet'!$B$13,Paramètres!$A$1:$I$89,5,0)</f>
        <v>-1.8621904018800707E-13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351.7266381615546</v>
      </c>
      <c r="CZ139" s="59">
        <f t="shared" si="150"/>
        <v>340.52483243761799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39.612404252045629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39.612404252045629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68.912530714253464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2.2737367544323206E-13</v>
      </c>
      <c r="DP139" s="17">
        <f>DO139*VLOOKUP('Données projet'!$B$14,Paramètres!$A$1:$I$89,3,0)*VLOOKUP('Données projet'!$B$14,Paramètres!$A$1:$I$89,5,0)</f>
        <v>1.9508661353029313E-13</v>
      </c>
      <c r="DQ139" s="13">
        <f t="shared" si="151"/>
        <v>2.711421636700695E-12</v>
      </c>
      <c r="DR139" s="20">
        <f t="shared" si="124"/>
        <v>5.0621685358189711E-12</v>
      </c>
      <c r="DS139" s="59">
        <f t="shared" si="125"/>
        <v>289.34594595226775</v>
      </c>
      <c r="DT139" s="59">
        <f ca="1">AVERAGE(OFFSET($DS$3,0,0,'Données projet'!$E$14+1,1))-AVERAGE(OFFSET($H$3,0,0,'Données projet'!$E$14+1,1))</f>
        <v>569.21675741362196</v>
      </c>
      <c r="DU139" s="59">
        <f t="shared" si="152"/>
        <v>321.12410801891679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195.42686356805842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195.42686356805842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68.912530714253464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-2.8421709430404007E-13</v>
      </c>
      <c r="EK139" s="17">
        <f>EJ139*VLOOKUP('Données projet'!$B$15,Paramètres!$A$1:$I$89,3,0)*VLOOKUP('Données projet'!$B$15,Paramètres!$A$1:$I$89,5,0)</f>
        <v>-2.2612312022829427E-13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416.63597645452791</v>
      </c>
      <c r="EP139" s="59">
        <f t="shared" si="154"/>
        <v>402.05920382353497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59.287003706134698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59.287003706134698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68.912530714253464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>
        <f>FE139*VLOOKUP('Données projet'!$B$16,Paramètres!$A$1:$I$89,3,0)*VLOOKUP('Données projet'!$B$16,Paramètres!$A$1:$I$89,5,0)</f>
        <v>0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395.57130469647603</v>
      </c>
      <c r="FK139" s="59">
        <f t="shared" si="156"/>
        <v>383.97542781562674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56.239777956928002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56.239777956928002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68.912530714253464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>
        <f>FZ139*VLOOKUP('Données projet'!$B$17,Paramètres!$A$1:$I$89,3,0)*VLOOKUP('Données projet'!$B$17,Paramètres!$A$1:$I$89,5,0)</f>
        <v>0</v>
      </c>
      <c r="GB139" s="13" t="e">
        <f t="shared" si="157"/>
        <v>#NUM!</v>
      </c>
      <c r="GC139" s="20" t="e">
        <f t="shared" si="133"/>
        <v>#NUM!</v>
      </c>
      <c r="GD139" s="59" t="e">
        <f t="shared" si="134"/>
        <v>#NUM!</v>
      </c>
      <c r="GE139" s="59">
        <f ca="1">AVERAGE(OFFSET($GD$3,0,0,'Données projet'!$E$17+1,1))-AVERAGE(OFFSET($H$3,0,0,'Données projet'!$E$17+1,1))</f>
        <v>301.74744407733351</v>
      </c>
      <c r="GF139" s="59">
        <f t="shared" si="158"/>
        <v>292.46787700966991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29.210945776369922</v>
      </c>
      <c r="GM139" s="21">
        <f>EXP(-LN(2)/25)*GM138+(1-EXP(-LN(2)/25))/(LN(2)/25)*Calculateur!GH139*Calculateur!GJ139*VLOOKUP('Données projet'!$B$17,Paramètres!$A$1:$I$89,3,0)*0.475*44/12</f>
        <v>0</v>
      </c>
      <c r="GN139" s="21">
        <f>EXP(-LN(2)/2)*GN138+(1-EXP(-LN(2)/2))/(LN(2)/2)*GH139*GK139*VLOOKUP('Données projet'!$B$17,Paramètres!$A$1:$I$89,3,0)*0.475*44/12</f>
        <v>0</v>
      </c>
      <c r="GO139" s="21">
        <f t="shared" si="135"/>
        <v>29.210945776369922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68.912530714253464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-2.8421709430404007E-13</v>
      </c>
      <c r="GV139" s="17">
        <f>GU139*VLOOKUP('Données projet'!$B$18,Paramètres!$A$1:$I$89,3,0)*VLOOKUP('Données projet'!$B$18,Paramètres!$A$1:$I$89,5,0)</f>
        <v>-1.6848389350343495E-13</v>
      </c>
      <c r="GW139" s="13" t="e">
        <f t="shared" si="159"/>
        <v>#NUM!</v>
      </c>
      <c r="GX139" s="20" t="e">
        <f t="shared" si="136"/>
        <v>#NUM!</v>
      </c>
      <c r="GY139" s="59" t="e">
        <f t="shared" si="137"/>
        <v>#NUM!</v>
      </c>
      <c r="GZ139" s="59">
        <f ca="1">AVERAGE(OFFSET($GY$3,0,0,'Données projet'!$E$18+1,1))-AVERAGE(OFFSET($H$3,0,0,'Données projet'!$E$18+1,1))</f>
        <v>322.78672881269978</v>
      </c>
      <c r="HA139" s="59">
        <f t="shared" si="160"/>
        <v>313.08736327626434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46.867341794823695</v>
      </c>
      <c r="HH139" s="21">
        <f>EXP(-LN(2)/25)*HH138+(1-EXP(-LN(2)/25))/(LN(2)/25)*Calculateur!HC139*Calculateur!HE139*VLOOKUP('Données projet'!$B$18,Paramètres!$A$1:$I$89,3,0)*0.475*44/12</f>
        <v>0</v>
      </c>
      <c r="HI139" s="21">
        <f>EXP(-LN(2)/2)*HI138+(1-EXP(-LN(2)/2))/(LN(2)/2)*HC139*HF139*VLOOKUP('Données projet'!$B$18,Paramètres!$A$1:$I$89,3,0)*0.475*44/12</f>
        <v>0</v>
      </c>
      <c r="HJ139" s="22">
        <f t="shared" si="138"/>
        <v>46.867341794823695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2.3499999999999996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8.6166666666666654</v>
      </c>
      <c r="H140" s="67">
        <f t="shared" si="110"/>
        <v>222.20000000000002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68.931395875144062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5.6843418860808015E-14</v>
      </c>
      <c r="O140" s="13">
        <f>N140*VLOOKUP('Données projet'!$B$9,Paramètres!$A$1:$I$89,3,0)*VLOOKUP('Données projet'!$B$9,Paramètres!$A$1:$I$89,5,0)</f>
        <v>5.1431925385259088E-14</v>
      </c>
      <c r="P140" s="13">
        <f t="shared" si="141"/>
        <v>8.3482866290946129E-13</v>
      </c>
      <c r="Q140" s="20">
        <f t="shared" si="108"/>
        <v>1.5435705246133045E-12</v>
      </c>
      <c r="R140" s="59">
        <f t="shared" si="109"/>
        <v>289.41511820886308</v>
      </c>
      <c r="S140" s="59">
        <f ca="1">AVERAGE(OFFSET($R$3,0,0,'Données projet'!$E$9+1,1))-AVERAGE(OFFSET($H$3,0,0,'Données projet'!$E$9+1,1))</f>
        <v>473.88815717313474</v>
      </c>
      <c r="T140" s="59">
        <f t="shared" si="142"/>
        <v>287.19790203552895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133.49639202424765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133.49639202424765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68.931395875144062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5.6843418860808015E-14</v>
      </c>
      <c r="AJ140" s="13">
        <f>AI140*VLOOKUP('Données projet'!$B$10,Paramètres!$A$1:$I$89,3,0)*VLOOKUP('Données projet'!$B$10,Paramètres!$A$1:$I$89,5,0)</f>
        <v>4.7884896048344674E-14</v>
      </c>
      <c r="AK140" s="13">
        <f t="shared" si="143"/>
        <v>7.8374629847779921E-13</v>
      </c>
      <c r="AL140" s="20">
        <f t="shared" si="112"/>
        <v>1.4484243304663672E-12</v>
      </c>
      <c r="AM140" s="59">
        <f t="shared" si="113"/>
        <v>289.41511820886296</v>
      </c>
      <c r="AN140" s="59">
        <f ca="1">AVERAGE(OFFSET($AM$3,0,0,'Données projet'!$E$10+1,1))-AVERAGE(OFFSET($H$3,0,0,'Données projet'!$E$10+1,1))</f>
        <v>445.19118535527258</v>
      </c>
      <c r="AO140" s="59">
        <f t="shared" si="144"/>
        <v>270.93483242839363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124.2897442984375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124.2897442984375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68.931395875144062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5.6843418860808015E-14</v>
      </c>
      <c r="BE140" s="13">
        <f>BD140*VLOOKUP('Données projet'!$B$11,Paramètres!$A$1:$I$89,3,0)*VLOOKUP('Données projet'!$B$11,Paramètres!$A$1:$I$89,5,0)</f>
        <v>5.7639226724859328E-14</v>
      </c>
      <c r="BF140" s="13">
        <f t="shared" si="145"/>
        <v>9.2325701996134334E-13</v>
      </c>
      <c r="BG140" s="20">
        <f t="shared" si="115"/>
        <v>1.708394296311803E-12</v>
      </c>
      <c r="BH140" s="59">
        <f t="shared" si="116"/>
        <v>289.41511820886325</v>
      </c>
      <c r="BI140" s="59">
        <f ca="1">AVERAGE(OFFSET($BH$3,0,0,'Données projet'!$E$11+1,1))-AVERAGE(OFFSET($H$3,0,0,'Données projet'!$E$11+1,1))</f>
        <v>524.01140973345832</v>
      </c>
      <c r="BJ140" s="59">
        <f t="shared" si="146"/>
        <v>315.59942237999621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149.60802554441548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149.60802554441548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68.931395875144062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-2.8421709430404007E-13</v>
      </c>
      <c r="BZ140" s="13">
        <f>BY140*VLOOKUP('Données projet'!$B$12,Paramètres!$A$1:$I$89,3,0)*VLOOKUP('Données projet'!$B$12,Paramètres!$A$1:$I$89,5,0)</f>
        <v>-1.9065282685915009E-13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358.95222991910504</v>
      </c>
      <c r="CE140" s="59">
        <f t="shared" si="148"/>
        <v>347.37506646970905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45.928149044531914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45.928149044531914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68.931395875144062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-2.8421709430404007E-13</v>
      </c>
      <c r="CU140" s="17">
        <f>CT140*VLOOKUP('Données projet'!$B$13,Paramètres!$A$1:$I$89,3,0)*VLOOKUP('Données projet'!$B$13,Paramètres!$A$1:$I$89,5,0)</f>
        <v>-1.8621904018800707E-13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351.7266381615546</v>
      </c>
      <c r="CZ140" s="59">
        <f t="shared" si="150"/>
        <v>340.52483243761799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38.835629165843891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38.835629165843891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68.931395875144062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2.2737367544323206E-13</v>
      </c>
      <c r="DP140" s="17">
        <f>DO140*VLOOKUP('Données projet'!$B$14,Paramètres!$A$1:$I$89,3,0)*VLOOKUP('Données projet'!$B$14,Paramètres!$A$1:$I$89,5,0)</f>
        <v>1.9508661353029313E-13</v>
      </c>
      <c r="DQ140" s="13">
        <f t="shared" si="151"/>
        <v>2.711421636700695E-12</v>
      </c>
      <c r="DR140" s="20">
        <f t="shared" si="124"/>
        <v>5.0621685358189711E-12</v>
      </c>
      <c r="DS140" s="59">
        <f t="shared" si="125"/>
        <v>289.4151182088666</v>
      </c>
      <c r="DT140" s="59">
        <f ca="1">AVERAGE(OFFSET($DS$3,0,0,'Données projet'!$E$14+1,1))-AVERAGE(OFFSET($H$3,0,0,'Données projet'!$E$14+1,1))</f>
        <v>569.21675741362196</v>
      </c>
      <c r="DU140" s="59">
        <f t="shared" si="152"/>
        <v>321.12410801891679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191.59466197210568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191.59466197210568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68.931395875144062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-2.8421709430404007E-13</v>
      </c>
      <c r="EK140" s="17">
        <f>EJ140*VLOOKUP('Données projet'!$B$15,Paramètres!$A$1:$I$89,3,0)*VLOOKUP('Données projet'!$B$15,Paramètres!$A$1:$I$89,5,0)</f>
        <v>-2.2612312022829427E-13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416.63597645452791</v>
      </c>
      <c r="EP140" s="59">
        <f t="shared" si="154"/>
        <v>402.05920382353497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58.124421724959006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58.124421724959006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68.931395875144062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>
        <f>FE140*VLOOKUP('Données projet'!$B$16,Paramètres!$A$1:$I$89,3,0)*VLOOKUP('Données projet'!$B$16,Paramètres!$A$1:$I$89,5,0)</f>
        <v>0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395.57130469647603</v>
      </c>
      <c r="FK140" s="59">
        <f t="shared" si="156"/>
        <v>383.97542781562674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55.136950214070069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55.136950214070069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68.931395875144062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>
        <f>FZ140*VLOOKUP('Données projet'!$B$17,Paramètres!$A$1:$I$89,3,0)*VLOOKUP('Données projet'!$B$17,Paramètres!$A$1:$I$89,5,0)</f>
        <v>0</v>
      </c>
      <c r="GB140" s="13" t="e">
        <f t="shared" si="157"/>
        <v>#NUM!</v>
      </c>
      <c r="GC140" s="20" t="e">
        <f t="shared" si="133"/>
        <v>#NUM!</v>
      </c>
      <c r="GD140" s="59" t="e">
        <f t="shared" si="134"/>
        <v>#NUM!</v>
      </c>
      <c r="GE140" s="59">
        <f ca="1">AVERAGE(OFFSET($GD$3,0,0,'Données projet'!$E$17+1,1))-AVERAGE(OFFSET($H$3,0,0,'Données projet'!$E$17+1,1))</f>
        <v>301.74744407733351</v>
      </c>
      <c r="GF140" s="59">
        <f t="shared" si="158"/>
        <v>292.46787700966991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28.638136946612956</v>
      </c>
      <c r="GM140" s="21">
        <f>EXP(-LN(2)/25)*GM139+(1-EXP(-LN(2)/25))/(LN(2)/25)*Calculateur!GH140*Calculateur!GJ140*VLOOKUP('Données projet'!$B$17,Paramètres!$A$1:$I$89,3,0)*0.475*44/12</f>
        <v>0</v>
      </c>
      <c r="GN140" s="21">
        <f>EXP(-LN(2)/2)*GN139+(1-EXP(-LN(2)/2))/(LN(2)/2)*GH140*GK140*VLOOKUP('Données projet'!$B$17,Paramètres!$A$1:$I$89,3,0)*0.475*44/12</f>
        <v>0</v>
      </c>
      <c r="GO140" s="21">
        <f t="shared" si="135"/>
        <v>28.638136946612956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68.931395875144062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-2.8421709430404007E-13</v>
      </c>
      <c r="GV140" s="17">
        <f>GU140*VLOOKUP('Données projet'!$B$18,Paramètres!$A$1:$I$89,3,0)*VLOOKUP('Données projet'!$B$18,Paramètres!$A$1:$I$89,5,0)</f>
        <v>-1.6848389350343495E-13</v>
      </c>
      <c r="GW140" s="13" t="e">
        <f t="shared" si="159"/>
        <v>#NUM!</v>
      </c>
      <c r="GX140" s="20" t="e">
        <f t="shared" si="136"/>
        <v>#NUM!</v>
      </c>
      <c r="GY140" s="59" t="e">
        <f t="shared" si="137"/>
        <v>#NUM!</v>
      </c>
      <c r="GZ140" s="59">
        <f ca="1">AVERAGE(OFFSET($GY$3,0,0,'Données projet'!$E$18+1,1))-AVERAGE(OFFSET($H$3,0,0,'Données projet'!$E$18+1,1))</f>
        <v>322.78672881269978</v>
      </c>
      <c r="HA140" s="59">
        <f t="shared" si="160"/>
        <v>313.08736327626434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45.948301808483038</v>
      </c>
      <c r="HH140" s="21">
        <f>EXP(-LN(2)/25)*HH139+(1-EXP(-LN(2)/25))/(LN(2)/25)*Calculateur!HC140*Calculateur!HE140*VLOOKUP('Données projet'!$B$18,Paramètres!$A$1:$I$89,3,0)*0.475*44/12</f>
        <v>0</v>
      </c>
      <c r="HI140" s="21">
        <f>EXP(-LN(2)/2)*HI139+(1-EXP(-LN(2)/2))/(LN(2)/2)*HC140*HF140*VLOOKUP('Données projet'!$B$18,Paramètres!$A$1:$I$89,3,0)*0.475*44/12</f>
        <v>0</v>
      </c>
      <c r="HJ140" s="22">
        <f t="shared" si="138"/>
        <v>45.948301808483038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2.3499999999999996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8.6166666666666654</v>
      </c>
      <c r="H141" s="67">
        <f t="shared" si="110"/>
        <v>222.20000000000002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68.949933767669393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5.6843418860808015E-14</v>
      </c>
      <c r="O141" s="13">
        <f>N141*VLOOKUP('Données projet'!$B$9,Paramètres!$A$1:$I$89,3,0)*VLOOKUP('Données projet'!$B$9,Paramètres!$A$1:$I$89,5,0)</f>
        <v>5.1431925385259088E-14</v>
      </c>
      <c r="P141" s="13">
        <f t="shared" si="141"/>
        <v>8.3482866290946129E-13</v>
      </c>
      <c r="Q141" s="20">
        <f t="shared" si="108"/>
        <v>1.5435705246133045E-12</v>
      </c>
      <c r="R141" s="59">
        <f t="shared" si="109"/>
        <v>289.48309048145597</v>
      </c>
      <c r="S141" s="59">
        <f ca="1">AVERAGE(OFFSET($R$3,0,0,'Données projet'!$E$9+1,1))-AVERAGE(OFFSET($H$3,0,0,'Données projet'!$E$9+1,1))</f>
        <v>473.88815717313474</v>
      </c>
      <c r="T141" s="59">
        <f t="shared" si="142"/>
        <v>287.19790203552895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130.87860920141128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130.87860920141128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68.949933767669393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5.6843418860808015E-14</v>
      </c>
      <c r="AJ141" s="13">
        <f>AI141*VLOOKUP('Données projet'!$B$10,Paramètres!$A$1:$I$89,3,0)*VLOOKUP('Données projet'!$B$10,Paramètres!$A$1:$I$89,5,0)</f>
        <v>4.7884896048344674E-14</v>
      </c>
      <c r="AK141" s="13">
        <f t="shared" si="143"/>
        <v>7.8374629847779921E-13</v>
      </c>
      <c r="AL141" s="20">
        <f t="shared" si="112"/>
        <v>1.4484243304663672E-12</v>
      </c>
      <c r="AM141" s="59">
        <f t="shared" si="113"/>
        <v>289.48309048145586</v>
      </c>
      <c r="AN141" s="59">
        <f ca="1">AVERAGE(OFFSET($AM$3,0,0,'Données projet'!$E$10+1,1))-AVERAGE(OFFSET($H$3,0,0,'Données projet'!$E$10+1,1))</f>
        <v>445.19118535527258</v>
      </c>
      <c r="AO141" s="59">
        <f t="shared" si="144"/>
        <v>270.93483242839363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121.85249822200362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121.85249822200362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68.949933767669393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5.6843418860808015E-14</v>
      </c>
      <c r="BE141" s="13">
        <f>BD141*VLOOKUP('Données projet'!$B$11,Paramètres!$A$1:$I$89,3,0)*VLOOKUP('Données projet'!$B$11,Paramètres!$A$1:$I$89,5,0)</f>
        <v>5.7639226724859328E-14</v>
      </c>
      <c r="BF141" s="13">
        <f t="shared" si="145"/>
        <v>9.2325701996134334E-13</v>
      </c>
      <c r="BG141" s="20">
        <f t="shared" si="115"/>
        <v>1.708394296311803E-12</v>
      </c>
      <c r="BH141" s="59">
        <f t="shared" si="116"/>
        <v>289.48309048145614</v>
      </c>
      <c r="BI141" s="59">
        <f ca="1">AVERAGE(OFFSET($BH$3,0,0,'Données projet'!$E$11+1,1))-AVERAGE(OFFSET($H$3,0,0,'Données projet'!$E$11+1,1))</f>
        <v>524.01140973345832</v>
      </c>
      <c r="BJ141" s="59">
        <f t="shared" si="146"/>
        <v>315.59942237999621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146.67430341537471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146.67430341537471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68.949933767669393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-2.8421709430404007E-13</v>
      </c>
      <c r="BZ141" s="13">
        <f>BY141*VLOOKUP('Données projet'!$B$12,Paramètres!$A$1:$I$89,3,0)*VLOOKUP('Données projet'!$B$12,Paramètres!$A$1:$I$89,5,0)</f>
        <v>-1.9065282685915009E-13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358.95222991910504</v>
      </c>
      <c r="CE141" s="59">
        <f t="shared" si="148"/>
        <v>347.37506646970905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45.027526055173468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45.027526055173468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68.949933767669393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-2.8421709430404007E-13</v>
      </c>
      <c r="CU141" s="17">
        <f>CT141*VLOOKUP('Données projet'!$B$13,Paramètres!$A$1:$I$89,3,0)*VLOOKUP('Données projet'!$B$13,Paramètres!$A$1:$I$89,5,0)</f>
        <v>-1.8621904018800707E-13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351.7266381615546</v>
      </c>
      <c r="CZ141" s="59">
        <f t="shared" si="150"/>
        <v>340.52483243761799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38.074086165296549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38.074086165296549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68.949933767669393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2.2737367544323206E-13</v>
      </c>
      <c r="DP141" s="17">
        <f>DO141*VLOOKUP('Données projet'!$B$14,Paramètres!$A$1:$I$89,3,0)*VLOOKUP('Données projet'!$B$14,Paramètres!$A$1:$I$89,5,0)</f>
        <v>1.9508661353029313E-13</v>
      </c>
      <c r="DQ141" s="13">
        <f t="shared" si="151"/>
        <v>2.711421636700695E-12</v>
      </c>
      <c r="DR141" s="20">
        <f t="shared" si="124"/>
        <v>5.0621685358189711E-12</v>
      </c>
      <c r="DS141" s="59">
        <f t="shared" si="125"/>
        <v>289.4830904814595</v>
      </c>
      <c r="DT141" s="59">
        <f ca="1">AVERAGE(OFFSET($DS$3,0,0,'Données projet'!$E$14+1,1))-AVERAGE(OFFSET($H$3,0,0,'Données projet'!$E$14+1,1))</f>
        <v>569.21675741362196</v>
      </c>
      <c r="DU141" s="59">
        <f t="shared" si="152"/>
        <v>321.12410801891679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187.83760751203741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187.83760751203741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68.949933767669393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-2.8421709430404007E-13</v>
      </c>
      <c r="EK141" s="17">
        <f>EJ141*VLOOKUP('Données projet'!$B$15,Paramètres!$A$1:$I$89,3,0)*VLOOKUP('Données projet'!$B$15,Paramètres!$A$1:$I$89,5,0)</f>
        <v>-2.2612312022829427E-13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416.63597645452791</v>
      </c>
      <c r="EP141" s="59">
        <f t="shared" si="154"/>
        <v>402.05920382353497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56.984637267329177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56.984637267329177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68.949933767669393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>
        <f>FE141*VLOOKUP('Données projet'!$B$16,Paramètres!$A$1:$I$89,3,0)*VLOOKUP('Données projet'!$B$16,Paramètres!$A$1:$I$89,5,0)</f>
        <v>0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395.57130469647603</v>
      </c>
      <c r="FK141" s="59">
        <f t="shared" si="156"/>
        <v>383.97542781562674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54.05574825059108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54.05574825059108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68.949933767669393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>
        <f>FZ141*VLOOKUP('Données projet'!$B$17,Paramètres!$A$1:$I$89,3,0)*VLOOKUP('Données projet'!$B$17,Paramètres!$A$1:$I$89,5,0)</f>
        <v>0</v>
      </c>
      <c r="GB141" s="13" t="e">
        <f t="shared" si="157"/>
        <v>#NUM!</v>
      </c>
      <c r="GC141" s="20" t="e">
        <f t="shared" si="133"/>
        <v>#NUM!</v>
      </c>
      <c r="GD141" s="59" t="e">
        <f t="shared" si="134"/>
        <v>#NUM!</v>
      </c>
      <c r="GE141" s="59">
        <f ca="1">AVERAGE(OFFSET($GD$3,0,0,'Données projet'!$E$17+1,1))-AVERAGE(OFFSET($H$3,0,0,'Données projet'!$E$17+1,1))</f>
        <v>301.74744407733351</v>
      </c>
      <c r="GF141" s="59">
        <f t="shared" si="158"/>
        <v>292.46787700966991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28.076560548628638</v>
      </c>
      <c r="GM141" s="21">
        <f>EXP(-LN(2)/25)*GM140+(1-EXP(-LN(2)/25))/(LN(2)/25)*Calculateur!GH141*Calculateur!GJ141*VLOOKUP('Données projet'!$B$17,Paramètres!$A$1:$I$89,3,0)*0.475*44/12</f>
        <v>0</v>
      </c>
      <c r="GN141" s="21">
        <f>EXP(-LN(2)/2)*GN140+(1-EXP(-LN(2)/2))/(LN(2)/2)*GH141*GK141*VLOOKUP('Données projet'!$B$17,Paramètres!$A$1:$I$89,3,0)*0.475*44/12</f>
        <v>0</v>
      </c>
      <c r="GO141" s="21">
        <f t="shared" si="135"/>
        <v>28.076560548628638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68.949933767669393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-2.8421709430404007E-13</v>
      </c>
      <c r="GV141" s="17">
        <f>GU141*VLOOKUP('Données projet'!$B$18,Paramètres!$A$1:$I$89,3,0)*VLOOKUP('Données projet'!$B$18,Paramètres!$A$1:$I$89,5,0)</f>
        <v>-1.6848389350343495E-13</v>
      </c>
      <c r="GW141" s="13" t="e">
        <f t="shared" si="159"/>
        <v>#NUM!</v>
      </c>
      <c r="GX141" s="20" t="e">
        <f t="shared" si="136"/>
        <v>#NUM!</v>
      </c>
      <c r="GY141" s="59" t="e">
        <f t="shared" si="137"/>
        <v>#NUM!</v>
      </c>
      <c r="GZ141" s="59">
        <f ca="1">AVERAGE(OFFSET($GY$3,0,0,'Données projet'!$E$18+1,1))-AVERAGE(OFFSET($H$3,0,0,'Données projet'!$E$18+1,1))</f>
        <v>322.78672881269978</v>
      </c>
      <c r="HA141" s="59">
        <f t="shared" si="160"/>
        <v>313.08736327626434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45.04728363571548</v>
      </c>
      <c r="HH141" s="21">
        <f>EXP(-LN(2)/25)*HH140+(1-EXP(-LN(2)/25))/(LN(2)/25)*Calculateur!HC141*Calculateur!HE141*VLOOKUP('Données projet'!$B$18,Paramètres!$A$1:$I$89,3,0)*0.475*44/12</f>
        <v>0</v>
      </c>
      <c r="HI141" s="21">
        <f>EXP(-LN(2)/2)*HI140+(1-EXP(-LN(2)/2))/(LN(2)/2)*HC141*HF141*VLOOKUP('Données projet'!$B$18,Paramètres!$A$1:$I$89,3,0)*0.475*44/12</f>
        <v>0</v>
      </c>
      <c r="HJ141" s="22">
        <f t="shared" si="138"/>
        <v>45.04728363571548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2.3499999999999996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8.6166666666666654</v>
      </c>
      <c r="H142" s="67">
        <f t="shared" si="110"/>
        <v>222.20000000000002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68.968150069203944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5.6843418860808015E-14</v>
      </c>
      <c r="O142" s="13">
        <f>N142*VLOOKUP('Données projet'!$B$9,Paramètres!$A$1:$I$89,3,0)*VLOOKUP('Données projet'!$B$9,Paramètres!$A$1:$I$89,5,0)</f>
        <v>5.1431925385259088E-14</v>
      </c>
      <c r="P142" s="13">
        <f t="shared" si="141"/>
        <v>8.3482866290946129E-13</v>
      </c>
      <c r="Q142" s="20">
        <f t="shared" si="108"/>
        <v>1.5435705246133045E-12</v>
      </c>
      <c r="R142" s="59">
        <f t="shared" si="109"/>
        <v>289.54988358708266</v>
      </c>
      <c r="S142" s="59">
        <f ca="1">AVERAGE(OFFSET($R$3,0,0,'Données projet'!$E$9+1,1))-AVERAGE(OFFSET($H$3,0,0,'Données projet'!$E$9+1,1))</f>
        <v>473.88815717313474</v>
      </c>
      <c r="T142" s="59">
        <f t="shared" si="142"/>
        <v>287.19790203552895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128.31215950304085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128.31215950304085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68.968150069203944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5.6843418860808015E-14</v>
      </c>
      <c r="AJ142" s="13">
        <f>AI142*VLOOKUP('Données projet'!$B$10,Paramètres!$A$1:$I$89,3,0)*VLOOKUP('Données projet'!$B$10,Paramètres!$A$1:$I$89,5,0)</f>
        <v>4.7884896048344674E-14</v>
      </c>
      <c r="AK142" s="13">
        <f t="shared" si="143"/>
        <v>7.8374629847779921E-13</v>
      </c>
      <c r="AL142" s="20">
        <f t="shared" si="112"/>
        <v>1.4484243304663672E-12</v>
      </c>
      <c r="AM142" s="59">
        <f t="shared" si="113"/>
        <v>289.54988358708255</v>
      </c>
      <c r="AN142" s="59">
        <f ca="1">AVERAGE(OFFSET($AM$3,0,0,'Données projet'!$E$10+1,1))-AVERAGE(OFFSET($H$3,0,0,'Données projet'!$E$10+1,1))</f>
        <v>445.19118535527258</v>
      </c>
      <c r="AO142" s="59">
        <f t="shared" si="144"/>
        <v>270.93483242839363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119.46304505455528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119.46304505455528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68.968150069203944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5.6843418860808015E-14</v>
      </c>
      <c r="BE142" s="13">
        <f>BD142*VLOOKUP('Données projet'!$B$11,Paramètres!$A$1:$I$89,3,0)*VLOOKUP('Données projet'!$B$11,Paramètres!$A$1:$I$89,5,0)</f>
        <v>5.7639226724859328E-14</v>
      </c>
      <c r="BF142" s="13">
        <f t="shared" si="145"/>
        <v>9.2325701996134334E-13</v>
      </c>
      <c r="BG142" s="20">
        <f t="shared" si="115"/>
        <v>1.708394296311803E-12</v>
      </c>
      <c r="BH142" s="59">
        <f t="shared" si="116"/>
        <v>289.54988358708283</v>
      </c>
      <c r="BI142" s="59">
        <f ca="1">AVERAGE(OFFSET($BH$3,0,0,'Données projet'!$E$11+1,1))-AVERAGE(OFFSET($H$3,0,0,'Données projet'!$E$11+1,1))</f>
        <v>524.01140973345832</v>
      </c>
      <c r="BJ142" s="59">
        <f t="shared" si="146"/>
        <v>315.59942237999621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143.79810978789061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143.79810978789061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68.968150069203944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-2.8421709430404007E-13</v>
      </c>
      <c r="BZ142" s="13">
        <f>BY142*VLOOKUP('Données projet'!$B$12,Paramètres!$A$1:$I$89,3,0)*VLOOKUP('Données projet'!$B$12,Paramètres!$A$1:$I$89,5,0)</f>
        <v>-1.9065282685915009E-13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358.95222991910504</v>
      </c>
      <c r="CE142" s="59">
        <f t="shared" si="148"/>
        <v>347.37506646970905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44.144563733310555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44.144563733310555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68.968150069203944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-2.8421709430404007E-13</v>
      </c>
      <c r="CU142" s="17">
        <f>CT142*VLOOKUP('Données projet'!$B$13,Paramètres!$A$1:$I$89,3,0)*VLOOKUP('Données projet'!$B$13,Paramètres!$A$1:$I$89,5,0)</f>
        <v>-1.8621904018800707E-13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351.7266381615546</v>
      </c>
      <c r="CZ142" s="59">
        <f t="shared" si="150"/>
        <v>340.52483243761799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37.327476558494574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37.327476558494574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68.968150069203944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2.2737367544323206E-13</v>
      </c>
      <c r="DP142" s="17">
        <f>DO142*VLOOKUP('Données projet'!$B$14,Paramètres!$A$1:$I$89,3,0)*VLOOKUP('Données projet'!$B$14,Paramètres!$A$1:$I$89,5,0)</f>
        <v>1.9508661353029313E-13</v>
      </c>
      <c r="DQ142" s="13">
        <f t="shared" si="151"/>
        <v>2.711421636700695E-12</v>
      </c>
      <c r="DR142" s="20">
        <f t="shared" si="124"/>
        <v>5.0621685358189711E-12</v>
      </c>
      <c r="DS142" s="59">
        <f t="shared" si="125"/>
        <v>289.54988358708619</v>
      </c>
      <c r="DT142" s="59">
        <f ca="1">AVERAGE(OFFSET($DS$3,0,0,'Données projet'!$E$14+1,1))-AVERAGE(OFFSET($H$3,0,0,'Données projet'!$E$14+1,1))</f>
        <v>569.21675741362196</v>
      </c>
      <c r="DU142" s="59">
        <f t="shared" si="152"/>
        <v>321.12410801891679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184.15422659835411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184.15422659835411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68.968150069203944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-2.8421709430404007E-13</v>
      </c>
      <c r="EK142" s="17">
        <f>EJ142*VLOOKUP('Données projet'!$B$15,Paramètres!$A$1:$I$89,3,0)*VLOOKUP('Données projet'!$B$15,Paramètres!$A$1:$I$89,5,0)</f>
        <v>-2.2612312022829427E-13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416.63597645452791</v>
      </c>
      <c r="EP142" s="59">
        <f t="shared" si="154"/>
        <v>402.05920382353497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55.867203287713593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55.867203287713593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68.968150069203944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>
        <f>FE142*VLOOKUP('Données projet'!$B$16,Paramètres!$A$1:$I$89,3,0)*VLOOKUP('Données projet'!$B$16,Paramètres!$A$1:$I$89,5,0)</f>
        <v>0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395.57130469647603</v>
      </c>
      <c r="FK142" s="59">
        <f t="shared" si="156"/>
        <v>383.97542781562674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52.995747998147827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52.995747998147827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68.968150069203944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>
        <f>FZ142*VLOOKUP('Données projet'!$B$17,Paramètres!$A$1:$I$89,3,0)*VLOOKUP('Données projet'!$B$17,Paramètres!$A$1:$I$89,5,0)</f>
        <v>0</v>
      </c>
      <c r="GB142" s="13" t="e">
        <f t="shared" si="157"/>
        <v>#NUM!</v>
      </c>
      <c r="GC142" s="20" t="e">
        <f t="shared" si="133"/>
        <v>#NUM!</v>
      </c>
      <c r="GD142" s="59" t="e">
        <f t="shared" si="134"/>
        <v>#NUM!</v>
      </c>
      <c r="GE142" s="59">
        <f ca="1">AVERAGE(OFFSET($GD$3,0,0,'Données projet'!$E$17+1,1))-AVERAGE(OFFSET($H$3,0,0,'Données projet'!$E$17+1,1))</f>
        <v>301.74744407733351</v>
      </c>
      <c r="GF142" s="59">
        <f t="shared" si="158"/>
        <v>292.46787700966991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27.52599632128101</v>
      </c>
      <c r="GM142" s="21">
        <f>EXP(-LN(2)/25)*GM141+(1-EXP(-LN(2)/25))/(LN(2)/25)*Calculateur!GH142*Calculateur!GJ142*VLOOKUP('Données projet'!$B$17,Paramètres!$A$1:$I$89,3,0)*0.475*44/12</f>
        <v>0</v>
      </c>
      <c r="GN142" s="21">
        <f>EXP(-LN(2)/2)*GN141+(1-EXP(-LN(2)/2))/(LN(2)/2)*GH142*GK142*VLOOKUP('Données projet'!$B$17,Paramètres!$A$1:$I$89,3,0)*0.475*44/12</f>
        <v>0</v>
      </c>
      <c r="GO142" s="21">
        <f t="shared" si="135"/>
        <v>27.52599632128101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68.968150069203944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-2.8421709430404007E-13</v>
      </c>
      <c r="GV142" s="17">
        <f>GU142*VLOOKUP('Données projet'!$B$18,Paramètres!$A$1:$I$89,3,0)*VLOOKUP('Données projet'!$B$18,Paramètres!$A$1:$I$89,5,0)</f>
        <v>-1.6848389350343495E-13</v>
      </c>
      <c r="GW142" s="13" t="e">
        <f t="shared" si="159"/>
        <v>#NUM!</v>
      </c>
      <c r="GX142" s="20" t="e">
        <f t="shared" si="136"/>
        <v>#NUM!</v>
      </c>
      <c r="GY142" s="59" t="e">
        <f t="shared" si="137"/>
        <v>#NUM!</v>
      </c>
      <c r="GZ142" s="59">
        <f ca="1">AVERAGE(OFFSET($GY$3,0,0,'Données projet'!$E$18+1,1))-AVERAGE(OFFSET($H$3,0,0,'Données projet'!$E$18+1,1))</f>
        <v>322.78672881269978</v>
      </c>
      <c r="HA142" s="59">
        <f t="shared" si="160"/>
        <v>313.08736327626434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44.163933879749074</v>
      </c>
      <c r="HH142" s="21">
        <f>EXP(-LN(2)/25)*HH141+(1-EXP(-LN(2)/25))/(LN(2)/25)*Calculateur!HC142*Calculateur!HE142*VLOOKUP('Données projet'!$B$18,Paramètres!$A$1:$I$89,3,0)*0.475*44/12</f>
        <v>0</v>
      </c>
      <c r="HI142" s="21">
        <f>EXP(-LN(2)/2)*HI141+(1-EXP(-LN(2)/2))/(LN(2)/2)*HC142*HF142*VLOOKUP('Données projet'!$B$18,Paramètres!$A$1:$I$89,3,0)*0.475*44/12</f>
        <v>0</v>
      </c>
      <c r="HJ142" s="22">
        <f t="shared" si="138"/>
        <v>44.163933879749074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2.3499999999999996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8.6166666666666654</v>
      </c>
      <c r="H143" s="67">
        <f t="shared" si="110"/>
        <v>222.20000000000002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68.986050358632397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5.6843418860808015E-14</v>
      </c>
      <c r="O143" s="13">
        <f>N143*VLOOKUP('Données projet'!$B$9,Paramètres!$A$1:$I$89,3,0)*VLOOKUP('Données projet'!$B$9,Paramètres!$A$1:$I$89,5,0)</f>
        <v>5.1431925385259088E-14</v>
      </c>
      <c r="P143" s="13">
        <f t="shared" si="141"/>
        <v>8.3482866290946129E-13</v>
      </c>
      <c r="Q143" s="20">
        <f t="shared" si="108"/>
        <v>1.5435705246133045E-12</v>
      </c>
      <c r="R143" s="59">
        <f t="shared" si="109"/>
        <v>289.61551798165362</v>
      </c>
      <c r="S143" s="59">
        <f ca="1">AVERAGE(OFFSET($R$3,0,0,'Données projet'!$E$9+1,1))-AVERAGE(OFFSET($H$3,0,0,'Données projet'!$E$9+1,1))</f>
        <v>473.88815717313474</v>
      </c>
      <c r="T143" s="59">
        <f t="shared" si="142"/>
        <v>287.19790203552895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125.79603631787572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125.79603631787572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68.986050358632397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5.6843418860808015E-14</v>
      </c>
      <c r="AJ143" s="13">
        <f>AI143*VLOOKUP('Données projet'!$B$10,Paramètres!$A$1:$I$89,3,0)*VLOOKUP('Données projet'!$B$10,Paramètres!$A$1:$I$89,5,0)</f>
        <v>4.7884896048344674E-14</v>
      </c>
      <c r="AK143" s="13">
        <f t="shared" si="143"/>
        <v>7.8374629847779921E-13</v>
      </c>
      <c r="AL143" s="20">
        <f t="shared" si="112"/>
        <v>1.4484243304663672E-12</v>
      </c>
      <c r="AM143" s="59">
        <f t="shared" si="113"/>
        <v>289.61551798165351</v>
      </c>
      <c r="AN143" s="59">
        <f ca="1">AVERAGE(OFFSET($AM$3,0,0,'Données projet'!$E$10+1,1))-AVERAGE(OFFSET($H$3,0,0,'Données projet'!$E$10+1,1))</f>
        <v>445.19118535527258</v>
      </c>
      <c r="AO143" s="59">
        <f t="shared" si="144"/>
        <v>270.93483242839363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117.12044760629809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117.12044760629809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68.986050358632397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5.6843418860808015E-14</v>
      </c>
      <c r="BE143" s="13">
        <f>BD143*VLOOKUP('Données projet'!$B$11,Paramètres!$A$1:$I$89,3,0)*VLOOKUP('Données projet'!$B$11,Paramètres!$A$1:$I$89,5,0)</f>
        <v>5.7639226724859328E-14</v>
      </c>
      <c r="BF143" s="13">
        <f t="shared" si="145"/>
        <v>9.2325701996134334E-13</v>
      </c>
      <c r="BG143" s="20">
        <f t="shared" si="115"/>
        <v>1.708394296311803E-12</v>
      </c>
      <c r="BH143" s="59">
        <f t="shared" si="116"/>
        <v>289.6155179816538</v>
      </c>
      <c r="BI143" s="59">
        <f ca="1">AVERAGE(OFFSET($BH$3,0,0,'Données projet'!$E$11+1,1))-AVERAGE(OFFSET($H$3,0,0,'Données projet'!$E$11+1,1))</f>
        <v>524.01140973345832</v>
      </c>
      <c r="BJ143" s="59">
        <f t="shared" si="146"/>
        <v>315.59942237999621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140.97831656313659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140.97831656313659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68.986050358632397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-2.8421709430404007E-13</v>
      </c>
      <c r="BZ143" s="13">
        <f>BY143*VLOOKUP('Données projet'!$B$12,Paramètres!$A$1:$I$89,3,0)*VLOOKUP('Données projet'!$B$12,Paramètres!$A$1:$I$89,5,0)</f>
        <v>-1.9065282685915009E-13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358.95222991910504</v>
      </c>
      <c r="CE143" s="59">
        <f t="shared" si="148"/>
        <v>347.37506646970905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43.278915764025541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43.278915764025541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68.986050358632397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-2.8421709430404007E-13</v>
      </c>
      <c r="CU143" s="17">
        <f>CT143*VLOOKUP('Données projet'!$B$13,Paramètres!$A$1:$I$89,3,0)*VLOOKUP('Données projet'!$B$13,Paramètres!$A$1:$I$89,5,0)</f>
        <v>-1.8621904018800707E-13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351.7266381615546</v>
      </c>
      <c r="CZ143" s="59">
        <f t="shared" si="150"/>
        <v>340.52483243761799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36.595507510695093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36.595507510695093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68.986050358632397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2.2737367544323206E-13</v>
      </c>
      <c r="DP143" s="17">
        <f>DO143*VLOOKUP('Données projet'!$B$14,Paramètres!$A$1:$I$89,3,0)*VLOOKUP('Données projet'!$B$14,Paramètres!$A$1:$I$89,5,0)</f>
        <v>1.9508661353029313E-13</v>
      </c>
      <c r="DQ143" s="13">
        <f t="shared" si="151"/>
        <v>2.711421636700695E-12</v>
      </c>
      <c r="DR143" s="20">
        <f t="shared" si="124"/>
        <v>5.0621685358189711E-12</v>
      </c>
      <c r="DS143" s="59">
        <f t="shared" si="125"/>
        <v>289.61551798165715</v>
      </c>
      <c r="DT143" s="59">
        <f ca="1">AVERAGE(OFFSET($DS$3,0,0,'Données projet'!$E$14+1,1))-AVERAGE(OFFSET($H$3,0,0,'Données projet'!$E$14+1,1))</f>
        <v>569.21675741362196</v>
      </c>
      <c r="DU143" s="59">
        <f t="shared" si="152"/>
        <v>321.12410801891679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180.54307453774763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180.54307453774763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68.986050358632397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-2.8421709430404007E-13</v>
      </c>
      <c r="EK143" s="17">
        <f>EJ143*VLOOKUP('Données projet'!$B$15,Paramètres!$A$1:$I$89,3,0)*VLOOKUP('Données projet'!$B$15,Paramètres!$A$1:$I$89,5,0)</f>
        <v>-2.2612312022829427E-13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416.63597645452791</v>
      </c>
      <c r="EP143" s="59">
        <f t="shared" si="154"/>
        <v>402.05920382353497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54.771681506870848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54.771681506870848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68.986050358632397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>
        <f>FE143*VLOOKUP('Données projet'!$B$16,Paramètres!$A$1:$I$89,3,0)*VLOOKUP('Données projet'!$B$16,Paramètres!$A$1:$I$89,5,0)</f>
        <v>0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395.57130469647603</v>
      </c>
      <c r="FK143" s="59">
        <f t="shared" si="156"/>
        <v>383.97542781562674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51.956533704118677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51.956533704118677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68.986050358632397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>
        <f>FZ143*VLOOKUP('Données projet'!$B$17,Paramètres!$A$1:$I$89,3,0)*VLOOKUP('Données projet'!$B$17,Paramètres!$A$1:$I$89,5,0)</f>
        <v>0</v>
      </c>
      <c r="GB143" s="13" t="e">
        <f t="shared" si="157"/>
        <v>#NUM!</v>
      </c>
      <c r="GC143" s="20" t="e">
        <f t="shared" si="133"/>
        <v>#NUM!</v>
      </c>
      <c r="GD143" s="59" t="e">
        <f t="shared" si="134"/>
        <v>#NUM!</v>
      </c>
      <c r="GE143" s="59">
        <f ca="1">AVERAGE(OFFSET($GD$3,0,0,'Données projet'!$E$17+1,1))-AVERAGE(OFFSET($H$3,0,0,'Données projet'!$E$17+1,1))</f>
        <v>301.74744407733351</v>
      </c>
      <c r="GF143" s="59">
        <f t="shared" si="158"/>
        <v>292.46787700966991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26.986228322620651</v>
      </c>
      <c r="GM143" s="21">
        <f>EXP(-LN(2)/25)*GM142+(1-EXP(-LN(2)/25))/(LN(2)/25)*Calculateur!GH143*Calculateur!GJ143*VLOOKUP('Données projet'!$B$17,Paramètres!$A$1:$I$89,3,0)*0.475*44/12</f>
        <v>0</v>
      </c>
      <c r="GN143" s="21">
        <f>EXP(-LN(2)/2)*GN142+(1-EXP(-LN(2)/2))/(LN(2)/2)*GH143*GK143*VLOOKUP('Données projet'!$B$17,Paramètres!$A$1:$I$89,3,0)*0.475*44/12</f>
        <v>0</v>
      </c>
      <c r="GO143" s="21">
        <f t="shared" si="135"/>
        <v>26.986228322620651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68.986050358632397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-2.8421709430404007E-13</v>
      </c>
      <c r="GV143" s="17">
        <f>GU143*VLOOKUP('Données projet'!$B$18,Paramètres!$A$1:$I$89,3,0)*VLOOKUP('Données projet'!$B$18,Paramètres!$A$1:$I$89,5,0)</f>
        <v>-1.6848389350343495E-13</v>
      </c>
      <c r="GW143" s="13" t="e">
        <f t="shared" si="159"/>
        <v>#NUM!</v>
      </c>
      <c r="GX143" s="20" t="e">
        <f t="shared" si="136"/>
        <v>#NUM!</v>
      </c>
      <c r="GY143" s="59" t="e">
        <f t="shared" si="137"/>
        <v>#NUM!</v>
      </c>
      <c r="GZ143" s="59">
        <f ca="1">AVERAGE(OFFSET($GY$3,0,0,'Données projet'!$E$18+1,1))-AVERAGE(OFFSET($H$3,0,0,'Données projet'!$E$18+1,1))</f>
        <v>322.78672881269978</v>
      </c>
      <c r="HA143" s="59">
        <f t="shared" si="160"/>
        <v>313.08736327626434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43.297906073707018</v>
      </c>
      <c r="HH143" s="21">
        <f>EXP(-LN(2)/25)*HH142+(1-EXP(-LN(2)/25))/(LN(2)/25)*Calculateur!HC143*Calculateur!HE143*VLOOKUP('Données projet'!$B$18,Paramètres!$A$1:$I$89,3,0)*0.475*44/12</f>
        <v>0</v>
      </c>
      <c r="HI143" s="21">
        <f>EXP(-LN(2)/2)*HI142+(1-EXP(-LN(2)/2))/(LN(2)/2)*HC143*HF143*VLOOKUP('Données projet'!$B$18,Paramètres!$A$1:$I$89,3,0)*0.475*44/12</f>
        <v>0</v>
      </c>
      <c r="HJ143" s="22">
        <f t="shared" si="138"/>
        <v>43.297906073707018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2.3499999999999996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8.6166666666666654</v>
      </c>
      <c r="H144" s="67">
        <f t="shared" si="110"/>
        <v>222.20000000000002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69.003640118058328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5.6843418860808015E-14</v>
      </c>
      <c r="O144" s="13">
        <f>N144*VLOOKUP('Données projet'!$B$9,Paramètres!$A$1:$I$89,3,0)*VLOOKUP('Données projet'!$B$9,Paramètres!$A$1:$I$89,5,0)</f>
        <v>5.1431925385259088E-14</v>
      </c>
      <c r="P144" s="13">
        <f t="shared" si="141"/>
        <v>8.3482866290946129E-13</v>
      </c>
      <c r="Q144" s="20">
        <f t="shared" si="108"/>
        <v>1.5435705246133045E-12</v>
      </c>
      <c r="R144" s="59">
        <f t="shared" si="109"/>
        <v>289.68001376621544</v>
      </c>
      <c r="S144" s="59">
        <f ca="1">AVERAGE(OFFSET($R$3,0,0,'Données projet'!$E$9+1,1))-AVERAGE(OFFSET($H$3,0,0,'Données projet'!$E$9+1,1))</f>
        <v>473.88815717313474</v>
      </c>
      <c r="T144" s="59">
        <f t="shared" si="142"/>
        <v>287.19790203552895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123.32925277368807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123.32925277368807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69.003640118058328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5.6843418860808015E-14</v>
      </c>
      <c r="AJ144" s="13">
        <f>AI144*VLOOKUP('Données projet'!$B$10,Paramètres!$A$1:$I$89,3,0)*VLOOKUP('Données projet'!$B$10,Paramètres!$A$1:$I$89,5,0)</f>
        <v>4.7884896048344674E-14</v>
      </c>
      <c r="AK144" s="13">
        <f t="shared" si="143"/>
        <v>7.8374629847779921E-13</v>
      </c>
      <c r="AL144" s="20">
        <f t="shared" si="112"/>
        <v>1.4484243304663672E-12</v>
      </c>
      <c r="AM144" s="59">
        <f t="shared" si="113"/>
        <v>289.68001376621532</v>
      </c>
      <c r="AN144" s="59">
        <f ca="1">AVERAGE(OFFSET($AM$3,0,0,'Données projet'!$E$10+1,1))-AVERAGE(OFFSET($H$3,0,0,'Données projet'!$E$10+1,1))</f>
        <v>445.19118535527258</v>
      </c>
      <c r="AO144" s="59">
        <f t="shared" si="144"/>
        <v>270.93483242839363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114.82378706515786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114.82378706515786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69.003640118058328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5.6843418860808015E-14</v>
      </c>
      <c r="BE144" s="13">
        <f>BD144*VLOOKUP('Données projet'!$B$11,Paramètres!$A$1:$I$89,3,0)*VLOOKUP('Données projet'!$B$11,Paramètres!$A$1:$I$89,5,0)</f>
        <v>5.7639226724859328E-14</v>
      </c>
      <c r="BF144" s="13">
        <f t="shared" si="145"/>
        <v>9.2325701996134334E-13</v>
      </c>
      <c r="BG144" s="20">
        <f t="shared" si="115"/>
        <v>1.708394296311803E-12</v>
      </c>
      <c r="BH144" s="59">
        <f t="shared" si="116"/>
        <v>289.68001376621561</v>
      </c>
      <c r="BI144" s="59">
        <f ca="1">AVERAGE(OFFSET($BH$3,0,0,'Données projet'!$E$11+1,1))-AVERAGE(OFFSET($H$3,0,0,'Données projet'!$E$11+1,1))</f>
        <v>524.01140973345832</v>
      </c>
      <c r="BJ144" s="59">
        <f t="shared" si="146"/>
        <v>315.59942237999621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138.21381776361594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138.21381776361594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69.003640118058328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-2.8421709430404007E-13</v>
      </c>
      <c r="BZ144" s="13">
        <f>BY144*VLOOKUP('Données projet'!$B$12,Paramètres!$A$1:$I$89,3,0)*VLOOKUP('Données projet'!$B$12,Paramètres!$A$1:$I$89,5,0)</f>
        <v>-1.9065282685915009E-13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358.95222991910504</v>
      </c>
      <c r="CE144" s="59">
        <f t="shared" si="148"/>
        <v>347.37506646970905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42.430242623425073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42.430242623425073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69.003640118058328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-2.8421709430404007E-13</v>
      </c>
      <c r="CU144" s="17">
        <f>CT144*VLOOKUP('Données projet'!$B$13,Paramètres!$A$1:$I$89,3,0)*VLOOKUP('Données projet'!$B$13,Paramètres!$A$1:$I$89,5,0)</f>
        <v>-1.8621904018800707E-13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351.7266381615546</v>
      </c>
      <c r="CZ144" s="59">
        <f t="shared" si="150"/>
        <v>340.52483243761799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35.877891929465925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35.877891929465925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69.003640118058328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2.2737367544323206E-13</v>
      </c>
      <c r="DP144" s="17">
        <f>DO144*VLOOKUP('Données projet'!$B$14,Paramètres!$A$1:$I$89,3,0)*VLOOKUP('Données projet'!$B$14,Paramètres!$A$1:$I$89,5,0)</f>
        <v>1.9508661353029313E-13</v>
      </c>
      <c r="DQ144" s="13">
        <f t="shared" si="151"/>
        <v>2.711421636700695E-12</v>
      </c>
      <c r="DR144" s="20">
        <f t="shared" si="124"/>
        <v>5.0621685358189711E-12</v>
      </c>
      <c r="DS144" s="59">
        <f t="shared" si="125"/>
        <v>289.68001376621896</v>
      </c>
      <c r="DT144" s="59">
        <f ca="1">AVERAGE(OFFSET($DS$3,0,0,'Données projet'!$E$14+1,1))-AVERAGE(OFFSET($H$3,0,0,'Données projet'!$E$14+1,1))</f>
        <v>569.21675741362196</v>
      </c>
      <c r="DU144" s="59">
        <f t="shared" si="152"/>
        <v>321.12410801891679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177.00273496646437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177.00273496646437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69.003640118058328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-2.8421709430404007E-13</v>
      </c>
      <c r="EK144" s="17">
        <f>EJ144*VLOOKUP('Données projet'!$B$15,Paramètres!$A$1:$I$89,3,0)*VLOOKUP('Données projet'!$B$15,Paramètres!$A$1:$I$89,5,0)</f>
        <v>-2.2612312022829427E-13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416.63597645452791</v>
      </c>
      <c r="EP144" s="59">
        <f t="shared" si="154"/>
        <v>402.05920382353497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53.697642239948124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53.697642239948124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69.003640118058328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>
        <f>FE144*VLOOKUP('Données projet'!$B$16,Paramètres!$A$1:$I$89,3,0)*VLOOKUP('Données projet'!$B$16,Paramètres!$A$1:$I$89,5,0)</f>
        <v>0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395.57130469647603</v>
      </c>
      <c r="FK144" s="59">
        <f t="shared" si="156"/>
        <v>383.97542781562674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50.937697768537305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50.937697768537305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69.003640118058328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>
        <f>FZ144*VLOOKUP('Données projet'!$B$17,Paramètres!$A$1:$I$89,3,0)*VLOOKUP('Données projet'!$B$17,Paramètres!$A$1:$I$89,5,0)</f>
        <v>0</v>
      </c>
      <c r="GB144" s="13" t="e">
        <f t="shared" si="157"/>
        <v>#NUM!</v>
      </c>
      <c r="GC144" s="20" t="e">
        <f t="shared" si="133"/>
        <v>#NUM!</v>
      </c>
      <c r="GD144" s="59" t="e">
        <f t="shared" si="134"/>
        <v>#NUM!</v>
      </c>
      <c r="GE144" s="59">
        <f ca="1">AVERAGE(OFFSET($GD$3,0,0,'Données projet'!$E$17+1,1))-AVERAGE(OFFSET($H$3,0,0,'Données projet'!$E$17+1,1))</f>
        <v>301.74744407733351</v>
      </c>
      <c r="GF144" s="59">
        <f t="shared" si="158"/>
        <v>292.46787700966991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26.457044845188051</v>
      </c>
      <c r="GM144" s="21">
        <f>EXP(-LN(2)/25)*GM143+(1-EXP(-LN(2)/25))/(LN(2)/25)*Calculateur!GH144*Calculateur!GJ144*VLOOKUP('Données projet'!$B$17,Paramètres!$A$1:$I$89,3,0)*0.475*44/12</f>
        <v>0</v>
      </c>
      <c r="GN144" s="21">
        <f>EXP(-LN(2)/2)*GN143+(1-EXP(-LN(2)/2))/(LN(2)/2)*GH144*GK144*VLOOKUP('Données projet'!$B$17,Paramètres!$A$1:$I$89,3,0)*0.475*44/12</f>
        <v>0</v>
      </c>
      <c r="GO144" s="21">
        <f t="shared" si="135"/>
        <v>26.457044845188051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69.003640118058328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-2.8421709430404007E-13</v>
      </c>
      <c r="GV144" s="17">
        <f>GU144*VLOOKUP('Données projet'!$B$18,Paramètres!$A$1:$I$89,3,0)*VLOOKUP('Données projet'!$B$18,Paramètres!$A$1:$I$89,5,0)</f>
        <v>-1.6848389350343495E-13</v>
      </c>
      <c r="GW144" s="13" t="e">
        <f t="shared" si="159"/>
        <v>#NUM!</v>
      </c>
      <c r="GX144" s="20" t="e">
        <f t="shared" si="136"/>
        <v>#NUM!</v>
      </c>
      <c r="GY144" s="59" t="e">
        <f t="shared" si="137"/>
        <v>#NUM!</v>
      </c>
      <c r="GZ144" s="59">
        <f ca="1">AVERAGE(OFFSET($GY$3,0,0,'Données projet'!$E$18+1,1))-AVERAGE(OFFSET($H$3,0,0,'Données projet'!$E$18+1,1))</f>
        <v>322.78672881269978</v>
      </c>
      <c r="HA144" s="59">
        <f t="shared" si="160"/>
        <v>313.08736327626434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42.448860544716645</v>
      </c>
      <c r="HH144" s="21">
        <f>EXP(-LN(2)/25)*HH143+(1-EXP(-LN(2)/25))/(LN(2)/25)*Calculateur!HC144*Calculateur!HE144*VLOOKUP('Données projet'!$B$18,Paramètres!$A$1:$I$89,3,0)*0.475*44/12</f>
        <v>0</v>
      </c>
      <c r="HI144" s="21">
        <f>EXP(-LN(2)/2)*HI143+(1-EXP(-LN(2)/2))/(LN(2)/2)*HC144*HF144*VLOOKUP('Données projet'!$B$18,Paramètres!$A$1:$I$89,3,0)*0.475*44/12</f>
        <v>0</v>
      </c>
      <c r="HJ144" s="22">
        <f t="shared" si="138"/>
        <v>42.448860544716645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2.3499999999999996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8.6166666666666654</v>
      </c>
      <c r="H145" s="67">
        <f t="shared" si="110"/>
        <v>222.20000000000002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69.020924734483032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5.6843418860808015E-14</v>
      </c>
      <c r="O145" s="13">
        <f>N145*VLOOKUP('Données projet'!$B$9,Paramètres!$A$1:$I$89,3,0)*VLOOKUP('Données projet'!$B$9,Paramètres!$A$1:$I$89,5,0)</f>
        <v>5.1431925385259088E-14</v>
      </c>
      <c r="P145" s="13">
        <f t="shared" si="141"/>
        <v>8.3482866290946129E-13</v>
      </c>
      <c r="Q145" s="20">
        <f t="shared" si="108"/>
        <v>1.5435705246133045E-12</v>
      </c>
      <c r="R145" s="59">
        <f t="shared" si="109"/>
        <v>289.74339069310599</v>
      </c>
      <c r="S145" s="59">
        <f ca="1">AVERAGE(OFFSET($R$3,0,0,'Données projet'!$E$9+1,1))-AVERAGE(OFFSET($H$3,0,0,'Données projet'!$E$9+1,1))</f>
        <v>473.88815717313474</v>
      </c>
      <c r="T145" s="59">
        <f t="shared" si="142"/>
        <v>287.19790203552895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120.91084135021254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120.91084135021254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69.020924734483032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5.6843418860808015E-14</v>
      </c>
      <c r="AJ145" s="13">
        <f>AI145*VLOOKUP('Données projet'!$B$10,Paramètres!$A$1:$I$89,3,0)*VLOOKUP('Données projet'!$B$10,Paramètres!$A$1:$I$89,5,0)</f>
        <v>4.7884896048344674E-14</v>
      </c>
      <c r="AK145" s="13">
        <f t="shared" si="143"/>
        <v>7.8374629847779921E-13</v>
      </c>
      <c r="AL145" s="20">
        <f t="shared" si="112"/>
        <v>1.4484243304663672E-12</v>
      </c>
      <c r="AM145" s="59">
        <f t="shared" si="113"/>
        <v>289.74339069310588</v>
      </c>
      <c r="AN145" s="59">
        <f ca="1">AVERAGE(OFFSET($AM$3,0,0,'Données projet'!$E$10+1,1))-AVERAGE(OFFSET($H$3,0,0,'Données projet'!$E$10+1,1))</f>
        <v>445.19118535527258</v>
      </c>
      <c r="AO145" s="59">
        <f t="shared" si="144"/>
        <v>270.93483242839363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112.57216263640478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112.57216263640478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69.020924734483032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5.6843418860808015E-14</v>
      </c>
      <c r="BE145" s="13">
        <f>BD145*VLOOKUP('Données projet'!$B$11,Paramètres!$A$1:$I$89,3,0)*VLOOKUP('Données projet'!$B$11,Paramètres!$A$1:$I$89,5,0)</f>
        <v>5.7639226724859328E-14</v>
      </c>
      <c r="BF145" s="13">
        <f t="shared" si="145"/>
        <v>9.2325701996134334E-13</v>
      </c>
      <c r="BG145" s="20">
        <f t="shared" si="115"/>
        <v>1.708394296311803E-12</v>
      </c>
      <c r="BH145" s="59">
        <f t="shared" si="116"/>
        <v>289.74339069310616</v>
      </c>
      <c r="BI145" s="59">
        <f ca="1">AVERAGE(OFFSET($BH$3,0,0,'Données projet'!$E$11+1,1))-AVERAGE(OFFSET($H$3,0,0,'Données projet'!$E$11+1,1))</f>
        <v>524.01140973345832</v>
      </c>
      <c r="BJ145" s="59">
        <f t="shared" si="146"/>
        <v>315.59942237999621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135.50352909937612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135.50352909937612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69.020924734483032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-2.8421709430404007E-13</v>
      </c>
      <c r="BZ145" s="13">
        <f>BY145*VLOOKUP('Données projet'!$B$12,Paramètres!$A$1:$I$89,3,0)*VLOOKUP('Données projet'!$B$12,Paramètres!$A$1:$I$89,5,0)</f>
        <v>-1.9065282685915009E-13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358.95222991910504</v>
      </c>
      <c r="CE145" s="59">
        <f t="shared" si="148"/>
        <v>347.37506646970905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41.59821144547228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41.59821144547228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69.020924734483032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-2.8421709430404007E-13</v>
      </c>
      <c r="CU145" s="17">
        <f>CT145*VLOOKUP('Données projet'!$B$13,Paramètres!$A$1:$I$89,3,0)*VLOOKUP('Données projet'!$B$13,Paramètres!$A$1:$I$89,5,0)</f>
        <v>-1.8621904018800707E-13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351.7266381615546</v>
      </c>
      <c r="CZ145" s="59">
        <f t="shared" si="150"/>
        <v>340.52483243761799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35.174348352082376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35.174348352082376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69.020924734483032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2.2737367544323206E-13</v>
      </c>
      <c r="DP145" s="17">
        <f>DO145*VLOOKUP('Données projet'!$B$14,Paramètres!$A$1:$I$89,3,0)*VLOOKUP('Données projet'!$B$14,Paramètres!$A$1:$I$89,5,0)</f>
        <v>1.9508661353029313E-13</v>
      </c>
      <c r="DQ145" s="13">
        <f t="shared" si="151"/>
        <v>2.711421636700695E-12</v>
      </c>
      <c r="DR145" s="20">
        <f t="shared" si="124"/>
        <v>5.0621685358189711E-12</v>
      </c>
      <c r="DS145" s="59">
        <f t="shared" si="125"/>
        <v>289.74339069310952</v>
      </c>
      <c r="DT145" s="59">
        <f ca="1">AVERAGE(OFFSET($DS$3,0,0,'Données projet'!$E$14+1,1))-AVERAGE(OFFSET($H$3,0,0,'Données projet'!$E$14+1,1))</f>
        <v>569.21675741362196</v>
      </c>
      <c r="DU145" s="59">
        <f t="shared" si="152"/>
        <v>321.12410801891679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173.53181929478006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173.53181929478006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69.020924734483032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-2.8421709430404007E-13</v>
      </c>
      <c r="EK145" s="17">
        <f>EJ145*VLOOKUP('Données projet'!$B$15,Paramètres!$A$1:$I$89,3,0)*VLOOKUP('Données projet'!$B$15,Paramètres!$A$1:$I$89,5,0)</f>
        <v>-2.2612312022829427E-13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416.63597645452791</v>
      </c>
      <c r="EP145" s="59">
        <f t="shared" si="154"/>
        <v>402.05920382353497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52.644664227950486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52.644664227950486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69.020924734483032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>
        <f>FE145*VLOOKUP('Données projet'!$B$16,Paramètres!$A$1:$I$89,3,0)*VLOOKUP('Données projet'!$B$16,Paramètres!$A$1:$I$89,5,0)</f>
        <v>0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395.57130469647603</v>
      </c>
      <c r="FK145" s="59">
        <f t="shared" si="156"/>
        <v>383.97542781562674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49.938840584224124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49.938840584224124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69.020924734483032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>
        <f>FZ145*VLOOKUP('Données projet'!$B$17,Paramètres!$A$1:$I$89,3,0)*VLOOKUP('Données projet'!$B$17,Paramètres!$A$1:$I$89,5,0)</f>
        <v>0</v>
      </c>
      <c r="GB145" s="13" t="e">
        <f t="shared" si="157"/>
        <v>#NUM!</v>
      </c>
      <c r="GC145" s="20" t="e">
        <f t="shared" si="133"/>
        <v>#NUM!</v>
      </c>
      <c r="GD145" s="59" t="e">
        <f t="shared" si="134"/>
        <v>#NUM!</v>
      </c>
      <c r="GE145" s="59">
        <f ca="1">AVERAGE(OFFSET($GD$3,0,0,'Données projet'!$E$17+1,1))-AVERAGE(OFFSET($H$3,0,0,'Données projet'!$E$17+1,1))</f>
        <v>301.74744407733351</v>
      </c>
      <c r="GF145" s="59">
        <f t="shared" si="158"/>
        <v>292.46787700966991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25.938238332977853</v>
      </c>
      <c r="GM145" s="21">
        <f>EXP(-LN(2)/25)*GM144+(1-EXP(-LN(2)/25))/(LN(2)/25)*Calculateur!GH145*Calculateur!GJ145*VLOOKUP('Données projet'!$B$17,Paramètres!$A$1:$I$89,3,0)*0.475*44/12</f>
        <v>0</v>
      </c>
      <c r="GN145" s="21">
        <f>EXP(-LN(2)/2)*GN144+(1-EXP(-LN(2)/2))/(LN(2)/2)*GH145*GK145*VLOOKUP('Données projet'!$B$17,Paramètres!$A$1:$I$89,3,0)*0.475*44/12</f>
        <v>0</v>
      </c>
      <c r="GO145" s="21">
        <f t="shared" si="135"/>
        <v>25.938238332977853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69.020924734483032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-2.8421709430404007E-13</v>
      </c>
      <c r="GV145" s="17">
        <f>GU145*VLOOKUP('Données projet'!$B$18,Paramètres!$A$1:$I$89,3,0)*VLOOKUP('Données projet'!$B$18,Paramètres!$A$1:$I$89,5,0)</f>
        <v>-1.6848389350343495E-13</v>
      </c>
      <c r="GW145" s="13" t="e">
        <f t="shared" si="159"/>
        <v>#NUM!</v>
      </c>
      <c r="GX145" s="20" t="e">
        <f t="shared" si="136"/>
        <v>#NUM!</v>
      </c>
      <c r="GY145" s="59" t="e">
        <f t="shared" si="137"/>
        <v>#NUM!</v>
      </c>
      <c r="GZ145" s="59">
        <f ca="1">AVERAGE(OFFSET($GY$3,0,0,'Données projet'!$E$18+1,1))-AVERAGE(OFFSET($H$3,0,0,'Données projet'!$E$18+1,1))</f>
        <v>322.78672881269978</v>
      </c>
      <c r="HA145" s="59">
        <f t="shared" si="160"/>
        <v>313.08736327626434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41.616464280683132</v>
      </c>
      <c r="HH145" s="21">
        <f>EXP(-LN(2)/25)*HH144+(1-EXP(-LN(2)/25))/(LN(2)/25)*Calculateur!HC145*Calculateur!HE145*VLOOKUP('Données projet'!$B$18,Paramètres!$A$1:$I$89,3,0)*0.475*44/12</f>
        <v>0</v>
      </c>
      <c r="HI145" s="21">
        <f>EXP(-LN(2)/2)*HI144+(1-EXP(-LN(2)/2))/(LN(2)/2)*HC145*HF145*VLOOKUP('Données projet'!$B$18,Paramètres!$A$1:$I$89,3,0)*0.475*44/12</f>
        <v>0</v>
      </c>
      <c r="HJ145" s="22">
        <f t="shared" si="138"/>
        <v>41.616464280683132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2.3499999999999996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8.6166666666666654</v>
      </c>
      <c r="H146" s="67">
        <f t="shared" si="110"/>
        <v>222.20000000000002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69.037909501455374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5.6843418860808015E-14</v>
      </c>
      <c r="O146" s="13">
        <f>N146*VLOOKUP('Données projet'!$B$9,Paramètres!$A$1:$I$89,3,0)*VLOOKUP('Données projet'!$B$9,Paramètres!$A$1:$I$89,5,0)</f>
        <v>5.1431925385259088E-14</v>
      </c>
      <c r="P146" s="13">
        <f t="shared" si="141"/>
        <v>8.3482866290946129E-13</v>
      </c>
      <c r="Q146" s="20">
        <f t="shared" si="108"/>
        <v>1.5435705246133045E-12</v>
      </c>
      <c r="R146" s="59">
        <f t="shared" si="109"/>
        <v>289.80566817200457</v>
      </c>
      <c r="S146" s="59">
        <f ca="1">AVERAGE(OFFSET($R$3,0,0,'Données projet'!$E$9+1,1))-AVERAGE(OFFSET($H$3,0,0,'Données projet'!$E$9+1,1))</f>
        <v>473.88815717313474</v>
      </c>
      <c r="T146" s="59">
        <f t="shared" si="142"/>
        <v>287.19790203552895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118.53985349966605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118.53985349966605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69.037909501455374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5.6843418860808015E-14</v>
      </c>
      <c r="AJ146" s="13">
        <f>AI146*VLOOKUP('Données projet'!$B$10,Paramètres!$A$1:$I$89,3,0)*VLOOKUP('Données projet'!$B$10,Paramètres!$A$1:$I$89,5,0)</f>
        <v>4.7884896048344674E-14</v>
      </c>
      <c r="AK146" s="13">
        <f t="shared" si="143"/>
        <v>7.8374629847779921E-13</v>
      </c>
      <c r="AL146" s="20">
        <f t="shared" si="112"/>
        <v>1.4484243304663672E-12</v>
      </c>
      <c r="AM146" s="59">
        <f t="shared" si="113"/>
        <v>289.80566817200446</v>
      </c>
      <c r="AN146" s="59">
        <f ca="1">AVERAGE(OFFSET($AM$3,0,0,'Données projet'!$E$10+1,1))-AVERAGE(OFFSET($H$3,0,0,'Données projet'!$E$10+1,1))</f>
        <v>445.19118535527258</v>
      </c>
      <c r="AO146" s="59">
        <f t="shared" si="144"/>
        <v>270.93483242839363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110.36469118934426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110.36469118934426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69.037909501455374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5.6843418860808015E-14</v>
      </c>
      <c r="BE146" s="13">
        <f>BD146*VLOOKUP('Données projet'!$B$11,Paramètres!$A$1:$I$89,3,0)*VLOOKUP('Données projet'!$B$11,Paramètres!$A$1:$I$89,5,0)</f>
        <v>5.7639226724859328E-14</v>
      </c>
      <c r="BF146" s="13">
        <f t="shared" si="145"/>
        <v>9.2325701996134334E-13</v>
      </c>
      <c r="BG146" s="20">
        <f t="shared" si="115"/>
        <v>1.708394296311803E-12</v>
      </c>
      <c r="BH146" s="59">
        <f t="shared" si="116"/>
        <v>289.80566817200474</v>
      </c>
      <c r="BI146" s="59">
        <f ca="1">AVERAGE(OFFSET($BH$3,0,0,'Données projet'!$E$11+1,1))-AVERAGE(OFFSET($H$3,0,0,'Données projet'!$E$11+1,1))</f>
        <v>524.01140973345832</v>
      </c>
      <c r="BJ146" s="59">
        <f t="shared" si="146"/>
        <v>315.59942237999621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132.84638754272919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132.84638754272919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69.037909501455374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-2.8421709430404007E-13</v>
      </c>
      <c r="BZ146" s="13">
        <f>BY146*VLOOKUP('Données projet'!$B$12,Paramètres!$A$1:$I$89,3,0)*VLOOKUP('Données projet'!$B$12,Paramètres!$A$1:$I$89,5,0)</f>
        <v>-1.9065282685915009E-13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358.95222991910504</v>
      </c>
      <c r="CE146" s="59">
        <f t="shared" si="148"/>
        <v>347.37506646970905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40.782495891430237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40.782495891430237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69.037909501455374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-2.8421709430404007E-13</v>
      </c>
      <c r="CU146" s="17">
        <f>CT146*VLOOKUP('Données projet'!$B$13,Paramètres!$A$1:$I$89,3,0)*VLOOKUP('Données projet'!$B$13,Paramètres!$A$1:$I$89,5,0)</f>
        <v>-1.8621904018800707E-13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351.7266381615546</v>
      </c>
      <c r="CZ146" s="59">
        <f t="shared" si="150"/>
        <v>340.52483243761799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34.484600835132106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34.484600835132106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69.037909501455374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2.2737367544323206E-13</v>
      </c>
      <c r="DP146" s="17">
        <f>DO146*VLOOKUP('Données projet'!$B$14,Paramètres!$A$1:$I$89,3,0)*VLOOKUP('Données projet'!$B$14,Paramètres!$A$1:$I$89,5,0)</f>
        <v>1.9508661353029313E-13</v>
      </c>
      <c r="DQ146" s="13">
        <f t="shared" si="151"/>
        <v>2.711421636700695E-12</v>
      </c>
      <c r="DR146" s="20">
        <f t="shared" si="124"/>
        <v>5.0621685358189711E-12</v>
      </c>
      <c r="DS146" s="59">
        <f t="shared" si="125"/>
        <v>289.8056681720081</v>
      </c>
      <c r="DT146" s="59">
        <f ca="1">AVERAGE(OFFSET($DS$3,0,0,'Données projet'!$E$14+1,1))-AVERAGE(OFFSET($H$3,0,0,'Données projet'!$E$14+1,1))</f>
        <v>569.21675741362196</v>
      </c>
      <c r="DU146" s="59">
        <f t="shared" si="152"/>
        <v>321.12410801891679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170.12896616236799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170.12896616236799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69.037909501455374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-2.8421709430404007E-13</v>
      </c>
      <c r="EK146" s="17">
        <f>EJ146*VLOOKUP('Données projet'!$B$15,Paramètres!$A$1:$I$89,3,0)*VLOOKUP('Données projet'!$B$15,Paramètres!$A$1:$I$89,5,0)</f>
        <v>-2.2612312022829427E-13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416.63597645452791</v>
      </c>
      <c r="EP146" s="59">
        <f t="shared" si="154"/>
        <v>402.05920382353497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51.612334472514952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51.612334472514952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69.037909501455374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>
        <f>FE146*VLOOKUP('Données projet'!$B$16,Paramètres!$A$1:$I$89,3,0)*VLOOKUP('Données projet'!$B$16,Paramètres!$A$1:$I$89,5,0)</f>
        <v>0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395.57130469647603</v>
      </c>
      <c r="FK146" s="59">
        <f t="shared" si="156"/>
        <v>383.97542781562674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48.959570380052604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48.959570380052604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69.037909501455374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>
        <f>FZ146*VLOOKUP('Données projet'!$B$17,Paramètres!$A$1:$I$89,3,0)*VLOOKUP('Données projet'!$B$17,Paramètres!$A$1:$I$89,5,0)</f>
        <v>0</v>
      </c>
      <c r="GB146" s="13" t="e">
        <f t="shared" si="157"/>
        <v>#NUM!</v>
      </c>
      <c r="GC146" s="20" t="e">
        <f t="shared" si="133"/>
        <v>#NUM!</v>
      </c>
      <c r="GD146" s="59" t="e">
        <f t="shared" si="134"/>
        <v>#NUM!</v>
      </c>
      <c r="GE146" s="59">
        <f ca="1">AVERAGE(OFFSET($GD$3,0,0,'Données projet'!$E$17+1,1))-AVERAGE(OFFSET($H$3,0,0,'Données projet'!$E$17+1,1))</f>
        <v>301.74744407733351</v>
      </c>
      <c r="GF146" s="59">
        <f t="shared" si="158"/>
        <v>292.46787700966991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25.429605300031369</v>
      </c>
      <c r="GM146" s="21">
        <f>EXP(-LN(2)/25)*GM145+(1-EXP(-LN(2)/25))/(LN(2)/25)*Calculateur!GH146*Calculateur!GJ146*VLOOKUP('Données projet'!$B$17,Paramètres!$A$1:$I$89,3,0)*0.475*44/12</f>
        <v>0</v>
      </c>
      <c r="GN146" s="21">
        <f>EXP(-LN(2)/2)*GN145+(1-EXP(-LN(2)/2))/(LN(2)/2)*GH146*GK146*VLOOKUP('Données projet'!$B$17,Paramètres!$A$1:$I$89,3,0)*0.475*44/12</f>
        <v>0</v>
      </c>
      <c r="GO146" s="21">
        <f t="shared" si="135"/>
        <v>25.429605300031369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69.037909501455374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-2.8421709430404007E-13</v>
      </c>
      <c r="GV146" s="17">
        <f>GU146*VLOOKUP('Données projet'!$B$18,Paramètres!$A$1:$I$89,3,0)*VLOOKUP('Données projet'!$B$18,Paramètres!$A$1:$I$89,5,0)</f>
        <v>-1.6848389350343495E-13</v>
      </c>
      <c r="GW146" s="13" t="e">
        <f t="shared" si="159"/>
        <v>#NUM!</v>
      </c>
      <c r="GX146" s="20" t="e">
        <f t="shared" si="136"/>
        <v>#NUM!</v>
      </c>
      <c r="GY146" s="59" t="e">
        <f t="shared" si="137"/>
        <v>#NUM!</v>
      </c>
      <c r="GZ146" s="59">
        <f ca="1">AVERAGE(OFFSET($GY$3,0,0,'Données projet'!$E$18+1,1))-AVERAGE(OFFSET($H$3,0,0,'Données projet'!$E$18+1,1))</f>
        <v>322.78672881269978</v>
      </c>
      <c r="HA146" s="59">
        <f t="shared" si="160"/>
        <v>313.08736327626434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40.800390799675732</v>
      </c>
      <c r="HH146" s="21">
        <f>EXP(-LN(2)/25)*HH145+(1-EXP(-LN(2)/25))/(LN(2)/25)*Calculateur!HC146*Calculateur!HE146*VLOOKUP('Données projet'!$B$18,Paramètres!$A$1:$I$89,3,0)*0.475*44/12</f>
        <v>0</v>
      </c>
      <c r="HI146" s="21">
        <f>EXP(-LN(2)/2)*HI145+(1-EXP(-LN(2)/2))/(LN(2)/2)*HC146*HF146*VLOOKUP('Données projet'!$B$18,Paramètres!$A$1:$I$89,3,0)*0.475*44/12</f>
        <v>0</v>
      </c>
      <c r="HJ146" s="22">
        <f t="shared" si="138"/>
        <v>40.800390799675732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2.3499999999999996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8.6166666666666654</v>
      </c>
      <c r="H147" s="67">
        <f t="shared" si="110"/>
        <v>222.20000000000002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69.054599620692997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5.6843418860808015E-14</v>
      </c>
      <c r="O147" s="13">
        <f>N147*VLOOKUP('Données projet'!$B$9,Paramètres!$A$1:$I$89,3,0)*VLOOKUP('Données projet'!$B$9,Paramètres!$A$1:$I$89,5,0)</f>
        <v>5.1431925385259088E-14</v>
      </c>
      <c r="P147" s="13">
        <f t="shared" si="141"/>
        <v>8.3482866290946129E-13</v>
      </c>
      <c r="Q147" s="20">
        <f t="shared" si="108"/>
        <v>1.5435705246133045E-12</v>
      </c>
      <c r="R147" s="59">
        <f t="shared" si="109"/>
        <v>289.86686527587585</v>
      </c>
      <c r="S147" s="59">
        <f ca="1">AVERAGE(OFFSET($R$3,0,0,'Données projet'!$E$9+1,1))-AVERAGE(OFFSET($H$3,0,0,'Données projet'!$E$9+1,1))</f>
        <v>473.88815717313474</v>
      </c>
      <c r="T147" s="59">
        <f t="shared" si="142"/>
        <v>287.19790203552895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116.21535927470899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116.21535927470899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69.054599620692997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5.6843418860808015E-14</v>
      </c>
      <c r="AJ147" s="13">
        <f>AI147*VLOOKUP('Données projet'!$B$10,Paramètres!$A$1:$I$89,3,0)*VLOOKUP('Données projet'!$B$10,Paramètres!$A$1:$I$89,5,0)</f>
        <v>4.7884896048344674E-14</v>
      </c>
      <c r="AK147" s="13">
        <f t="shared" si="143"/>
        <v>7.8374629847779921E-13</v>
      </c>
      <c r="AL147" s="20">
        <f t="shared" si="112"/>
        <v>1.4484243304663672E-12</v>
      </c>
      <c r="AM147" s="59">
        <f t="shared" si="113"/>
        <v>289.86686527587574</v>
      </c>
      <c r="AN147" s="59">
        <f ca="1">AVERAGE(OFFSET($AM$3,0,0,'Données projet'!$E$10+1,1))-AVERAGE(OFFSET($H$3,0,0,'Données projet'!$E$10+1,1))</f>
        <v>445.19118535527258</v>
      </c>
      <c r="AO147" s="59">
        <f t="shared" si="144"/>
        <v>270.93483242839363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108.20050691093596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108.20050691093596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69.054599620692997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5.6843418860808015E-14</v>
      </c>
      <c r="BE147" s="13">
        <f>BD147*VLOOKUP('Données projet'!$B$11,Paramètres!$A$1:$I$89,3,0)*VLOOKUP('Données projet'!$B$11,Paramètres!$A$1:$I$89,5,0)</f>
        <v>5.7639226724859328E-14</v>
      </c>
      <c r="BF147" s="13">
        <f t="shared" si="145"/>
        <v>9.2325701996134334E-13</v>
      </c>
      <c r="BG147" s="20">
        <f t="shared" si="115"/>
        <v>1.708394296311803E-12</v>
      </c>
      <c r="BH147" s="59">
        <f t="shared" si="116"/>
        <v>289.86686527587602</v>
      </c>
      <c r="BI147" s="59">
        <f ca="1">AVERAGE(OFFSET($BH$3,0,0,'Données projet'!$E$11+1,1))-AVERAGE(OFFSET($H$3,0,0,'Données projet'!$E$11+1,1))</f>
        <v>524.01140973345832</v>
      </c>
      <c r="BJ147" s="59">
        <f t="shared" si="146"/>
        <v>315.59942237999621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130.2413509113118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130.2413509113118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69.054599620692997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-2.8421709430404007E-13</v>
      </c>
      <c r="BZ147" s="13">
        <f>BY147*VLOOKUP('Données projet'!$B$12,Paramètres!$A$1:$I$89,3,0)*VLOOKUP('Données projet'!$B$12,Paramètres!$A$1:$I$89,5,0)</f>
        <v>-1.9065282685915009E-13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358.95222991910504</v>
      </c>
      <c r="CE147" s="59">
        <f t="shared" si="148"/>
        <v>347.37506646970905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39.982776021865597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39.982776021865597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69.054599620692997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-2.8421709430404007E-13</v>
      </c>
      <c r="CU147" s="17">
        <f>CT147*VLOOKUP('Données projet'!$B$13,Paramètres!$A$1:$I$89,3,0)*VLOOKUP('Données projet'!$B$13,Paramètres!$A$1:$I$89,5,0)</f>
        <v>-1.8621904018800707E-13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351.7266381615546</v>
      </c>
      <c r="CZ147" s="59">
        <f t="shared" si="150"/>
        <v>340.52483243761799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33.808378846284789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33.808378846284789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69.054599620692997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2.2737367544323206E-13</v>
      </c>
      <c r="DP147" s="17">
        <f>DO147*VLOOKUP('Données projet'!$B$14,Paramètres!$A$1:$I$89,3,0)*VLOOKUP('Données projet'!$B$14,Paramètres!$A$1:$I$89,5,0)</f>
        <v>1.9508661353029313E-13</v>
      </c>
      <c r="DQ147" s="13">
        <f t="shared" si="151"/>
        <v>2.711421636700695E-12</v>
      </c>
      <c r="DR147" s="20">
        <f t="shared" si="124"/>
        <v>5.0621685358189711E-12</v>
      </c>
      <c r="DS147" s="59">
        <f t="shared" si="125"/>
        <v>289.86686527587938</v>
      </c>
      <c r="DT147" s="59">
        <f ca="1">AVERAGE(OFFSET($DS$3,0,0,'Données projet'!$E$14+1,1))-AVERAGE(OFFSET($H$3,0,0,'Données projet'!$E$14+1,1))</f>
        <v>569.21675741362196</v>
      </c>
      <c r="DU147" s="59">
        <f t="shared" si="152"/>
        <v>321.12410801891679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166.79284090434703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166.79284090434703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69.054599620692997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-2.8421709430404007E-13</v>
      </c>
      <c r="EK147" s="17">
        <f>EJ147*VLOOKUP('Données projet'!$B$15,Paramètres!$A$1:$I$89,3,0)*VLOOKUP('Données projet'!$B$15,Paramètres!$A$1:$I$89,5,0)</f>
        <v>-2.2612312022829427E-13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416.63597645452791</v>
      </c>
      <c r="EP147" s="59">
        <f t="shared" si="154"/>
        <v>402.05920382353497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50.600248073924533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50.600248073924533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69.054599620692997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>
        <f>FE147*VLOOKUP('Données projet'!$B$16,Paramètres!$A$1:$I$89,3,0)*VLOOKUP('Données projet'!$B$16,Paramètres!$A$1:$I$89,5,0)</f>
        <v>0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395.57130469647603</v>
      </c>
      <c r="FK147" s="59">
        <f t="shared" si="156"/>
        <v>383.97542781562674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47.999503067289041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47.999503067289041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69.054599620692997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>
        <f>FZ147*VLOOKUP('Données projet'!$B$17,Paramètres!$A$1:$I$89,3,0)*VLOOKUP('Données projet'!$B$17,Paramètres!$A$1:$I$89,5,0)</f>
        <v>0</v>
      </c>
      <c r="GB147" s="13" t="e">
        <f t="shared" si="157"/>
        <v>#NUM!</v>
      </c>
      <c r="GC147" s="20" t="e">
        <f t="shared" si="133"/>
        <v>#NUM!</v>
      </c>
      <c r="GD147" s="59" t="e">
        <f t="shared" si="134"/>
        <v>#NUM!</v>
      </c>
      <c r="GE147" s="59">
        <f ca="1">AVERAGE(OFFSET($GD$3,0,0,'Données projet'!$E$17+1,1))-AVERAGE(OFFSET($H$3,0,0,'Données projet'!$E$17+1,1))</f>
        <v>301.74744407733351</v>
      </c>
      <c r="GF147" s="59">
        <f t="shared" si="158"/>
        <v>292.46787700966991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24.93094625062545</v>
      </c>
      <c r="GM147" s="21">
        <f>EXP(-LN(2)/25)*GM146+(1-EXP(-LN(2)/25))/(LN(2)/25)*Calculateur!GH147*Calculateur!GJ147*VLOOKUP('Données projet'!$B$17,Paramètres!$A$1:$I$89,3,0)*0.475*44/12</f>
        <v>0</v>
      </c>
      <c r="GN147" s="21">
        <f>EXP(-LN(2)/2)*GN146+(1-EXP(-LN(2)/2))/(LN(2)/2)*GH147*GK147*VLOOKUP('Données projet'!$B$17,Paramètres!$A$1:$I$89,3,0)*0.475*44/12</f>
        <v>0</v>
      </c>
      <c r="GO147" s="21">
        <f t="shared" si="135"/>
        <v>24.93094625062545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69.054599620692997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-2.8421709430404007E-13</v>
      </c>
      <c r="GV147" s="17">
        <f>GU147*VLOOKUP('Données projet'!$B$18,Paramètres!$A$1:$I$89,3,0)*VLOOKUP('Données projet'!$B$18,Paramètres!$A$1:$I$89,5,0)</f>
        <v>-1.6848389350343495E-13</v>
      </c>
      <c r="GW147" s="13" t="e">
        <f t="shared" si="159"/>
        <v>#NUM!</v>
      </c>
      <c r="GX147" s="20" t="e">
        <f t="shared" si="136"/>
        <v>#NUM!</v>
      </c>
      <c r="GY147" s="59" t="e">
        <f t="shared" si="137"/>
        <v>#NUM!</v>
      </c>
      <c r="GZ147" s="59">
        <f ca="1">AVERAGE(OFFSET($GY$3,0,0,'Données projet'!$E$18+1,1))-AVERAGE(OFFSET($H$3,0,0,'Données projet'!$E$18+1,1))</f>
        <v>322.78672881269978</v>
      </c>
      <c r="HA147" s="59">
        <f t="shared" si="160"/>
        <v>313.08736327626434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40.000320021875211</v>
      </c>
      <c r="HH147" s="21">
        <f>EXP(-LN(2)/25)*HH146+(1-EXP(-LN(2)/25))/(LN(2)/25)*Calculateur!HC147*Calculateur!HE147*VLOOKUP('Données projet'!$B$18,Paramètres!$A$1:$I$89,3,0)*0.475*44/12</f>
        <v>0</v>
      </c>
      <c r="HI147" s="21">
        <f>EXP(-LN(2)/2)*HI146+(1-EXP(-LN(2)/2))/(LN(2)/2)*HC147*HF147*VLOOKUP('Données projet'!$B$18,Paramètres!$A$1:$I$89,3,0)*0.475*44/12</f>
        <v>0</v>
      </c>
      <c r="HJ147" s="22">
        <f t="shared" si="138"/>
        <v>40.000320021875211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2.3499999999999996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8.6166666666666654</v>
      </c>
      <c r="H148" s="67">
        <f t="shared" si="110"/>
        <v>222.20000000000002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69.071000203675368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5.6843418860808015E-14</v>
      </c>
      <c r="O148" s="13">
        <f>N148*VLOOKUP('Données projet'!$B$9,Paramètres!$A$1:$I$89,3,0)*VLOOKUP('Données projet'!$B$9,Paramètres!$A$1:$I$89,5,0)</f>
        <v>5.1431925385259088E-14</v>
      </c>
      <c r="P148" s="13">
        <f t="shared" si="141"/>
        <v>8.3482866290946129E-13</v>
      </c>
      <c r="Q148" s="20">
        <f t="shared" si="108"/>
        <v>1.5435705246133045E-12</v>
      </c>
      <c r="R148" s="59">
        <f t="shared" si="109"/>
        <v>289.92700074681125</v>
      </c>
      <c r="S148" s="59">
        <f ca="1">AVERAGE(OFFSET($R$3,0,0,'Données projet'!$E$9+1,1))-AVERAGE(OFFSET($H$3,0,0,'Données projet'!$E$9+1,1))</f>
        <v>473.88815717313474</v>
      </c>
      <c r="T148" s="59">
        <f t="shared" si="142"/>
        <v>287.19790203552895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113.93644696370185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113.93644696370185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69.071000203675368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5.6843418860808015E-14</v>
      </c>
      <c r="AJ148" s="13">
        <f>AI148*VLOOKUP('Données projet'!$B$10,Paramètres!$A$1:$I$89,3,0)*VLOOKUP('Données projet'!$B$10,Paramètres!$A$1:$I$89,5,0)</f>
        <v>4.7884896048344674E-14</v>
      </c>
      <c r="AK148" s="13">
        <f t="shared" si="143"/>
        <v>7.8374629847779921E-13</v>
      </c>
      <c r="AL148" s="20">
        <f t="shared" si="112"/>
        <v>1.4484243304663672E-12</v>
      </c>
      <c r="AM148" s="59">
        <f t="shared" si="113"/>
        <v>289.92700074681113</v>
      </c>
      <c r="AN148" s="59">
        <f ca="1">AVERAGE(OFFSET($AM$3,0,0,'Données projet'!$E$10+1,1))-AVERAGE(OFFSET($H$3,0,0,'Données projet'!$E$10+1,1))</f>
        <v>445.19118535527258</v>
      </c>
      <c r="AO148" s="59">
        <f t="shared" si="144"/>
        <v>270.93483242839363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106.07876096620518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106.07876096620518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69.071000203675368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5.6843418860808015E-14</v>
      </c>
      <c r="BE148" s="13">
        <f>BD148*VLOOKUP('Données projet'!$B$11,Paramètres!$A$1:$I$89,3,0)*VLOOKUP('Données projet'!$B$11,Paramètres!$A$1:$I$89,5,0)</f>
        <v>5.7639226724859328E-14</v>
      </c>
      <c r="BF148" s="13">
        <f t="shared" si="145"/>
        <v>9.2325701996134334E-13</v>
      </c>
      <c r="BG148" s="20">
        <f t="shared" si="115"/>
        <v>1.708394296311803E-12</v>
      </c>
      <c r="BH148" s="59">
        <f t="shared" si="116"/>
        <v>289.92700074681142</v>
      </c>
      <c r="BI148" s="59">
        <f ca="1">AVERAGE(OFFSET($BH$3,0,0,'Données projet'!$E$11+1,1))-AVERAGE(OFFSET($H$3,0,0,'Données projet'!$E$11+1,1))</f>
        <v>524.01140973345832</v>
      </c>
      <c r="BJ148" s="59">
        <f t="shared" si="146"/>
        <v>315.59942237999621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127.68739745932105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127.68739745932105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69.071000203675368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-2.8421709430404007E-13</v>
      </c>
      <c r="BZ148" s="13">
        <f>BY148*VLOOKUP('Données projet'!$B$12,Paramètres!$A$1:$I$89,3,0)*VLOOKUP('Données projet'!$B$12,Paramètres!$A$1:$I$89,5,0)</f>
        <v>-1.9065282685915009E-13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358.95222991910504</v>
      </c>
      <c r="CE148" s="59">
        <f t="shared" si="148"/>
        <v>347.37506646970905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39.198738171162162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39.198738171162162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69.071000203675368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-2.8421709430404007E-13</v>
      </c>
      <c r="CU148" s="17">
        <f>CT148*VLOOKUP('Données projet'!$B$13,Paramètres!$A$1:$I$89,3,0)*VLOOKUP('Données projet'!$B$13,Paramètres!$A$1:$I$89,5,0)</f>
        <v>-1.8621904018800707E-13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351.7266381615546</v>
      </c>
      <c r="CZ148" s="59">
        <f t="shared" si="150"/>
        <v>340.52483243761799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33.145417158184081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33.145417158184081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69.071000203675368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2.2737367544323206E-13</v>
      </c>
      <c r="DP148" s="17">
        <f>DO148*VLOOKUP('Données projet'!$B$14,Paramètres!$A$1:$I$89,3,0)*VLOOKUP('Données projet'!$B$14,Paramètres!$A$1:$I$89,5,0)</f>
        <v>1.9508661353029313E-13</v>
      </c>
      <c r="DQ148" s="13">
        <f t="shared" si="151"/>
        <v>2.711421636700695E-12</v>
      </c>
      <c r="DR148" s="20">
        <f t="shared" si="124"/>
        <v>5.0621685358189711E-12</v>
      </c>
      <c r="DS148" s="59">
        <f t="shared" si="125"/>
        <v>289.92700074681477</v>
      </c>
      <c r="DT148" s="59">
        <f ca="1">AVERAGE(OFFSET($DS$3,0,0,'Données projet'!$E$14+1,1))-AVERAGE(OFFSET($H$3,0,0,'Données projet'!$E$14+1,1))</f>
        <v>569.21675741362196</v>
      </c>
      <c r="DU148" s="59">
        <f t="shared" si="152"/>
        <v>321.12410801891679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163.52213502780037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163.52213502780037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69.071000203675368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-2.8421709430404007E-13</v>
      </c>
      <c r="EK148" s="17">
        <f>EJ148*VLOOKUP('Données projet'!$B$15,Paramètres!$A$1:$I$89,3,0)*VLOOKUP('Données projet'!$B$15,Paramètres!$A$1:$I$89,5,0)</f>
        <v>-2.2612312022829427E-13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416.63597645452791</v>
      </c>
      <c r="EP148" s="59">
        <f t="shared" si="154"/>
        <v>402.05920382353497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49.608008072298716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49.608008072298716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69.071000203675368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>
        <f>FE148*VLOOKUP('Données projet'!$B$16,Paramètres!$A$1:$I$89,3,0)*VLOOKUP('Données projet'!$B$16,Paramètres!$A$1:$I$89,5,0)</f>
        <v>0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395.57130469647603</v>
      </c>
      <c r="FK148" s="59">
        <f t="shared" si="156"/>
        <v>383.97542781562674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47.058262088945533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47.058262088945533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69.071000203675368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>
        <f>FZ148*VLOOKUP('Données projet'!$B$17,Paramètres!$A$1:$I$89,3,0)*VLOOKUP('Données projet'!$B$17,Paramètres!$A$1:$I$89,5,0)</f>
        <v>0</v>
      </c>
      <c r="GB148" s="13" t="e">
        <f t="shared" si="157"/>
        <v>#NUM!</v>
      </c>
      <c r="GC148" s="20" t="e">
        <f t="shared" si="133"/>
        <v>#NUM!</v>
      </c>
      <c r="GD148" s="59" t="e">
        <f t="shared" si="134"/>
        <v>#NUM!</v>
      </c>
      <c r="GE148" s="59">
        <f ca="1">AVERAGE(OFFSET($GD$3,0,0,'Données projet'!$E$17+1,1))-AVERAGE(OFFSET($H$3,0,0,'Données projet'!$E$17+1,1))</f>
        <v>301.74744407733351</v>
      </c>
      <c r="GF148" s="59">
        <f t="shared" si="158"/>
        <v>292.46787700966991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24.442065601026393</v>
      </c>
      <c r="GM148" s="21">
        <f>EXP(-LN(2)/25)*GM147+(1-EXP(-LN(2)/25))/(LN(2)/25)*Calculateur!GH148*Calculateur!GJ148*VLOOKUP('Données projet'!$B$17,Paramètres!$A$1:$I$89,3,0)*0.475*44/12</f>
        <v>0</v>
      </c>
      <c r="GN148" s="21">
        <f>EXP(-LN(2)/2)*GN147+(1-EXP(-LN(2)/2))/(LN(2)/2)*GH148*GK148*VLOOKUP('Données projet'!$B$17,Paramètres!$A$1:$I$89,3,0)*0.475*44/12</f>
        <v>0</v>
      </c>
      <c r="GO148" s="21">
        <f t="shared" si="135"/>
        <v>24.442065601026393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69.071000203675368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-2.8421709430404007E-13</v>
      </c>
      <c r="GV148" s="17">
        <f>GU148*VLOOKUP('Données projet'!$B$18,Paramètres!$A$1:$I$89,3,0)*VLOOKUP('Données projet'!$B$18,Paramètres!$A$1:$I$89,5,0)</f>
        <v>-1.6848389350343495E-13</v>
      </c>
      <c r="GW148" s="13" t="e">
        <f t="shared" si="159"/>
        <v>#NUM!</v>
      </c>
      <c r="GX148" s="20" t="e">
        <f t="shared" si="136"/>
        <v>#NUM!</v>
      </c>
      <c r="GY148" s="59" t="e">
        <f t="shared" si="137"/>
        <v>#NUM!</v>
      </c>
      <c r="GZ148" s="59">
        <f ca="1">AVERAGE(OFFSET($GY$3,0,0,'Données projet'!$E$18+1,1))-AVERAGE(OFFSET($H$3,0,0,'Données projet'!$E$18+1,1))</f>
        <v>322.78672881269978</v>
      </c>
      <c r="HA148" s="59">
        <f t="shared" si="160"/>
        <v>313.08736327626434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39.215938144032371</v>
      </c>
      <c r="HH148" s="21">
        <f>EXP(-LN(2)/25)*HH147+(1-EXP(-LN(2)/25))/(LN(2)/25)*Calculateur!HC148*Calculateur!HE148*VLOOKUP('Données projet'!$B$18,Paramètres!$A$1:$I$89,3,0)*0.475*44/12</f>
        <v>0</v>
      </c>
      <c r="HI148" s="21">
        <f>EXP(-LN(2)/2)*HI147+(1-EXP(-LN(2)/2))/(LN(2)/2)*HC148*HF148*VLOOKUP('Données projet'!$B$18,Paramètres!$A$1:$I$89,3,0)*0.475*44/12</f>
        <v>0</v>
      </c>
      <c r="HJ148" s="22">
        <f t="shared" si="138"/>
        <v>39.215938144032371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2.3499999999999996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8.6166666666666654</v>
      </c>
      <c r="H149" s="67">
        <f t="shared" si="110"/>
        <v>222.20000000000002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69.087116273209205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5.6843418860808015E-14</v>
      </c>
      <c r="O149" s="13">
        <f>N149*VLOOKUP('Données projet'!$B$9,Paramètres!$A$1:$I$89,3,0)*VLOOKUP('Données projet'!$B$9,Paramètres!$A$1:$I$89,5,0)</f>
        <v>5.1431925385259088E-14</v>
      </c>
      <c r="P149" s="13">
        <f t="shared" si="141"/>
        <v>8.3482866290946129E-13</v>
      </c>
      <c r="Q149" s="20">
        <f t="shared" si="108"/>
        <v>1.5435705246133045E-12</v>
      </c>
      <c r="R149" s="59">
        <f t="shared" si="109"/>
        <v>289.98609300176861</v>
      </c>
      <c r="S149" s="59">
        <f ca="1">AVERAGE(OFFSET($R$3,0,0,'Données projet'!$E$9+1,1))-AVERAGE(OFFSET($H$3,0,0,'Données projet'!$E$9+1,1))</f>
        <v>473.88815717313474</v>
      </c>
      <c r="T149" s="59">
        <f t="shared" si="142"/>
        <v>287.19790203552895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111.70222273311431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111.70222273311431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69.087116273209205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5.6843418860808015E-14</v>
      </c>
      <c r="AJ149" s="13">
        <f>AI149*VLOOKUP('Données projet'!$B$10,Paramètres!$A$1:$I$89,3,0)*VLOOKUP('Données projet'!$B$10,Paramètres!$A$1:$I$89,5,0)</f>
        <v>4.7884896048344674E-14</v>
      </c>
      <c r="AK149" s="13">
        <f t="shared" si="143"/>
        <v>7.8374629847779921E-13</v>
      </c>
      <c r="AL149" s="20">
        <f t="shared" si="112"/>
        <v>1.4484243304663672E-12</v>
      </c>
      <c r="AM149" s="59">
        <f t="shared" si="113"/>
        <v>289.9860930017685</v>
      </c>
      <c r="AN149" s="59">
        <f ca="1">AVERAGE(OFFSET($AM$3,0,0,'Données projet'!$E$10+1,1))-AVERAGE(OFFSET($H$3,0,0,'Données projet'!$E$10+1,1))</f>
        <v>445.19118535527258</v>
      </c>
      <c r="AO149" s="59">
        <f t="shared" si="144"/>
        <v>270.93483242839363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103.99862116531332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103.99862116531332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69.087116273209205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5.6843418860808015E-14</v>
      </c>
      <c r="BE149" s="13">
        <f>BD149*VLOOKUP('Données projet'!$B$11,Paramètres!$A$1:$I$89,3,0)*VLOOKUP('Données projet'!$B$11,Paramètres!$A$1:$I$89,5,0)</f>
        <v>5.7639226724859328E-14</v>
      </c>
      <c r="BF149" s="13">
        <f t="shared" si="145"/>
        <v>9.2325701996134334E-13</v>
      </c>
      <c r="BG149" s="20">
        <f t="shared" si="115"/>
        <v>1.708394296311803E-12</v>
      </c>
      <c r="BH149" s="59">
        <f t="shared" si="116"/>
        <v>289.98609300176878</v>
      </c>
      <c r="BI149" s="59">
        <f ca="1">AVERAGE(OFFSET($BH$3,0,0,'Données projet'!$E$11+1,1))-AVERAGE(OFFSET($H$3,0,0,'Données projet'!$E$11+1,1))</f>
        <v>524.01140973345832</v>
      </c>
      <c r="BJ149" s="59">
        <f t="shared" si="146"/>
        <v>315.59942237999621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125.18352547676604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125.18352547676604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69.087116273209205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-2.8421709430404007E-13</v>
      </c>
      <c r="BZ149" s="13">
        <f>BY149*VLOOKUP('Données projet'!$B$12,Paramètres!$A$1:$I$89,3,0)*VLOOKUP('Données projet'!$B$12,Paramètres!$A$1:$I$89,5,0)</f>
        <v>-1.9065282685915009E-13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358.95222991910504</v>
      </c>
      <c r="CE149" s="59">
        <f t="shared" si="148"/>
        <v>347.37506646970905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38.430074824495151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38.430074824495151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69.087116273209205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-2.8421709430404007E-13</v>
      </c>
      <c r="CU149" s="17">
        <f>CT149*VLOOKUP('Données projet'!$B$13,Paramètres!$A$1:$I$89,3,0)*VLOOKUP('Données projet'!$B$13,Paramètres!$A$1:$I$89,5,0)</f>
        <v>-1.8621904018800707E-13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351.7266381615546</v>
      </c>
      <c r="CZ149" s="59">
        <f t="shared" si="150"/>
        <v>340.52483243761799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32.495455744420326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32.495455744420326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69.087116273209205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2.2737367544323206E-13</v>
      </c>
      <c r="DP149" s="17">
        <f>DO149*VLOOKUP('Données projet'!$B$14,Paramètres!$A$1:$I$89,3,0)*VLOOKUP('Données projet'!$B$14,Paramètres!$A$1:$I$89,5,0)</f>
        <v>1.9508661353029313E-13</v>
      </c>
      <c r="DQ149" s="13">
        <f t="shared" si="151"/>
        <v>2.711421636700695E-12</v>
      </c>
      <c r="DR149" s="20">
        <f t="shared" si="124"/>
        <v>5.0621685358189711E-12</v>
      </c>
      <c r="DS149" s="59">
        <f t="shared" si="125"/>
        <v>289.98609300177213</v>
      </c>
      <c r="DT149" s="59">
        <f ca="1">AVERAGE(OFFSET($DS$3,0,0,'Données projet'!$E$14+1,1))-AVERAGE(OFFSET($H$3,0,0,'Données projet'!$E$14+1,1))</f>
        <v>569.21675741362196</v>
      </c>
      <c r="DU149" s="59">
        <f t="shared" si="152"/>
        <v>321.12410801891679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160.3155656985592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160.3155656985592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69.087116273209205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-2.8421709430404007E-13</v>
      </c>
      <c r="EK149" s="17">
        <f>EJ149*VLOOKUP('Données projet'!$B$15,Paramètres!$A$1:$I$89,3,0)*VLOOKUP('Données projet'!$B$15,Paramètres!$A$1:$I$89,5,0)</f>
        <v>-2.2612312022829427E-13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416.63597645452791</v>
      </c>
      <c r="EP149" s="59">
        <f t="shared" si="154"/>
        <v>402.05920382353497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48.635225291898145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48.635225291898145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69.087116273209205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>
        <f>FE149*VLOOKUP('Données projet'!$B$16,Paramètres!$A$1:$I$89,3,0)*VLOOKUP('Données projet'!$B$16,Paramètres!$A$1:$I$89,5,0)</f>
        <v>0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395.57130469647603</v>
      </c>
      <c r="FK149" s="59">
        <f t="shared" si="156"/>
        <v>383.97542781562674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46.135478272087028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46.135478272087028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69.087116273209205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>
        <f>FZ149*VLOOKUP('Données projet'!$B$17,Paramètres!$A$1:$I$89,3,0)*VLOOKUP('Données projet'!$B$17,Paramètres!$A$1:$I$89,5,0)</f>
        <v>0</v>
      </c>
      <c r="GB149" s="13" t="e">
        <f t="shared" si="157"/>
        <v>#NUM!</v>
      </c>
      <c r="GC149" s="20" t="e">
        <f t="shared" si="133"/>
        <v>#NUM!</v>
      </c>
      <c r="GD149" s="59" t="e">
        <f t="shared" si="134"/>
        <v>#NUM!</v>
      </c>
      <c r="GE149" s="59">
        <f ca="1">AVERAGE(OFFSET($GD$3,0,0,'Données projet'!$E$17+1,1))-AVERAGE(OFFSET($H$3,0,0,'Données projet'!$E$17+1,1))</f>
        <v>301.74744407733351</v>
      </c>
      <c r="GF149" s="59">
        <f t="shared" si="158"/>
        <v>292.46787700966991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23.962771602778222</v>
      </c>
      <c r="GM149" s="21">
        <f>EXP(-LN(2)/25)*GM148+(1-EXP(-LN(2)/25))/(LN(2)/25)*Calculateur!GH149*Calculateur!GJ149*VLOOKUP('Données projet'!$B$17,Paramètres!$A$1:$I$89,3,0)*0.475*44/12</f>
        <v>0</v>
      </c>
      <c r="GN149" s="21">
        <f>EXP(-LN(2)/2)*GN148+(1-EXP(-LN(2)/2))/(LN(2)/2)*GH149*GK149*VLOOKUP('Données projet'!$B$17,Paramètres!$A$1:$I$89,3,0)*0.475*44/12</f>
        <v>0</v>
      </c>
      <c r="GO149" s="21">
        <f t="shared" si="135"/>
        <v>23.962771602778222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69.087116273209205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-2.8421709430404007E-13</v>
      </c>
      <c r="GV149" s="17">
        <f>GU149*VLOOKUP('Données projet'!$B$18,Paramètres!$A$1:$I$89,3,0)*VLOOKUP('Données projet'!$B$18,Paramètres!$A$1:$I$89,5,0)</f>
        <v>-1.6848389350343495E-13</v>
      </c>
      <c r="GW149" s="13" t="e">
        <f t="shared" si="159"/>
        <v>#NUM!</v>
      </c>
      <c r="GX149" s="20" t="e">
        <f t="shared" si="136"/>
        <v>#NUM!</v>
      </c>
      <c r="GY149" s="59" t="e">
        <f t="shared" si="137"/>
        <v>#NUM!</v>
      </c>
      <c r="GZ149" s="59">
        <f ca="1">AVERAGE(OFFSET($GY$3,0,0,'Données projet'!$E$18+1,1))-AVERAGE(OFFSET($H$3,0,0,'Données projet'!$E$18+1,1))</f>
        <v>322.78672881269978</v>
      </c>
      <c r="HA149" s="59">
        <f t="shared" si="160"/>
        <v>313.08736327626434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38.446937516388324</v>
      </c>
      <c r="HH149" s="21">
        <f>EXP(-LN(2)/25)*HH148+(1-EXP(-LN(2)/25))/(LN(2)/25)*Calculateur!HC149*Calculateur!HE149*VLOOKUP('Données projet'!$B$18,Paramètres!$A$1:$I$89,3,0)*0.475*44/12</f>
        <v>0</v>
      </c>
      <c r="HI149" s="21">
        <f>EXP(-LN(2)/2)*HI148+(1-EXP(-LN(2)/2))/(LN(2)/2)*HC149*HF149*VLOOKUP('Données projet'!$B$18,Paramètres!$A$1:$I$89,3,0)*0.475*44/12</f>
        <v>0</v>
      </c>
      <c r="HJ149" s="22">
        <f t="shared" si="138"/>
        <v>38.446937516388324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2.3499999999999996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8.6166666666666654</v>
      </c>
      <c r="H150" s="67">
        <f t="shared" si="110"/>
        <v>222.20000000000002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69.102952764966744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5.6843418860808015E-14</v>
      </c>
      <c r="O150" s="13">
        <f>N150*VLOOKUP('Données projet'!$B$9,Paramètres!$A$1:$I$89,3,0)*VLOOKUP('Données projet'!$B$9,Paramètres!$A$1:$I$89,5,0)</f>
        <v>5.1431925385259088E-14</v>
      </c>
      <c r="P150" s="13">
        <f t="shared" si="141"/>
        <v>8.3482866290946129E-13</v>
      </c>
      <c r="Q150" s="20">
        <f t="shared" si="108"/>
        <v>1.5435705246133045E-12</v>
      </c>
      <c r="R150" s="59">
        <f t="shared" si="109"/>
        <v>290.04416013821293</v>
      </c>
      <c r="S150" s="59">
        <f ca="1">AVERAGE(OFFSET($R$3,0,0,'Données projet'!$E$9+1,1))-AVERAGE(OFFSET($H$3,0,0,'Données projet'!$E$9+1,1))</f>
        <v>473.88815717313474</v>
      </c>
      <c r="T150" s="59">
        <f t="shared" si="142"/>
        <v>287.19790203552895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109.51181027694636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109.51181027694636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69.102952764966744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5.6843418860808015E-14</v>
      </c>
      <c r="AJ150" s="13">
        <f>AI150*VLOOKUP('Données projet'!$B$10,Paramètres!$A$1:$I$89,3,0)*VLOOKUP('Données projet'!$B$10,Paramètres!$A$1:$I$89,5,0)</f>
        <v>4.7884896048344674E-14</v>
      </c>
      <c r="AK150" s="13">
        <f t="shared" si="143"/>
        <v>7.8374629847779921E-13</v>
      </c>
      <c r="AL150" s="20">
        <f t="shared" si="112"/>
        <v>1.4484243304663672E-12</v>
      </c>
      <c r="AM150" s="59">
        <f t="shared" si="113"/>
        <v>290.04416013821282</v>
      </c>
      <c r="AN150" s="59">
        <f ca="1">AVERAGE(OFFSET($AM$3,0,0,'Données projet'!$E$10+1,1))-AVERAGE(OFFSET($H$3,0,0,'Données projet'!$E$10+1,1))</f>
        <v>445.19118535527258</v>
      </c>
      <c r="AO150" s="59">
        <f t="shared" si="144"/>
        <v>270.93483242839363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101.95927163715696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101.95927163715696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69.102952764966744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5.6843418860808015E-14</v>
      </c>
      <c r="BE150" s="13">
        <f>BD150*VLOOKUP('Données projet'!$B$11,Paramètres!$A$1:$I$89,3,0)*VLOOKUP('Données projet'!$B$11,Paramètres!$A$1:$I$89,5,0)</f>
        <v>5.7639226724859328E-14</v>
      </c>
      <c r="BF150" s="13">
        <f t="shared" si="145"/>
        <v>9.2325701996134334E-13</v>
      </c>
      <c r="BG150" s="20">
        <f t="shared" si="115"/>
        <v>1.708394296311803E-12</v>
      </c>
      <c r="BH150" s="59">
        <f t="shared" si="116"/>
        <v>290.0441601382131</v>
      </c>
      <c r="BI150" s="59">
        <f ca="1">AVERAGE(OFFSET($BH$3,0,0,'Données projet'!$E$11+1,1))-AVERAGE(OFFSET($H$3,0,0,'Données projet'!$E$11+1,1))</f>
        <v>524.01140973345832</v>
      </c>
      <c r="BJ150" s="59">
        <f t="shared" si="146"/>
        <v>315.59942237999621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122.72875289657782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122.72875289657782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69.102952764966744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-2.8421709430404007E-13</v>
      </c>
      <c r="BZ150" s="13">
        <f>BY150*VLOOKUP('Données projet'!$B$12,Paramètres!$A$1:$I$89,3,0)*VLOOKUP('Données projet'!$B$12,Paramètres!$A$1:$I$89,5,0)</f>
        <v>-1.9065282685915009E-13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358.95222991910504</v>
      </c>
      <c r="CE150" s="59">
        <f t="shared" si="148"/>
        <v>347.37506646970905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37.676484497217935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37.676484497217935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69.102952764966744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-2.8421709430404007E-13</v>
      </c>
      <c r="CU150" s="17">
        <f>CT150*VLOOKUP('Données projet'!$B$13,Paramètres!$A$1:$I$89,3,0)*VLOOKUP('Données projet'!$B$13,Paramètres!$A$1:$I$89,5,0)</f>
        <v>-1.8621904018800707E-13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351.7266381615546</v>
      </c>
      <c r="CZ150" s="59">
        <f t="shared" si="150"/>
        <v>340.52483243761799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31.858239677543157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31.858239677543157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69.102952764966744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2.2737367544323206E-13</v>
      </c>
      <c r="DP150" s="17">
        <f>DO150*VLOOKUP('Données projet'!$B$14,Paramètres!$A$1:$I$89,3,0)*VLOOKUP('Données projet'!$B$14,Paramètres!$A$1:$I$89,5,0)</f>
        <v>1.9508661353029313E-13</v>
      </c>
      <c r="DQ150" s="13">
        <f t="shared" si="151"/>
        <v>2.711421636700695E-12</v>
      </c>
      <c r="DR150" s="20">
        <f t="shared" si="124"/>
        <v>5.0621685358189711E-12</v>
      </c>
      <c r="DS150" s="59">
        <f t="shared" si="125"/>
        <v>290.04416013821645</v>
      </c>
      <c r="DT150" s="59">
        <f ca="1">AVERAGE(OFFSET($DS$3,0,0,'Données projet'!$E$14+1,1))-AVERAGE(OFFSET($H$3,0,0,'Données projet'!$E$14+1,1))</f>
        <v>569.21675741362196</v>
      </c>
      <c r="DU150" s="59">
        <f t="shared" si="152"/>
        <v>321.12410801891679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157.17187523805026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157.17187523805026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69.102952764966744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-2.8421709430404007E-13</v>
      </c>
      <c r="EK150" s="17">
        <f>EJ150*VLOOKUP('Données projet'!$B$15,Paramètres!$A$1:$I$89,3,0)*VLOOKUP('Données projet'!$B$15,Paramètres!$A$1:$I$89,5,0)</f>
        <v>-2.2612312022829427E-13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416.63597645452791</v>
      </c>
      <c r="EP150" s="59">
        <f t="shared" si="154"/>
        <v>402.05920382353497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47.681518188482322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47.681518188482322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69.102952764966744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>
        <f>FE150*VLOOKUP('Données projet'!$B$16,Paramètres!$A$1:$I$89,3,0)*VLOOKUP('Données projet'!$B$16,Paramètres!$A$1:$I$89,5,0)</f>
        <v>0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395.57130469647603</v>
      </c>
      <c r="FK150" s="59">
        <f t="shared" si="156"/>
        <v>383.97542781562674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45.230789683034565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45.230789683034565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69.102952764966744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>
        <f>FZ150*VLOOKUP('Données projet'!$B$17,Paramètres!$A$1:$I$89,3,0)*VLOOKUP('Données projet'!$B$17,Paramètres!$A$1:$I$89,5,0)</f>
        <v>0</v>
      </c>
      <c r="GB150" s="13" t="e">
        <f t="shared" si="157"/>
        <v>#NUM!</v>
      </c>
      <c r="GC150" s="20" t="e">
        <f t="shared" si="133"/>
        <v>#NUM!</v>
      </c>
      <c r="GD150" s="59" t="e">
        <f t="shared" si="134"/>
        <v>#NUM!</v>
      </c>
      <c r="GE150" s="59">
        <f ca="1">AVERAGE(OFFSET($GD$3,0,0,'Données projet'!$E$17+1,1))-AVERAGE(OFFSET($H$3,0,0,'Données projet'!$E$17+1,1))</f>
        <v>301.74744407733351</v>
      </c>
      <c r="GF150" s="59">
        <f t="shared" si="158"/>
        <v>292.46787700966991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23.492876267495223</v>
      </c>
      <c r="GM150" s="21">
        <f>EXP(-LN(2)/25)*GM149+(1-EXP(-LN(2)/25))/(LN(2)/25)*Calculateur!GH150*Calculateur!GJ150*VLOOKUP('Données projet'!$B$17,Paramètres!$A$1:$I$89,3,0)*0.475*44/12</f>
        <v>0</v>
      </c>
      <c r="GN150" s="21">
        <f>EXP(-LN(2)/2)*GN149+(1-EXP(-LN(2)/2))/(LN(2)/2)*GH150*GK150*VLOOKUP('Données projet'!$B$17,Paramètres!$A$1:$I$89,3,0)*0.475*44/12</f>
        <v>0</v>
      </c>
      <c r="GO150" s="21">
        <f t="shared" si="135"/>
        <v>23.492876267495223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69.102952764966744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-2.8421709430404007E-13</v>
      </c>
      <c r="GV150" s="17">
        <f>GU150*VLOOKUP('Données projet'!$B$18,Paramètres!$A$1:$I$89,3,0)*VLOOKUP('Données projet'!$B$18,Paramètres!$A$1:$I$89,5,0)</f>
        <v>-1.6848389350343495E-13</v>
      </c>
      <c r="GW150" s="13" t="e">
        <f t="shared" si="159"/>
        <v>#NUM!</v>
      </c>
      <c r="GX150" s="20" t="e">
        <f t="shared" si="136"/>
        <v>#NUM!</v>
      </c>
      <c r="GY150" s="59" t="e">
        <f t="shared" si="137"/>
        <v>#NUM!</v>
      </c>
      <c r="GZ150" s="59">
        <f ca="1">AVERAGE(OFFSET($GY$3,0,0,'Données projet'!$E$18+1,1))-AVERAGE(OFFSET($H$3,0,0,'Données projet'!$E$18+1,1))</f>
        <v>322.78672881269978</v>
      </c>
      <c r="HA150" s="59">
        <f t="shared" si="160"/>
        <v>313.08736327626434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37.693016522008307</v>
      </c>
      <c r="HH150" s="21">
        <f>EXP(-LN(2)/25)*HH149+(1-EXP(-LN(2)/25))/(LN(2)/25)*Calculateur!HC150*Calculateur!HE150*VLOOKUP('Données projet'!$B$18,Paramètres!$A$1:$I$89,3,0)*0.475*44/12</f>
        <v>0</v>
      </c>
      <c r="HI150" s="21">
        <f>EXP(-LN(2)/2)*HI149+(1-EXP(-LN(2)/2))/(LN(2)/2)*HC150*HF150*VLOOKUP('Données projet'!$B$18,Paramètres!$A$1:$I$89,3,0)*0.475*44/12</f>
        <v>0</v>
      </c>
      <c r="HJ150" s="22">
        <f t="shared" si="138"/>
        <v>37.693016522008307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2.3499999999999996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8.6166666666666654</v>
      </c>
      <c r="H151" s="67">
        <f t="shared" si="110"/>
        <v>222.20000000000002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69.118514528997409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5.6843418860808015E-14</v>
      </c>
      <c r="O151" s="13">
        <f>N151*VLOOKUP('Données projet'!$B$9,Paramètres!$A$1:$I$89,3,0)*VLOOKUP('Données projet'!$B$9,Paramètres!$A$1:$I$89,5,0)</f>
        <v>5.1431925385259088E-14</v>
      </c>
      <c r="P151" s="13">
        <f t="shared" si="141"/>
        <v>8.3482866290946129E-13</v>
      </c>
      <c r="Q151" s="20">
        <f t="shared" si="108"/>
        <v>1.5435705246133045E-12</v>
      </c>
      <c r="R151" s="59">
        <f t="shared" si="109"/>
        <v>290.10121993965868</v>
      </c>
      <c r="S151" s="59">
        <f ca="1">AVERAGE(OFFSET($R$3,0,0,'Données projet'!$E$9+1,1))-AVERAGE(OFFSET($H$3,0,0,'Données projet'!$E$9+1,1))</f>
        <v>473.88815717313474</v>
      </c>
      <c r="T151" s="59">
        <f t="shared" si="142"/>
        <v>287.19790203552895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107.36435047302419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107.36435047302419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69.118514528997409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5.6843418860808015E-14</v>
      </c>
      <c r="AJ151" s="13">
        <f>AI151*VLOOKUP('Données projet'!$B$10,Paramètres!$A$1:$I$89,3,0)*VLOOKUP('Données projet'!$B$10,Paramètres!$A$1:$I$89,5,0)</f>
        <v>4.7884896048344674E-14</v>
      </c>
      <c r="AK151" s="13">
        <f t="shared" si="143"/>
        <v>7.8374629847779921E-13</v>
      </c>
      <c r="AL151" s="20">
        <f t="shared" si="112"/>
        <v>1.4484243304663672E-12</v>
      </c>
      <c r="AM151" s="59">
        <f t="shared" si="113"/>
        <v>290.10121993965856</v>
      </c>
      <c r="AN151" s="59">
        <f ca="1">AVERAGE(OFFSET($AM$3,0,0,'Données projet'!$E$10+1,1))-AVERAGE(OFFSET($H$3,0,0,'Données projet'!$E$10+1,1))</f>
        <v>445.19118535527258</v>
      </c>
      <c r="AO151" s="59">
        <f t="shared" si="144"/>
        <v>270.93483242839363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99.959912509367356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99.959912509367356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69.118514528997409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5.6843418860808015E-14</v>
      </c>
      <c r="BE151" s="13">
        <f>BD151*VLOOKUP('Données projet'!$B$11,Paramètres!$A$1:$I$89,3,0)*VLOOKUP('Données projet'!$B$11,Paramètres!$A$1:$I$89,5,0)</f>
        <v>5.7639226724859328E-14</v>
      </c>
      <c r="BF151" s="13">
        <f t="shared" si="145"/>
        <v>9.2325701996134334E-13</v>
      </c>
      <c r="BG151" s="20">
        <f t="shared" si="115"/>
        <v>1.708394296311803E-12</v>
      </c>
      <c r="BH151" s="59">
        <f t="shared" si="116"/>
        <v>290.10121993965885</v>
      </c>
      <c r="BI151" s="59">
        <f ca="1">AVERAGE(OFFSET($BH$3,0,0,'Données projet'!$E$11+1,1))-AVERAGE(OFFSET($H$3,0,0,'Données projet'!$E$11+1,1))</f>
        <v>524.01140973345832</v>
      </c>
      <c r="BJ151" s="59">
        <f t="shared" si="146"/>
        <v>315.59942237999621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120.32211690942367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120.32211690942367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69.118514528997409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-2.8421709430404007E-13</v>
      </c>
      <c r="BZ151" s="13">
        <f>BY151*VLOOKUP('Données projet'!$B$12,Paramètres!$A$1:$I$89,3,0)*VLOOKUP('Données projet'!$B$12,Paramètres!$A$1:$I$89,5,0)</f>
        <v>-1.9065282685915009E-13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358.95222991910504</v>
      </c>
      <c r="CE151" s="59">
        <f t="shared" si="148"/>
        <v>347.37506646970905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36.937671616613912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36.937671616613912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69.118514528997409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-2.8421709430404007E-13</v>
      </c>
      <c r="CU151" s="17">
        <f>CT151*VLOOKUP('Données projet'!$B$13,Paramètres!$A$1:$I$89,3,0)*VLOOKUP('Données projet'!$B$13,Paramètres!$A$1:$I$89,5,0)</f>
        <v>-1.8621904018800707E-13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351.7266381615546</v>
      </c>
      <c r="CZ151" s="59">
        <f t="shared" si="150"/>
        <v>340.52483243761799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31.233519029074028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31.233519029074028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69.118514528997409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2.2737367544323206E-13</v>
      </c>
      <c r="DP151" s="17">
        <f>DO151*VLOOKUP('Données projet'!$B$14,Paramètres!$A$1:$I$89,3,0)*VLOOKUP('Données projet'!$B$14,Paramètres!$A$1:$I$89,5,0)</f>
        <v>1.9508661353029313E-13</v>
      </c>
      <c r="DQ151" s="13">
        <f t="shared" si="151"/>
        <v>2.711421636700695E-12</v>
      </c>
      <c r="DR151" s="20">
        <f t="shared" si="124"/>
        <v>5.0621685358189711E-12</v>
      </c>
      <c r="DS151" s="59">
        <f t="shared" si="125"/>
        <v>290.1012199396622</v>
      </c>
      <c r="DT151" s="59">
        <f ca="1">AVERAGE(OFFSET($DS$3,0,0,'Données projet'!$E$14+1,1))-AVERAGE(OFFSET($H$3,0,0,'Données projet'!$E$14+1,1))</f>
        <v>569.21675741362196</v>
      </c>
      <c r="DU151" s="59">
        <f t="shared" si="152"/>
        <v>321.12410801891679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154.08983063001008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154.08983063001008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69.118514528997409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-2.8421709430404007E-13</v>
      </c>
      <c r="EK151" s="17">
        <f>EJ151*VLOOKUP('Données projet'!$B$15,Paramètres!$A$1:$I$89,3,0)*VLOOKUP('Données projet'!$B$15,Paramètres!$A$1:$I$89,5,0)</f>
        <v>-2.2612312022829427E-13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416.63597645452791</v>
      </c>
      <c r="EP151" s="59">
        <f t="shared" si="154"/>
        <v>402.05920382353497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46.746512699660585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46.746512699660585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69.118514528997409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>
        <f>FE151*VLOOKUP('Données projet'!$B$16,Paramètres!$A$1:$I$89,3,0)*VLOOKUP('Données projet'!$B$16,Paramètres!$A$1:$I$89,5,0)</f>
        <v>0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395.57130469647603</v>
      </c>
      <c r="FK151" s="59">
        <f t="shared" si="156"/>
        <v>383.97542781562674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44.343841485407872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44.343841485407872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69.118514528997409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>
        <f>FZ151*VLOOKUP('Données projet'!$B$17,Paramètres!$A$1:$I$89,3,0)*VLOOKUP('Données projet'!$B$17,Paramètres!$A$1:$I$89,5,0)</f>
        <v>0</v>
      </c>
      <c r="GB151" s="13" t="e">
        <f t="shared" si="157"/>
        <v>#NUM!</v>
      </c>
      <c r="GC151" s="20" t="e">
        <f t="shared" si="133"/>
        <v>#NUM!</v>
      </c>
      <c r="GD151" s="59" t="e">
        <f t="shared" si="134"/>
        <v>#NUM!</v>
      </c>
      <c r="GE151" s="59">
        <f ca="1">AVERAGE(OFFSET($GD$3,0,0,'Données projet'!$E$17+1,1))-AVERAGE(OFFSET($H$3,0,0,'Données projet'!$E$17+1,1))</f>
        <v>301.74744407733351</v>
      </c>
      <c r="GF151" s="59">
        <f t="shared" si="158"/>
        <v>292.46787700966991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23.03219529312927</v>
      </c>
      <c r="GM151" s="21">
        <f>EXP(-LN(2)/25)*GM150+(1-EXP(-LN(2)/25))/(LN(2)/25)*Calculateur!GH151*Calculateur!GJ151*VLOOKUP('Données projet'!$B$17,Paramètres!$A$1:$I$89,3,0)*0.475*44/12</f>
        <v>0</v>
      </c>
      <c r="GN151" s="21">
        <f>EXP(-LN(2)/2)*GN150+(1-EXP(-LN(2)/2))/(LN(2)/2)*GH151*GK151*VLOOKUP('Données projet'!$B$17,Paramètres!$A$1:$I$89,3,0)*0.475*44/12</f>
        <v>0</v>
      </c>
      <c r="GO151" s="21">
        <f t="shared" si="135"/>
        <v>23.03219529312927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69.118514528997409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-2.8421709430404007E-13</v>
      </c>
      <c r="GV151" s="17">
        <f>GU151*VLOOKUP('Données projet'!$B$18,Paramètres!$A$1:$I$89,3,0)*VLOOKUP('Données projet'!$B$18,Paramètres!$A$1:$I$89,5,0)</f>
        <v>-1.6848389350343495E-13</v>
      </c>
      <c r="GW151" s="13" t="e">
        <f t="shared" si="159"/>
        <v>#NUM!</v>
      </c>
      <c r="GX151" s="20" t="e">
        <f t="shared" si="136"/>
        <v>#NUM!</v>
      </c>
      <c r="GY151" s="59" t="e">
        <f t="shared" si="137"/>
        <v>#NUM!</v>
      </c>
      <c r="GZ151" s="59">
        <f ca="1">AVERAGE(OFFSET($GY$3,0,0,'Données projet'!$E$18+1,1))-AVERAGE(OFFSET($H$3,0,0,'Données projet'!$E$18+1,1))</f>
        <v>322.78672881269978</v>
      </c>
      <c r="HA151" s="59">
        <f t="shared" si="160"/>
        <v>313.08736327626434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36.95387945848168</v>
      </c>
      <c r="HH151" s="21">
        <f>EXP(-LN(2)/25)*HH150+(1-EXP(-LN(2)/25))/(LN(2)/25)*Calculateur!HC151*Calculateur!HE151*VLOOKUP('Données projet'!$B$18,Paramètres!$A$1:$I$89,3,0)*0.475*44/12</f>
        <v>0</v>
      </c>
      <c r="HI151" s="21">
        <f>EXP(-LN(2)/2)*HI150+(1-EXP(-LN(2)/2))/(LN(2)/2)*HC151*HF151*VLOOKUP('Données projet'!$B$18,Paramètres!$A$1:$I$89,3,0)*0.475*44/12</f>
        <v>0</v>
      </c>
      <c r="HJ151" s="22">
        <f t="shared" si="138"/>
        <v>36.95387945848168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2.3499999999999996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8.6166666666666654</v>
      </c>
      <c r="H152" s="67">
        <f t="shared" si="110"/>
        <v>222.20000000000002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69.133806331213023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5.6843418860808015E-14</v>
      </c>
      <c r="O152" s="13">
        <f>N152*VLOOKUP('Données projet'!$B$9,Paramètres!$A$1:$I$89,3,0)*VLOOKUP('Données projet'!$B$9,Paramètres!$A$1:$I$89,5,0)</f>
        <v>5.1431925385259088E-14</v>
      </c>
      <c r="P152" s="13">
        <f t="shared" si="141"/>
        <v>8.3482866290946129E-13</v>
      </c>
      <c r="Q152" s="20">
        <f t="shared" si="108"/>
        <v>1.5435705246133045E-12</v>
      </c>
      <c r="R152" s="59">
        <f t="shared" si="109"/>
        <v>290.15728988111596</v>
      </c>
      <c r="S152" s="59">
        <f ca="1">AVERAGE(OFFSET($R$3,0,0,'Données projet'!$E$9+1,1))-AVERAGE(OFFSET($H$3,0,0,'Données projet'!$E$9+1,1))</f>
        <v>473.88815717313474</v>
      </c>
      <c r="T152" s="59">
        <f t="shared" si="142"/>
        <v>287.19790203552895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105.25900104603579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105.25900104603579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69.133806331213023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5.6843418860808015E-14</v>
      </c>
      <c r="AJ152" s="13">
        <f>AI152*VLOOKUP('Données projet'!$B$10,Paramètres!$A$1:$I$89,3,0)*VLOOKUP('Données projet'!$B$10,Paramètres!$A$1:$I$89,5,0)</f>
        <v>4.7884896048344674E-14</v>
      </c>
      <c r="AK152" s="13">
        <f t="shared" si="143"/>
        <v>7.8374629847779921E-13</v>
      </c>
      <c r="AL152" s="20">
        <f t="shared" si="112"/>
        <v>1.4484243304663672E-12</v>
      </c>
      <c r="AM152" s="59">
        <f t="shared" si="113"/>
        <v>290.15728988111584</v>
      </c>
      <c r="AN152" s="59">
        <f ca="1">AVERAGE(OFFSET($AM$3,0,0,'Données projet'!$E$10+1,1))-AVERAGE(OFFSET($H$3,0,0,'Données projet'!$E$10+1,1))</f>
        <v>445.19118535527258</v>
      </c>
      <c r="AO152" s="59">
        <f t="shared" si="144"/>
        <v>270.93483242839363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97.999759594585058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97.999759594585058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69.133806331213023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5.6843418860808015E-14</v>
      </c>
      <c r="BE152" s="13">
        <f>BD152*VLOOKUP('Données projet'!$B$11,Paramètres!$A$1:$I$89,3,0)*VLOOKUP('Données projet'!$B$11,Paramètres!$A$1:$I$89,5,0)</f>
        <v>5.7639226724859328E-14</v>
      </c>
      <c r="BF152" s="13">
        <f t="shared" si="145"/>
        <v>9.2325701996134334E-13</v>
      </c>
      <c r="BG152" s="20">
        <f t="shared" si="115"/>
        <v>1.708394296311803E-12</v>
      </c>
      <c r="BH152" s="59">
        <f t="shared" si="116"/>
        <v>290.15728988111613</v>
      </c>
      <c r="BI152" s="59">
        <f ca="1">AVERAGE(OFFSET($BH$3,0,0,'Données projet'!$E$11+1,1))-AVERAGE(OFFSET($H$3,0,0,'Données projet'!$E$11+1,1))</f>
        <v>524.01140973345832</v>
      </c>
      <c r="BJ152" s="59">
        <f t="shared" si="146"/>
        <v>315.59942237999621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117.9626735860746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117.9626735860746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69.133806331213023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-2.8421709430404007E-13</v>
      </c>
      <c r="BZ152" s="13">
        <f>BY152*VLOOKUP('Données projet'!$B$12,Paramètres!$A$1:$I$89,3,0)*VLOOKUP('Données projet'!$B$12,Paramètres!$A$1:$I$89,5,0)</f>
        <v>-1.9065282685915009E-13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358.95222991910504</v>
      </c>
      <c r="CE152" s="59">
        <f t="shared" si="148"/>
        <v>347.37506646970905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36.213346405967172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36.213346405967172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69.133806331213023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-2.8421709430404007E-13</v>
      </c>
      <c r="CU152" s="17">
        <f>CT152*VLOOKUP('Données projet'!$B$13,Paramètres!$A$1:$I$89,3,0)*VLOOKUP('Données projet'!$B$13,Paramètres!$A$1:$I$89,5,0)</f>
        <v>-1.8621904018800707E-13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351.7266381615546</v>
      </c>
      <c r="CZ152" s="59">
        <f t="shared" si="150"/>
        <v>340.52483243761799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30.621048771479408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30.621048771479408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69.133806331213023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2.2737367544323206E-13</v>
      </c>
      <c r="DP152" s="17">
        <f>DO152*VLOOKUP('Données projet'!$B$14,Paramètres!$A$1:$I$89,3,0)*VLOOKUP('Données projet'!$B$14,Paramètres!$A$1:$I$89,5,0)</f>
        <v>1.9508661353029313E-13</v>
      </c>
      <c r="DQ152" s="13">
        <f t="shared" si="151"/>
        <v>2.711421636700695E-12</v>
      </c>
      <c r="DR152" s="20">
        <f t="shared" si="124"/>
        <v>5.0621685358189711E-12</v>
      </c>
      <c r="DS152" s="59">
        <f t="shared" si="125"/>
        <v>290.15728988111948</v>
      </c>
      <c r="DT152" s="59">
        <f ca="1">AVERAGE(OFFSET($DS$3,0,0,'Données projet'!$E$14+1,1))-AVERAGE(OFFSET($H$3,0,0,'Données projet'!$E$14+1,1))</f>
        <v>569.21675741362196</v>
      </c>
      <c r="DU152" s="59">
        <f t="shared" si="152"/>
        <v>321.12410801891679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151.06822303687198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151.06822303687198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69.133806331213023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-2.8421709430404007E-13</v>
      </c>
      <c r="EK152" s="17">
        <f>EJ152*VLOOKUP('Données projet'!$B$15,Paramètres!$A$1:$I$89,3,0)*VLOOKUP('Données projet'!$B$15,Paramètres!$A$1:$I$89,5,0)</f>
        <v>-2.2612312022829427E-13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416.63597645452791</v>
      </c>
      <c r="EP152" s="59">
        <f t="shared" si="154"/>
        <v>402.05920382353497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45.829842098177608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45.829842098177608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69.133806331213023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>
        <f>FE152*VLOOKUP('Données projet'!$B$16,Paramètres!$A$1:$I$89,3,0)*VLOOKUP('Données projet'!$B$16,Paramètres!$A$1:$I$89,5,0)</f>
        <v>0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395.57130469647603</v>
      </c>
      <c r="FK152" s="59">
        <f t="shared" si="156"/>
        <v>383.97542781562674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43.474285800951655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43.474285800951655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69.133806331213023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>
        <f>FZ152*VLOOKUP('Données projet'!$B$17,Paramètres!$A$1:$I$89,3,0)*VLOOKUP('Données projet'!$B$17,Paramètres!$A$1:$I$89,5,0)</f>
        <v>0</v>
      </c>
      <c r="GB152" s="13" t="e">
        <f t="shared" si="157"/>
        <v>#NUM!</v>
      </c>
      <c r="GC152" s="20" t="e">
        <f t="shared" si="133"/>
        <v>#NUM!</v>
      </c>
      <c r="GD152" s="59" t="e">
        <f t="shared" si="134"/>
        <v>#NUM!</v>
      </c>
      <c r="GE152" s="59">
        <f ca="1">AVERAGE(OFFSET($GD$3,0,0,'Données projet'!$E$17+1,1))-AVERAGE(OFFSET($H$3,0,0,'Données projet'!$E$17+1,1))</f>
        <v>301.74744407733351</v>
      </c>
      <c r="GF152" s="59">
        <f t="shared" si="158"/>
        <v>292.46787700966991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22.580547991682984</v>
      </c>
      <c r="GM152" s="21">
        <f>EXP(-LN(2)/25)*GM151+(1-EXP(-LN(2)/25))/(LN(2)/25)*Calculateur!GH152*Calculateur!GJ152*VLOOKUP('Données projet'!$B$17,Paramètres!$A$1:$I$89,3,0)*0.475*44/12</f>
        <v>0</v>
      </c>
      <c r="GN152" s="21">
        <f>EXP(-LN(2)/2)*GN151+(1-EXP(-LN(2)/2))/(LN(2)/2)*GH152*GK152*VLOOKUP('Données projet'!$B$17,Paramètres!$A$1:$I$89,3,0)*0.475*44/12</f>
        <v>0</v>
      </c>
      <c r="GO152" s="21">
        <f t="shared" si="135"/>
        <v>22.580547991682984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69.133806331213023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-2.8421709430404007E-13</v>
      </c>
      <c r="GV152" s="17">
        <f>GU152*VLOOKUP('Données projet'!$B$18,Paramètres!$A$1:$I$89,3,0)*VLOOKUP('Données projet'!$B$18,Paramètres!$A$1:$I$89,5,0)</f>
        <v>-1.6848389350343495E-13</v>
      </c>
      <c r="GW152" s="13" t="e">
        <f t="shared" si="159"/>
        <v>#NUM!</v>
      </c>
      <c r="GX152" s="20" t="e">
        <f t="shared" si="136"/>
        <v>#NUM!</v>
      </c>
      <c r="GY152" s="59" t="e">
        <f t="shared" si="137"/>
        <v>#NUM!</v>
      </c>
      <c r="GZ152" s="59">
        <f ca="1">AVERAGE(OFFSET($GY$3,0,0,'Données projet'!$E$18+1,1))-AVERAGE(OFFSET($H$3,0,0,'Données projet'!$E$18+1,1))</f>
        <v>322.78672881269978</v>
      </c>
      <c r="HA152" s="59">
        <f t="shared" si="160"/>
        <v>313.08736327626434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36.229236421941721</v>
      </c>
      <c r="HH152" s="21">
        <f>EXP(-LN(2)/25)*HH151+(1-EXP(-LN(2)/25))/(LN(2)/25)*Calculateur!HC152*Calculateur!HE152*VLOOKUP('Données projet'!$B$18,Paramètres!$A$1:$I$89,3,0)*0.475*44/12</f>
        <v>0</v>
      </c>
      <c r="HI152" s="21">
        <f>EXP(-LN(2)/2)*HI151+(1-EXP(-LN(2)/2))/(LN(2)/2)*HC152*HF152*VLOOKUP('Données projet'!$B$18,Paramètres!$A$1:$I$89,3,0)*0.475*44/12</f>
        <v>0</v>
      </c>
      <c r="HJ152" s="22">
        <f t="shared" si="138"/>
        <v>36.229236421941721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2.3499999999999996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8.6166666666666654</v>
      </c>
      <c r="H153" s="67">
        <f t="shared" si="110"/>
        <v>222.20000000000002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69.148832854847541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5.6843418860808015E-14</v>
      </c>
      <c r="O153" s="13">
        <f>N153*VLOOKUP('Données projet'!$B$9,Paramètres!$A$1:$I$89,3,0)*VLOOKUP('Données projet'!$B$9,Paramètres!$A$1:$I$89,5,0)</f>
        <v>5.1431925385259088E-14</v>
      </c>
      <c r="P153" s="13">
        <f t="shared" si="141"/>
        <v>8.3482866290946129E-13</v>
      </c>
      <c r="Q153" s="20">
        <f t="shared" si="108"/>
        <v>1.5435705246133045E-12</v>
      </c>
      <c r="R153" s="59">
        <f t="shared" si="109"/>
        <v>290.21238713444251</v>
      </c>
      <c r="S153" s="59">
        <f ca="1">AVERAGE(OFFSET($R$3,0,0,'Données projet'!$E$9+1,1))-AVERAGE(OFFSET($H$3,0,0,'Données projet'!$E$9+1,1))</f>
        <v>473.88815717313474</v>
      </c>
      <c r="T153" s="59">
        <f t="shared" si="142"/>
        <v>287.19790203552895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103.19493623717428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103.19493623717428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69.148832854847541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5.6843418860808015E-14</v>
      </c>
      <c r="AJ153" s="13">
        <f>AI153*VLOOKUP('Données projet'!$B$10,Paramètres!$A$1:$I$89,3,0)*VLOOKUP('Données projet'!$B$10,Paramètres!$A$1:$I$89,5,0)</f>
        <v>4.7884896048344674E-14</v>
      </c>
      <c r="AK153" s="13">
        <f t="shared" si="143"/>
        <v>7.8374629847779921E-13</v>
      </c>
      <c r="AL153" s="20">
        <f t="shared" si="112"/>
        <v>1.4484243304663672E-12</v>
      </c>
      <c r="AM153" s="59">
        <f t="shared" si="113"/>
        <v>290.21238713444239</v>
      </c>
      <c r="AN153" s="59">
        <f ca="1">AVERAGE(OFFSET($AM$3,0,0,'Données projet'!$E$10+1,1))-AVERAGE(OFFSET($H$3,0,0,'Données projet'!$E$10+1,1))</f>
        <v>445.19118535527258</v>
      </c>
      <c r="AO153" s="59">
        <f t="shared" si="144"/>
        <v>270.93483242839363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96.078044082886407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96.078044082886407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69.148832854847541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5.6843418860808015E-14</v>
      </c>
      <c r="BE153" s="13">
        <f>BD153*VLOOKUP('Données projet'!$B$11,Paramètres!$A$1:$I$89,3,0)*VLOOKUP('Données projet'!$B$11,Paramètres!$A$1:$I$89,5,0)</f>
        <v>5.7639226724859328E-14</v>
      </c>
      <c r="BF153" s="13">
        <f t="shared" si="145"/>
        <v>9.2325701996134334E-13</v>
      </c>
      <c r="BG153" s="20">
        <f t="shared" si="115"/>
        <v>1.708394296311803E-12</v>
      </c>
      <c r="BH153" s="59">
        <f t="shared" si="116"/>
        <v>290.21238713444268</v>
      </c>
      <c r="BI153" s="59">
        <f ca="1">AVERAGE(OFFSET($BH$3,0,0,'Données projet'!$E$11+1,1))-AVERAGE(OFFSET($H$3,0,0,'Données projet'!$E$11+1,1))</f>
        <v>524.01140973345832</v>
      </c>
      <c r="BJ153" s="59">
        <f t="shared" si="146"/>
        <v>315.59942237999621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115.64949750717808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115.64949750717808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69.148832854847541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-2.8421709430404007E-13</v>
      </c>
      <c r="BZ153" s="13">
        <f>BY153*VLOOKUP('Données projet'!$B$12,Paramètres!$A$1:$I$89,3,0)*VLOOKUP('Données projet'!$B$12,Paramètres!$A$1:$I$89,5,0)</f>
        <v>-1.9065282685915009E-13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358.95222991910504</v>
      </c>
      <c r="CE153" s="59">
        <f t="shared" si="148"/>
        <v>347.37506646970905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35.503224770906456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35.503224770906456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69.148832854847541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-2.8421709430404007E-13</v>
      </c>
      <c r="CU153" s="17">
        <f>CT153*VLOOKUP('Données projet'!$B$13,Paramètres!$A$1:$I$89,3,0)*VLOOKUP('Données projet'!$B$13,Paramètres!$A$1:$I$89,5,0)</f>
        <v>-1.8621904018800707E-13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351.7266381615546</v>
      </c>
      <c r="CZ153" s="59">
        <f t="shared" si="150"/>
        <v>340.52483243761799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30.020588682066247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30.020588682066247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69.148832854847541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2.2737367544323206E-13</v>
      </c>
      <c r="DP153" s="17">
        <f>DO153*VLOOKUP('Données projet'!$B$14,Paramètres!$A$1:$I$89,3,0)*VLOOKUP('Données projet'!$B$14,Paramètres!$A$1:$I$89,5,0)</f>
        <v>1.9508661353029313E-13</v>
      </c>
      <c r="DQ153" s="13">
        <f t="shared" si="151"/>
        <v>2.711421636700695E-12</v>
      </c>
      <c r="DR153" s="20">
        <f t="shared" si="124"/>
        <v>5.0621685358189711E-12</v>
      </c>
      <c r="DS153" s="59">
        <f t="shared" si="125"/>
        <v>290.21238713444603</v>
      </c>
      <c r="DT153" s="59">
        <f ca="1">AVERAGE(OFFSET($DS$3,0,0,'Données projet'!$E$14+1,1))-AVERAGE(OFFSET($H$3,0,0,'Données projet'!$E$14+1,1))</f>
        <v>569.21675741362196</v>
      </c>
      <c r="DU153" s="59">
        <f t="shared" si="152"/>
        <v>321.12410801891679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148.10586732563667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148.10586732563667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69.148832854847541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-2.8421709430404007E-13</v>
      </c>
      <c r="EK153" s="17">
        <f>EJ153*VLOOKUP('Données projet'!$B$15,Paramètres!$A$1:$I$89,3,0)*VLOOKUP('Données projet'!$B$15,Paramètres!$A$1:$I$89,5,0)</f>
        <v>-2.2612312022829427E-13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416.63597645452791</v>
      </c>
      <c r="EP153" s="59">
        <f t="shared" si="154"/>
        <v>402.05920382353497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44.931146848075848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44.931146848075848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69.148832854847541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>
        <f>FE153*VLOOKUP('Données projet'!$B$16,Paramètres!$A$1:$I$89,3,0)*VLOOKUP('Données projet'!$B$16,Paramètres!$A$1:$I$89,5,0)</f>
        <v>0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395.57130469647603</v>
      </c>
      <c r="FK153" s="59">
        <f t="shared" si="156"/>
        <v>383.97542781562674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42.621781573091027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42.621781573091027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69.148832854847541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>
        <f>FZ153*VLOOKUP('Données projet'!$B$17,Paramètres!$A$1:$I$89,3,0)*VLOOKUP('Données projet'!$B$17,Paramètres!$A$1:$I$89,5,0)</f>
        <v>0</v>
      </c>
      <c r="GB153" s="13" t="e">
        <f t="shared" si="157"/>
        <v>#NUM!</v>
      </c>
      <c r="GC153" s="20" t="e">
        <f t="shared" si="133"/>
        <v>#NUM!</v>
      </c>
      <c r="GD153" s="59" t="e">
        <f t="shared" si="134"/>
        <v>#NUM!</v>
      </c>
      <c r="GE153" s="59">
        <f ca="1">AVERAGE(OFFSET($GD$3,0,0,'Données projet'!$E$17+1,1))-AVERAGE(OFFSET($H$3,0,0,'Données projet'!$E$17+1,1))</f>
        <v>301.74744407733351</v>
      </c>
      <c r="GF153" s="59">
        <f t="shared" si="158"/>
        <v>292.46787700966991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22.137757218340408</v>
      </c>
      <c r="GM153" s="21">
        <f>EXP(-LN(2)/25)*GM152+(1-EXP(-LN(2)/25))/(LN(2)/25)*Calculateur!GH153*Calculateur!GJ153*VLOOKUP('Données projet'!$B$17,Paramètres!$A$1:$I$89,3,0)*0.475*44/12</f>
        <v>0</v>
      </c>
      <c r="GN153" s="21">
        <f>EXP(-LN(2)/2)*GN152+(1-EXP(-LN(2)/2))/(LN(2)/2)*GH153*GK153*VLOOKUP('Données projet'!$B$17,Paramètres!$A$1:$I$89,3,0)*0.475*44/12</f>
        <v>0</v>
      </c>
      <c r="GO153" s="21">
        <f t="shared" si="135"/>
        <v>22.137757218340408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69.148832854847541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-2.8421709430404007E-13</v>
      </c>
      <c r="GV153" s="17">
        <f>GU153*VLOOKUP('Données projet'!$B$18,Paramètres!$A$1:$I$89,3,0)*VLOOKUP('Données projet'!$B$18,Paramètres!$A$1:$I$89,5,0)</f>
        <v>-1.6848389350343495E-13</v>
      </c>
      <c r="GW153" s="13" t="e">
        <f t="shared" si="159"/>
        <v>#NUM!</v>
      </c>
      <c r="GX153" s="20" t="e">
        <f t="shared" si="136"/>
        <v>#NUM!</v>
      </c>
      <c r="GY153" s="59" t="e">
        <f t="shared" si="137"/>
        <v>#NUM!</v>
      </c>
      <c r="GZ153" s="59">
        <f ca="1">AVERAGE(OFFSET($GY$3,0,0,'Données projet'!$E$18+1,1))-AVERAGE(OFFSET($H$3,0,0,'Données projet'!$E$18+1,1))</f>
        <v>322.78672881269978</v>
      </c>
      <c r="HA153" s="59">
        <f t="shared" si="160"/>
        <v>313.08736327626434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35.518803193359702</v>
      </c>
      <c r="HH153" s="21">
        <f>EXP(-LN(2)/25)*HH152+(1-EXP(-LN(2)/25))/(LN(2)/25)*Calculateur!HC153*Calculateur!HE153*VLOOKUP('Données projet'!$B$18,Paramètres!$A$1:$I$89,3,0)*0.475*44/12</f>
        <v>0</v>
      </c>
      <c r="HI153" s="21">
        <f>EXP(-LN(2)/2)*HI152+(1-EXP(-LN(2)/2))/(LN(2)/2)*HC153*HF153*VLOOKUP('Données projet'!$B$18,Paramètres!$A$1:$I$89,3,0)*0.475*44/12</f>
        <v>0</v>
      </c>
      <c r="HJ153" s="22">
        <f t="shared" si="138"/>
        <v>35.518803193359702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2.3499999999999996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8.6166666666666654</v>
      </c>
      <c r="H154" s="67">
        <f t="shared" si="110"/>
        <v>222.20000000000002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69.163598701891289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5.6843418860808015E-14</v>
      </c>
      <c r="O154" s="13">
        <f>N154*VLOOKUP('Données projet'!$B$9,Paramètres!$A$1:$I$89,3,0)*VLOOKUP('Données projet'!$B$9,Paramètres!$A$1:$I$89,5,0)</f>
        <v>5.1431925385259088E-14</v>
      </c>
      <c r="P154" s="13">
        <f t="shared" si="141"/>
        <v>8.3482866290946129E-13</v>
      </c>
      <c r="Q154" s="20">
        <f t="shared" ref="Q154:Q203" si="162">(O154+P154)*0.475*44/12</f>
        <v>1.5435705246133045E-12</v>
      </c>
      <c r="R154" s="59">
        <f t="shared" si="109"/>
        <v>290.26652857360295</v>
      </c>
      <c r="S154" s="59">
        <f ca="1">AVERAGE(OFFSET($R$3,0,0,'Données projet'!$E$9+1,1))-AVERAGE(OFFSET($H$3,0,0,'Données projet'!$E$9+1,1))</f>
        <v>473.88815717313474</v>
      </c>
      <c r="T154" s="59">
        <f t="shared" si="142"/>
        <v>287.19790203552895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101.17134648025932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101.17134648025932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69.163598701891289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5.6843418860808015E-14</v>
      </c>
      <c r="AJ154" s="13">
        <f>AI154*VLOOKUP('Données projet'!$B$10,Paramètres!$A$1:$I$89,3,0)*VLOOKUP('Données projet'!$B$10,Paramètres!$A$1:$I$89,5,0)</f>
        <v>4.7884896048344674E-14</v>
      </c>
      <c r="AK154" s="13">
        <f t="shared" ref="AK154:AK203" si="164">EXP(-1.0587+0.8836*LN(AJ154)+0.284)</f>
        <v>7.8374629847779921E-13</v>
      </c>
      <c r="AL154" s="20">
        <f t="shared" ref="AL154:AL203" si="165">(AJ154+AK154)*0.475*44/12</f>
        <v>1.4484243304663672E-12</v>
      </c>
      <c r="AM154" s="59">
        <f t="shared" si="113"/>
        <v>290.26652857360284</v>
      </c>
      <c r="AN154" s="59">
        <f ca="1">AVERAGE(OFFSET($AM$3,0,0,'Données projet'!$E$10+1,1))-AVERAGE(OFFSET($H$3,0,0,'Données projet'!$E$10+1,1))</f>
        <v>445.19118535527258</v>
      </c>
      <c r="AO154" s="59">
        <f t="shared" si="144"/>
        <v>270.93483242839363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94.194012240241449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94.194012240241449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69.163598701891289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5.6843418860808015E-14</v>
      </c>
      <c r="BE154" s="13">
        <f>BD154*VLOOKUP('Données projet'!$B$11,Paramètres!$A$1:$I$89,3,0)*VLOOKUP('Données projet'!$B$11,Paramètres!$A$1:$I$89,5,0)</f>
        <v>5.7639226724859328E-14</v>
      </c>
      <c r="BF154" s="13">
        <f t="shared" ref="BF154:BF203" si="167">EXP(-1.0587+0.8836*LN(BE154)+0.284)</f>
        <v>9.2325701996134334E-13</v>
      </c>
      <c r="BG154" s="20">
        <f t="shared" ref="BG154:BG203" si="168">(BE154+BF154)*0.475*44/12</f>
        <v>1.708394296311803E-12</v>
      </c>
      <c r="BH154" s="59">
        <f t="shared" si="116"/>
        <v>290.26652857360313</v>
      </c>
      <c r="BI154" s="59">
        <f ca="1">AVERAGE(OFFSET($BH$3,0,0,'Données projet'!$E$11+1,1))-AVERAGE(OFFSET($H$3,0,0,'Données projet'!$E$11+1,1))</f>
        <v>524.01140973345832</v>
      </c>
      <c r="BJ154" s="59">
        <f t="shared" si="146"/>
        <v>315.59942237999621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113.38168140029063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113.38168140029063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69.163598701891289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-2.8421709430404007E-13</v>
      </c>
      <c r="BZ154" s="13">
        <f>BY154*VLOOKUP('Données projet'!$B$12,Paramètres!$A$1:$I$89,3,0)*VLOOKUP('Données projet'!$B$12,Paramètres!$A$1:$I$89,5,0)</f>
        <v>-1.9065282685915009E-13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358.95222991910504</v>
      </c>
      <c r="CE154" s="59">
        <f t="shared" si="148"/>
        <v>347.37506646970905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34.807028187977856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34.807028187977856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69.163598701891289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-2.8421709430404007E-13</v>
      </c>
      <c r="CU154" s="17">
        <f>CT154*VLOOKUP('Données projet'!$B$13,Paramètres!$A$1:$I$89,3,0)*VLOOKUP('Données projet'!$B$13,Paramètres!$A$1:$I$89,5,0)</f>
        <v>-1.8621904018800707E-13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351.7266381615546</v>
      </c>
      <c r="CZ154" s="59">
        <f t="shared" si="150"/>
        <v>340.52483243761799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29.431903248761987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29.431903248761987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69.163598701891289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2.2737367544323206E-13</v>
      </c>
      <c r="DP154" s="17">
        <f>DO154*VLOOKUP('Données projet'!$B$14,Paramètres!$A$1:$I$89,3,0)*VLOOKUP('Données projet'!$B$14,Paramètres!$A$1:$I$89,5,0)</f>
        <v>1.9508661353029313E-13</v>
      </c>
      <c r="DQ154" s="13">
        <f t="shared" ref="DQ154:DQ203" si="176">EXP(-1.0587+0.8836*LN(DP154)+0.284)</f>
        <v>2.711421636700695E-12</v>
      </c>
      <c r="DR154" s="20">
        <f t="shared" ref="DR154:DR203" si="177">(DP154+DQ154)*0.475*44/12</f>
        <v>5.0621685358189711E-12</v>
      </c>
      <c r="DS154" s="59">
        <f t="shared" si="125"/>
        <v>290.26652857360648</v>
      </c>
      <c r="DT154" s="59">
        <f ca="1">AVERAGE(OFFSET($DS$3,0,0,'Données projet'!$E$14+1,1))-AVERAGE(OFFSET($H$3,0,0,'Données projet'!$E$14+1,1))</f>
        <v>569.21675741362196</v>
      </c>
      <c r="DU154" s="59">
        <f t="shared" si="152"/>
        <v>321.12410801891679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145.2016016030401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145.2016016030401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69.163598701891289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-2.8421709430404007E-13</v>
      </c>
      <c r="EK154" s="17">
        <f>EJ154*VLOOKUP('Données projet'!$B$15,Paramètres!$A$1:$I$89,3,0)*VLOOKUP('Données projet'!$B$15,Paramètres!$A$1:$I$89,5,0)</f>
        <v>-2.2612312022829427E-13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416.63597645452791</v>
      </c>
      <c r="EP154" s="59">
        <f t="shared" si="154"/>
        <v>402.05920382353497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44.050074463678612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44.050074463678612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69.163598701891289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>
        <f>FE154*VLOOKUP('Données projet'!$B$16,Paramètres!$A$1:$I$89,3,0)*VLOOKUP('Données projet'!$B$16,Paramètres!$A$1:$I$89,5,0)</f>
        <v>0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395.57130469647603</v>
      </c>
      <c r="FK154" s="59">
        <f t="shared" si="156"/>
        <v>383.97542781562674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41.785994433162507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41.785994433162507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69.163598701891289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>
        <f>FZ154*VLOOKUP('Données projet'!$B$17,Paramètres!$A$1:$I$89,3,0)*VLOOKUP('Données projet'!$B$17,Paramètres!$A$1:$I$89,5,0)</f>
        <v>0</v>
      </c>
      <c r="GB154" s="13" t="e">
        <f t="shared" ref="GB154:GB203" si="185">EXP(-1.0587+0.8836*LN(GA154)+0.284)</f>
        <v>#NUM!</v>
      </c>
      <c r="GC154" s="20" t="e">
        <f t="shared" ref="GC154:GC203" si="186">(GA154+GB154)*0.475*44/12</f>
        <v>#NUM!</v>
      </c>
      <c r="GD154" s="59" t="e">
        <f t="shared" si="134"/>
        <v>#NUM!</v>
      </c>
      <c r="GE154" s="59">
        <f ca="1">AVERAGE(OFFSET($GD$3,0,0,'Données projet'!$E$17+1,1))-AVERAGE(OFFSET($H$3,0,0,'Données projet'!$E$17+1,1))</f>
        <v>301.74744407733351</v>
      </c>
      <c r="GF154" s="59">
        <f t="shared" si="158"/>
        <v>292.46787700966991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21.703649301987376</v>
      </c>
      <c r="GM154" s="21">
        <f>EXP(-LN(2)/25)*GM153+(1-EXP(-LN(2)/25))/(LN(2)/25)*Calculateur!GH154*Calculateur!GJ154*VLOOKUP('Données projet'!$B$17,Paramètres!$A$1:$I$89,3,0)*0.475*44/12</f>
        <v>0</v>
      </c>
      <c r="GN154" s="21">
        <f>EXP(-LN(2)/2)*GN153+(1-EXP(-LN(2)/2))/(LN(2)/2)*GH154*GK154*VLOOKUP('Données projet'!$B$17,Paramètres!$A$1:$I$89,3,0)*0.475*44/12</f>
        <v>0</v>
      </c>
      <c r="GO154" s="21">
        <f t="shared" ref="GO154:GO203" si="187">SUM(GL154:GN154)</f>
        <v>21.703649301987376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69.163598701891289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-2.8421709430404007E-13</v>
      </c>
      <c r="GV154" s="17">
        <f>GU154*VLOOKUP('Données projet'!$B$18,Paramètres!$A$1:$I$89,3,0)*VLOOKUP('Données projet'!$B$18,Paramètres!$A$1:$I$89,5,0)</f>
        <v>-1.6848389350343495E-13</v>
      </c>
      <c r="GW154" s="13" t="e">
        <f t="shared" ref="GW154:GW203" si="188">EXP(-1.0587+0.8836*LN(GV154)+0.284)</f>
        <v>#NUM!</v>
      </c>
      <c r="GX154" s="20" t="e">
        <f t="shared" ref="GX154:GX203" si="189">(GV154+GW154)*0.475*44/12</f>
        <v>#NUM!</v>
      </c>
      <c r="GY154" s="59" t="e">
        <f t="shared" si="137"/>
        <v>#NUM!</v>
      </c>
      <c r="GZ154" s="59">
        <f ca="1">AVERAGE(OFFSET($GY$3,0,0,'Données projet'!$E$18+1,1))-AVERAGE(OFFSET($H$3,0,0,'Données projet'!$E$18+1,1))</f>
        <v>322.78672881269978</v>
      </c>
      <c r="HA154" s="59">
        <f t="shared" si="160"/>
        <v>313.08736327626434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34.822301127068691</v>
      </c>
      <c r="HH154" s="21">
        <f>EXP(-LN(2)/25)*HH153+(1-EXP(-LN(2)/25))/(LN(2)/25)*Calculateur!HC154*Calculateur!HE154*VLOOKUP('Données projet'!$B$18,Paramètres!$A$1:$I$89,3,0)*0.475*44/12</f>
        <v>0</v>
      </c>
      <c r="HI154" s="21">
        <f>EXP(-LN(2)/2)*HI153+(1-EXP(-LN(2)/2))/(LN(2)/2)*HC154*HF154*VLOOKUP('Données projet'!$B$18,Paramètres!$A$1:$I$89,3,0)*0.475*44/12</f>
        <v>0</v>
      </c>
      <c r="HJ154" s="22">
        <f t="shared" ref="HJ154:HJ203" si="190">SUM(HG154:HI154)</f>
        <v>34.822301127068691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2.3499999999999996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8.6166666666666654</v>
      </c>
      <c r="H155" s="67">
        <f t="shared" si="110"/>
        <v>222.20000000000002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69.178108394500299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5.6843418860808015E-14</v>
      </c>
      <c r="O155" s="13">
        <f>N155*VLOOKUP('Données projet'!$B$9,Paramètres!$A$1:$I$89,3,0)*VLOOKUP('Données projet'!$B$9,Paramètres!$A$1:$I$89,5,0)</f>
        <v>5.1431925385259088E-14</v>
      </c>
      <c r="P155" s="13">
        <f t="shared" si="141"/>
        <v>8.3482866290946129E-13</v>
      </c>
      <c r="Q155" s="20">
        <f t="shared" si="162"/>
        <v>1.5435705246133045E-12</v>
      </c>
      <c r="R155" s="59">
        <f t="shared" si="109"/>
        <v>290.31973077983594</v>
      </c>
      <c r="S155" s="59">
        <f ca="1">AVERAGE(OFFSET($R$3,0,0,'Données projet'!$E$9+1,1))-AVERAGE(OFFSET($H$3,0,0,'Données projet'!$E$9+1,1))</f>
        <v>473.88815717313474</v>
      </c>
      <c r="T155" s="59">
        <f t="shared" si="142"/>
        <v>287.19790203552895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99.187438084209589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99.187438084209589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69.178108394500299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5.6843418860808015E-14</v>
      </c>
      <c r="AJ155" s="13">
        <f>AI155*VLOOKUP('Données projet'!$B$10,Paramètres!$A$1:$I$89,3,0)*VLOOKUP('Données projet'!$B$10,Paramètres!$A$1:$I$89,5,0)</f>
        <v>4.7884896048344674E-14</v>
      </c>
      <c r="AK155" s="13">
        <f t="shared" si="164"/>
        <v>7.8374629847779921E-13</v>
      </c>
      <c r="AL155" s="20">
        <f t="shared" si="165"/>
        <v>1.4484243304663672E-12</v>
      </c>
      <c r="AM155" s="59">
        <f t="shared" si="113"/>
        <v>290.31973077983582</v>
      </c>
      <c r="AN155" s="59">
        <f ca="1">AVERAGE(OFFSET($AM$3,0,0,'Données projet'!$E$10+1,1))-AVERAGE(OFFSET($H$3,0,0,'Données projet'!$E$10+1,1))</f>
        <v>445.19118535527258</v>
      </c>
      <c r="AO155" s="59">
        <f t="shared" si="144"/>
        <v>270.93483242839363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92.346925112884804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92.346925112884804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69.178108394500299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5.6843418860808015E-14</v>
      </c>
      <c r="BE155" s="13">
        <f>BD155*VLOOKUP('Données projet'!$B$11,Paramètres!$A$1:$I$89,3,0)*VLOOKUP('Données projet'!$B$11,Paramètres!$A$1:$I$89,5,0)</f>
        <v>5.7639226724859328E-14</v>
      </c>
      <c r="BF155" s="13">
        <f t="shared" si="167"/>
        <v>9.2325701996134334E-13</v>
      </c>
      <c r="BG155" s="20">
        <f t="shared" si="168"/>
        <v>1.708394296311803E-12</v>
      </c>
      <c r="BH155" s="59">
        <f t="shared" si="116"/>
        <v>290.31973077983611</v>
      </c>
      <c r="BI155" s="59">
        <f ca="1">AVERAGE(OFFSET($BH$3,0,0,'Données projet'!$E$11+1,1))-AVERAGE(OFFSET($H$3,0,0,'Données projet'!$E$11+1,1))</f>
        <v>524.01140973345832</v>
      </c>
      <c r="BJ155" s="59">
        <f t="shared" si="146"/>
        <v>315.59942237999621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111.158335784028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111.158335784028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69.178108394500299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-2.8421709430404007E-13</v>
      </c>
      <c r="BZ155" s="13">
        <f>BY155*VLOOKUP('Données projet'!$B$12,Paramètres!$A$1:$I$89,3,0)*VLOOKUP('Données projet'!$B$12,Paramètres!$A$1:$I$89,5,0)</f>
        <v>-1.9065282685915009E-13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358.95222991910504</v>
      </c>
      <c r="CE155" s="59">
        <f t="shared" si="148"/>
        <v>347.37506646970905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34.124483595402495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34.124483595402495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69.178108394500299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-2.8421709430404007E-13</v>
      </c>
      <c r="CU155" s="17">
        <f>CT155*VLOOKUP('Données projet'!$B$13,Paramètres!$A$1:$I$89,3,0)*VLOOKUP('Données projet'!$B$13,Paramètres!$A$1:$I$89,5,0)</f>
        <v>-1.8621904018800707E-13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351.7266381615546</v>
      </c>
      <c r="CZ155" s="59">
        <f t="shared" si="150"/>
        <v>340.52483243761799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28.854761577742163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28.854761577742163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69.178108394500299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2.2737367544323206E-13</v>
      </c>
      <c r="DP155" s="17">
        <f>DO155*VLOOKUP('Données projet'!$B$14,Paramètres!$A$1:$I$89,3,0)*VLOOKUP('Données projet'!$B$14,Paramètres!$A$1:$I$89,5,0)</f>
        <v>1.9508661353029313E-13</v>
      </c>
      <c r="DQ155" s="13">
        <f t="shared" si="176"/>
        <v>2.711421636700695E-12</v>
      </c>
      <c r="DR155" s="20">
        <f t="shared" si="177"/>
        <v>5.0621685358189711E-12</v>
      </c>
      <c r="DS155" s="59">
        <f t="shared" si="125"/>
        <v>290.31973077983946</v>
      </c>
      <c r="DT155" s="59">
        <f ca="1">AVERAGE(OFFSET($DS$3,0,0,'Données projet'!$E$14+1,1))-AVERAGE(OFFSET($H$3,0,0,'Données projet'!$E$14+1,1))</f>
        <v>569.21675741362196</v>
      </c>
      <c r="DU155" s="59">
        <f t="shared" si="152"/>
        <v>321.12410801891679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142.35428675983647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142.35428675983647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69.178108394500299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-2.8421709430404007E-13</v>
      </c>
      <c r="EK155" s="17">
        <f>EJ155*VLOOKUP('Données projet'!$B$15,Paramètres!$A$1:$I$89,3,0)*VLOOKUP('Données projet'!$B$15,Paramètres!$A$1:$I$89,5,0)</f>
        <v>-2.2612312022829427E-13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416.63597645452791</v>
      </c>
      <c r="EP155" s="59">
        <f t="shared" si="154"/>
        <v>402.05920382353497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43.186279371338316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43.186279371338316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69.178108394500299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>
        <f>FE155*VLOOKUP('Données projet'!$B$16,Paramètres!$A$1:$I$89,3,0)*VLOOKUP('Données projet'!$B$16,Paramètres!$A$1:$I$89,5,0)</f>
        <v>0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395.57130469647603</v>
      </c>
      <c r="FK155" s="59">
        <f t="shared" si="156"/>
        <v>383.97542781562674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40.96659656926817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40.96659656926817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69.178108394500299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>
        <f>FZ155*VLOOKUP('Données projet'!$B$17,Paramètres!$A$1:$I$89,3,0)*VLOOKUP('Données projet'!$B$17,Paramètres!$A$1:$I$89,5,0)</f>
        <v>0</v>
      </c>
      <c r="GB155" s="13" t="e">
        <f t="shared" si="185"/>
        <v>#NUM!</v>
      </c>
      <c r="GC155" s="20" t="e">
        <f t="shared" si="186"/>
        <v>#NUM!</v>
      </c>
      <c r="GD155" s="59" t="e">
        <f t="shared" si="134"/>
        <v>#NUM!</v>
      </c>
      <c r="GE155" s="59">
        <f ca="1">AVERAGE(OFFSET($GD$3,0,0,'Données projet'!$E$17+1,1))-AVERAGE(OFFSET($H$3,0,0,'Données projet'!$E$17+1,1))</f>
        <v>301.74744407733351</v>
      </c>
      <c r="GF155" s="59">
        <f t="shared" si="158"/>
        <v>292.46787700966991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21.278053977094341</v>
      </c>
      <c r="GM155" s="21">
        <f>EXP(-LN(2)/25)*GM154+(1-EXP(-LN(2)/25))/(LN(2)/25)*Calculateur!GH155*Calculateur!GJ155*VLOOKUP('Données projet'!$B$17,Paramètres!$A$1:$I$89,3,0)*0.475*44/12</f>
        <v>0</v>
      </c>
      <c r="GN155" s="21">
        <f>EXP(-LN(2)/2)*GN154+(1-EXP(-LN(2)/2))/(LN(2)/2)*GH155*GK155*VLOOKUP('Données projet'!$B$17,Paramètres!$A$1:$I$89,3,0)*0.475*44/12</f>
        <v>0</v>
      </c>
      <c r="GO155" s="21">
        <f t="shared" si="187"/>
        <v>21.278053977094341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69.178108394500299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-2.8421709430404007E-13</v>
      </c>
      <c r="GV155" s="17">
        <f>GU155*VLOOKUP('Données projet'!$B$18,Paramètres!$A$1:$I$89,3,0)*VLOOKUP('Données projet'!$B$18,Paramètres!$A$1:$I$89,5,0)</f>
        <v>-1.6848389350343495E-13</v>
      </c>
      <c r="GW155" s="13" t="e">
        <f t="shared" si="188"/>
        <v>#NUM!</v>
      </c>
      <c r="GX155" s="20" t="e">
        <f t="shared" si="189"/>
        <v>#NUM!</v>
      </c>
      <c r="GY155" s="59" t="e">
        <f t="shared" si="137"/>
        <v>#NUM!</v>
      </c>
      <c r="GZ155" s="59">
        <f ca="1">AVERAGE(OFFSET($GY$3,0,0,'Données projet'!$E$18+1,1))-AVERAGE(OFFSET($H$3,0,0,'Données projet'!$E$18+1,1))</f>
        <v>322.78672881269978</v>
      </c>
      <c r="HA155" s="59">
        <f t="shared" si="160"/>
        <v>313.08736327626434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34.139457041473335</v>
      </c>
      <c r="HH155" s="21">
        <f>EXP(-LN(2)/25)*HH154+(1-EXP(-LN(2)/25))/(LN(2)/25)*Calculateur!HC155*Calculateur!HE155*VLOOKUP('Données projet'!$B$18,Paramètres!$A$1:$I$89,3,0)*0.475*44/12</f>
        <v>0</v>
      </c>
      <c r="HI155" s="21">
        <f>EXP(-LN(2)/2)*HI154+(1-EXP(-LN(2)/2))/(LN(2)/2)*HC155*HF155*VLOOKUP('Données projet'!$B$18,Paramètres!$A$1:$I$89,3,0)*0.475*44/12</f>
        <v>0</v>
      </c>
      <c r="HJ155" s="22">
        <f t="shared" si="190"/>
        <v>34.139457041473335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2.3499999999999996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8.6166666666666654</v>
      </c>
      <c r="H156" s="67">
        <f t="shared" si="110"/>
        <v>222.20000000000002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69.192366376381358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5.6843418860808015E-14</v>
      </c>
      <c r="O156" s="13">
        <f>N156*VLOOKUP('Données projet'!$B$9,Paramètres!$A$1:$I$89,3,0)*VLOOKUP('Données projet'!$B$9,Paramètres!$A$1:$I$89,5,0)</f>
        <v>5.1431925385259088E-14</v>
      </c>
      <c r="P156" s="13">
        <f t="shared" si="141"/>
        <v>8.3482866290946129E-13</v>
      </c>
      <c r="Q156" s="20">
        <f t="shared" si="162"/>
        <v>1.5435705246133045E-12</v>
      </c>
      <c r="R156" s="59">
        <f t="shared" si="109"/>
        <v>290.37201004673318</v>
      </c>
      <c r="S156" s="59">
        <f ca="1">AVERAGE(OFFSET($R$3,0,0,'Données projet'!$E$9+1,1))-AVERAGE(OFFSET($H$3,0,0,'Données projet'!$E$9+1,1))</f>
        <v>473.88815717313474</v>
      </c>
      <c r="T156" s="59">
        <f t="shared" si="142"/>
        <v>287.19790203552895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97.242432921741752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97.242432921741752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69.192366376381358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5.6843418860808015E-14</v>
      </c>
      <c r="AJ156" s="13">
        <f>AI156*VLOOKUP('Données projet'!$B$10,Paramètres!$A$1:$I$89,3,0)*VLOOKUP('Données projet'!$B$10,Paramètres!$A$1:$I$89,5,0)</f>
        <v>4.7884896048344674E-14</v>
      </c>
      <c r="AK156" s="13">
        <f t="shared" si="164"/>
        <v>7.8374629847779921E-13</v>
      </c>
      <c r="AL156" s="20">
        <f t="shared" si="165"/>
        <v>1.4484243304663672E-12</v>
      </c>
      <c r="AM156" s="59">
        <f t="shared" si="113"/>
        <v>290.37201004673307</v>
      </c>
      <c r="AN156" s="59">
        <f ca="1">AVERAGE(OFFSET($AM$3,0,0,'Données projet'!$E$10+1,1))-AVERAGE(OFFSET($H$3,0,0,'Données projet'!$E$10+1,1))</f>
        <v>445.19118535527258</v>
      </c>
      <c r="AO156" s="59">
        <f t="shared" si="144"/>
        <v>270.93483242839363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90.536058237483715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90.536058237483715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69.192366376381358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5.6843418860808015E-14</v>
      </c>
      <c r="BE156" s="13">
        <f>BD156*VLOOKUP('Données projet'!$B$11,Paramètres!$A$1:$I$89,3,0)*VLOOKUP('Données projet'!$B$11,Paramètres!$A$1:$I$89,5,0)</f>
        <v>5.7639226724859328E-14</v>
      </c>
      <c r="BF156" s="13">
        <f t="shared" si="167"/>
        <v>9.2325701996134334E-13</v>
      </c>
      <c r="BG156" s="20">
        <f t="shared" si="168"/>
        <v>1.708394296311803E-12</v>
      </c>
      <c r="BH156" s="59">
        <f t="shared" si="116"/>
        <v>290.37201004673335</v>
      </c>
      <c r="BI156" s="59">
        <f ca="1">AVERAGE(OFFSET($BH$3,0,0,'Données projet'!$E$11+1,1))-AVERAGE(OFFSET($H$3,0,0,'Données projet'!$E$11+1,1))</f>
        <v>524.01140973345832</v>
      </c>
      <c r="BJ156" s="59">
        <f t="shared" si="146"/>
        <v>315.59942237999621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108.97858861919336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108.97858861919336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69.192366376381358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-2.8421709430404007E-13</v>
      </c>
      <c r="BZ156" s="13">
        <f>BY156*VLOOKUP('Données projet'!$B$12,Paramètres!$A$1:$I$89,3,0)*VLOOKUP('Données projet'!$B$12,Paramètres!$A$1:$I$89,5,0)</f>
        <v>-1.9065282685915009E-13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358.95222991910504</v>
      </c>
      <c r="CE156" s="59">
        <f t="shared" si="148"/>
        <v>347.37506646970905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33.455323285976448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33.455323285976448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69.192366376381358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-2.8421709430404007E-13</v>
      </c>
      <c r="CU156" s="17">
        <f>CT156*VLOOKUP('Données projet'!$B$13,Paramètres!$A$1:$I$89,3,0)*VLOOKUP('Données projet'!$B$13,Paramètres!$A$1:$I$89,5,0)</f>
        <v>-1.8621904018800707E-13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351.7266381615546</v>
      </c>
      <c r="CZ156" s="59">
        <f t="shared" si="150"/>
        <v>340.52483243761799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28.288937302869378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28.288937302869378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69.192366376381358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2.2737367544323206E-13</v>
      </c>
      <c r="DP156" s="17">
        <f>DO156*VLOOKUP('Données projet'!$B$14,Paramètres!$A$1:$I$89,3,0)*VLOOKUP('Données projet'!$B$14,Paramètres!$A$1:$I$89,5,0)</f>
        <v>1.9508661353029313E-13</v>
      </c>
      <c r="DQ156" s="13">
        <f t="shared" si="176"/>
        <v>2.711421636700695E-12</v>
      </c>
      <c r="DR156" s="20">
        <f t="shared" si="177"/>
        <v>5.0621685358189711E-12</v>
      </c>
      <c r="DS156" s="59">
        <f t="shared" si="125"/>
        <v>290.3720100467367</v>
      </c>
      <c r="DT156" s="59">
        <f ca="1">AVERAGE(OFFSET($DS$3,0,0,'Données projet'!$E$14+1,1))-AVERAGE(OFFSET($H$3,0,0,'Données projet'!$E$14+1,1))</f>
        <v>569.21675741362196</v>
      </c>
      <c r="DU156" s="59">
        <f t="shared" si="152"/>
        <v>321.12410801891679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139.5628060240175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139.5628060240175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69.192366376381358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-2.8421709430404007E-13</v>
      </c>
      <c r="EK156" s="17">
        <f>EJ156*VLOOKUP('Données projet'!$B$15,Paramètres!$A$1:$I$89,3,0)*VLOOKUP('Données projet'!$B$15,Paramètres!$A$1:$I$89,5,0)</f>
        <v>-2.2612312022829427E-13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416.63597645452791</v>
      </c>
      <c r="EP156" s="59">
        <f t="shared" si="154"/>
        <v>402.05920382353497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42.339422773895826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42.339422773895826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69.192366376381358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>
        <f>FE156*VLOOKUP('Données projet'!$B$16,Paramètres!$A$1:$I$89,3,0)*VLOOKUP('Données projet'!$B$16,Paramètres!$A$1:$I$89,5,0)</f>
        <v>0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395.57130469647603</v>
      </c>
      <c r="FK156" s="59">
        <f t="shared" si="156"/>
        <v>383.97542781562674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40.163266597701451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40.163266597701451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69.192366376381358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>
        <f>FZ156*VLOOKUP('Données projet'!$B$17,Paramètres!$A$1:$I$89,3,0)*VLOOKUP('Données projet'!$B$17,Paramètres!$A$1:$I$89,5,0)</f>
        <v>0</v>
      </c>
      <c r="GB156" s="13" t="e">
        <f t="shared" si="185"/>
        <v>#NUM!</v>
      </c>
      <c r="GC156" s="20" t="e">
        <f t="shared" si="186"/>
        <v>#NUM!</v>
      </c>
      <c r="GD156" s="59" t="e">
        <f t="shared" si="134"/>
        <v>#NUM!</v>
      </c>
      <c r="GE156" s="59">
        <f ca="1">AVERAGE(OFFSET($GD$3,0,0,'Données projet'!$E$17+1,1))-AVERAGE(OFFSET($H$3,0,0,'Données projet'!$E$17+1,1))</f>
        <v>301.74744407733351</v>
      </c>
      <c r="GF156" s="59">
        <f t="shared" si="158"/>
        <v>292.46787700966991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20.860804316934942</v>
      </c>
      <c r="GM156" s="21">
        <f>EXP(-LN(2)/25)*GM155+(1-EXP(-LN(2)/25))/(LN(2)/25)*Calculateur!GH156*Calculateur!GJ156*VLOOKUP('Données projet'!$B$17,Paramètres!$A$1:$I$89,3,0)*0.475*44/12</f>
        <v>0</v>
      </c>
      <c r="GN156" s="21">
        <f>EXP(-LN(2)/2)*GN155+(1-EXP(-LN(2)/2))/(LN(2)/2)*GH156*GK156*VLOOKUP('Données projet'!$B$17,Paramètres!$A$1:$I$89,3,0)*0.475*44/12</f>
        <v>0</v>
      </c>
      <c r="GO156" s="21">
        <f t="shared" si="187"/>
        <v>20.860804316934942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69.192366376381358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-2.8421709430404007E-13</v>
      </c>
      <c r="GV156" s="17">
        <f>GU156*VLOOKUP('Données projet'!$B$18,Paramètres!$A$1:$I$89,3,0)*VLOOKUP('Données projet'!$B$18,Paramètres!$A$1:$I$89,5,0)</f>
        <v>-1.6848389350343495E-13</v>
      </c>
      <c r="GW156" s="13" t="e">
        <f t="shared" si="188"/>
        <v>#NUM!</v>
      </c>
      <c r="GX156" s="20" t="e">
        <f t="shared" si="189"/>
        <v>#NUM!</v>
      </c>
      <c r="GY156" s="59" t="e">
        <f t="shared" si="137"/>
        <v>#NUM!</v>
      </c>
      <c r="GZ156" s="59">
        <f ca="1">AVERAGE(OFFSET($GY$3,0,0,'Données projet'!$E$18+1,1))-AVERAGE(OFFSET($H$3,0,0,'Données projet'!$E$18+1,1))</f>
        <v>322.78672881269978</v>
      </c>
      <c r="HA156" s="59">
        <f t="shared" si="160"/>
        <v>313.08736327626434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33.470003111902734</v>
      </c>
      <c r="HH156" s="21">
        <f>EXP(-LN(2)/25)*HH155+(1-EXP(-LN(2)/25))/(LN(2)/25)*Calculateur!HC156*Calculateur!HE156*VLOOKUP('Données projet'!$B$18,Paramètres!$A$1:$I$89,3,0)*0.475*44/12</f>
        <v>0</v>
      </c>
      <c r="HI156" s="21">
        <f>EXP(-LN(2)/2)*HI155+(1-EXP(-LN(2)/2))/(LN(2)/2)*HC156*HF156*VLOOKUP('Données projet'!$B$18,Paramètres!$A$1:$I$89,3,0)*0.475*44/12</f>
        <v>0</v>
      </c>
      <c r="HJ156" s="22">
        <f t="shared" si="190"/>
        <v>33.470003111902734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2.3499999999999996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8.6166666666666654</v>
      </c>
      <c r="H157" s="67">
        <f t="shared" si="110"/>
        <v>222.20000000000002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69.206377014152864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5.6843418860808015E-14</v>
      </c>
      <c r="O157" s="13">
        <f>N157*VLOOKUP('Données projet'!$B$9,Paramètres!$A$1:$I$89,3,0)*VLOOKUP('Données projet'!$B$9,Paramètres!$A$1:$I$89,5,0)</f>
        <v>5.1431925385259088E-14</v>
      </c>
      <c r="P157" s="13">
        <f t="shared" si="141"/>
        <v>8.3482866290946129E-13</v>
      </c>
      <c r="Q157" s="20">
        <f t="shared" si="162"/>
        <v>1.5435705246133045E-12</v>
      </c>
      <c r="R157" s="59">
        <f t="shared" si="109"/>
        <v>290.42338238522871</v>
      </c>
      <c r="S157" s="59">
        <f ca="1">AVERAGE(OFFSET($R$3,0,0,'Données projet'!$E$9+1,1))-AVERAGE(OFFSET($H$3,0,0,'Données projet'!$E$9+1,1))</f>
        <v>473.88815717313474</v>
      </c>
      <c r="T157" s="59">
        <f t="shared" si="142"/>
        <v>287.19790203552895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95.335568124173903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95.335568124173903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69.206377014152864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5.6843418860808015E-14</v>
      </c>
      <c r="AJ157" s="13">
        <f>AI157*VLOOKUP('Données projet'!$B$10,Paramètres!$A$1:$I$89,3,0)*VLOOKUP('Données projet'!$B$10,Paramètres!$A$1:$I$89,5,0)</f>
        <v>4.7884896048344674E-14</v>
      </c>
      <c r="AK157" s="13">
        <f t="shared" si="164"/>
        <v>7.8374629847779921E-13</v>
      </c>
      <c r="AL157" s="20">
        <f t="shared" si="165"/>
        <v>1.4484243304663672E-12</v>
      </c>
      <c r="AM157" s="59">
        <f t="shared" si="113"/>
        <v>290.42338238522859</v>
      </c>
      <c r="AN157" s="59">
        <f ca="1">AVERAGE(OFFSET($AM$3,0,0,'Données projet'!$E$10+1,1))-AVERAGE(OFFSET($H$3,0,0,'Données projet'!$E$10+1,1))</f>
        <v>445.19118535527258</v>
      </c>
      <c r="AO157" s="59">
        <f t="shared" si="144"/>
        <v>270.93483242839363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88.760701356989514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88.760701356989514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69.206377014152864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5.6843418860808015E-14</v>
      </c>
      <c r="BE157" s="13">
        <f>BD157*VLOOKUP('Données projet'!$B$11,Paramètres!$A$1:$I$89,3,0)*VLOOKUP('Données projet'!$B$11,Paramètres!$A$1:$I$89,5,0)</f>
        <v>5.7639226724859328E-14</v>
      </c>
      <c r="BF157" s="13">
        <f t="shared" si="167"/>
        <v>9.2325701996134334E-13</v>
      </c>
      <c r="BG157" s="20">
        <f t="shared" si="168"/>
        <v>1.708394296311803E-12</v>
      </c>
      <c r="BH157" s="59">
        <f t="shared" si="116"/>
        <v>290.42338238522888</v>
      </c>
      <c r="BI157" s="59">
        <f ca="1">AVERAGE(OFFSET($BH$3,0,0,'Données projet'!$E$11+1,1))-AVERAGE(OFFSET($H$3,0,0,'Données projet'!$E$11+1,1))</f>
        <v>524.01140973345832</v>
      </c>
      <c r="BJ157" s="59">
        <f t="shared" si="146"/>
        <v>315.59942237999621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106.84158496674664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106.84158496674664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69.206377014152864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-2.8421709430404007E-13</v>
      </c>
      <c r="BZ157" s="13">
        <f>BY157*VLOOKUP('Données projet'!$B$12,Paramètres!$A$1:$I$89,3,0)*VLOOKUP('Données projet'!$B$12,Paramètres!$A$1:$I$89,5,0)</f>
        <v>-1.9065282685915009E-13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358.95222991910504</v>
      </c>
      <c r="CE157" s="59">
        <f t="shared" si="148"/>
        <v>347.37506646970905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32.799284802070758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32.799284802070758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69.206377014152864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-2.8421709430404007E-13</v>
      </c>
      <c r="CU157" s="17">
        <f>CT157*VLOOKUP('Données projet'!$B$13,Paramètres!$A$1:$I$89,3,0)*VLOOKUP('Données projet'!$B$13,Paramètres!$A$1:$I$89,5,0)</f>
        <v>-1.8621904018800707E-13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351.7266381615546</v>
      </c>
      <c r="CZ157" s="59">
        <f t="shared" si="150"/>
        <v>340.52483243761799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27.734208496908121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27.734208496908121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69.206377014152864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2.2737367544323206E-13</v>
      </c>
      <c r="DP157" s="17">
        <f>DO157*VLOOKUP('Données projet'!$B$14,Paramètres!$A$1:$I$89,3,0)*VLOOKUP('Données projet'!$B$14,Paramètres!$A$1:$I$89,5,0)</f>
        <v>1.9508661353029313E-13</v>
      </c>
      <c r="DQ157" s="13">
        <f t="shared" si="176"/>
        <v>2.711421636700695E-12</v>
      </c>
      <c r="DR157" s="20">
        <f t="shared" si="177"/>
        <v>5.0621685358189711E-12</v>
      </c>
      <c r="DS157" s="59">
        <f t="shared" si="125"/>
        <v>290.42338238523223</v>
      </c>
      <c r="DT157" s="59">
        <f ca="1">AVERAGE(OFFSET($DS$3,0,0,'Données projet'!$E$14+1,1))-AVERAGE(OFFSET($H$3,0,0,'Données projet'!$E$14+1,1))</f>
        <v>569.21675741362196</v>
      </c>
      <c r="DU157" s="59">
        <f t="shared" si="152"/>
        <v>321.12410801891679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136.82606452279282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136.82606452279282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69.206377014152864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-2.8421709430404007E-13</v>
      </c>
      <c r="EK157" s="17">
        <f>EJ157*VLOOKUP('Données projet'!$B$15,Paramètres!$A$1:$I$89,3,0)*VLOOKUP('Données projet'!$B$15,Paramètres!$A$1:$I$89,5,0)</f>
        <v>-2.2612312022829427E-13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416.63597645452791</v>
      </c>
      <c r="EP157" s="59">
        <f t="shared" si="154"/>
        <v>402.05920382353497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41.509172517797666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41.509172517797666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69.206377014152864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>
        <f>FE157*VLOOKUP('Données projet'!$B$16,Paramètres!$A$1:$I$89,3,0)*VLOOKUP('Données projet'!$B$16,Paramètres!$A$1:$I$89,5,0)</f>
        <v>0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395.57130469647603</v>
      </c>
      <c r="FK157" s="59">
        <f t="shared" si="156"/>
        <v>383.97542781562674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39.375689436894255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39.375689436894255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69.206377014152864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>
        <f>FZ157*VLOOKUP('Données projet'!$B$17,Paramètres!$A$1:$I$89,3,0)*VLOOKUP('Données projet'!$B$17,Paramètres!$A$1:$I$89,5,0)</f>
        <v>0</v>
      </c>
      <c r="GB157" s="13" t="e">
        <f t="shared" si="185"/>
        <v>#NUM!</v>
      </c>
      <c r="GC157" s="20" t="e">
        <f t="shared" si="186"/>
        <v>#NUM!</v>
      </c>
      <c r="GD157" s="59" t="e">
        <f t="shared" si="134"/>
        <v>#NUM!</v>
      </c>
      <c r="GE157" s="59">
        <f ca="1">AVERAGE(OFFSET($GD$3,0,0,'Données projet'!$E$17+1,1))-AVERAGE(OFFSET($H$3,0,0,'Données projet'!$E$17+1,1))</f>
        <v>301.74744407733351</v>
      </c>
      <c r="GF157" s="59">
        <f t="shared" si="158"/>
        <v>292.46787700966991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20.451736668114108</v>
      </c>
      <c r="GM157" s="21">
        <f>EXP(-LN(2)/25)*GM156+(1-EXP(-LN(2)/25))/(LN(2)/25)*Calculateur!GH157*Calculateur!GJ157*VLOOKUP('Données projet'!$B$17,Paramètres!$A$1:$I$89,3,0)*0.475*44/12</f>
        <v>0</v>
      </c>
      <c r="GN157" s="21">
        <f>EXP(-LN(2)/2)*GN156+(1-EXP(-LN(2)/2))/(LN(2)/2)*GH157*GK157*VLOOKUP('Données projet'!$B$17,Paramètres!$A$1:$I$89,3,0)*0.475*44/12</f>
        <v>0</v>
      </c>
      <c r="GO157" s="21">
        <f t="shared" si="187"/>
        <v>20.451736668114108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69.206377014152864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-2.8421709430404007E-13</v>
      </c>
      <c r="GV157" s="17">
        <f>GU157*VLOOKUP('Données projet'!$B$18,Paramètres!$A$1:$I$89,3,0)*VLOOKUP('Données projet'!$B$18,Paramètres!$A$1:$I$89,5,0)</f>
        <v>-1.6848389350343495E-13</v>
      </c>
      <c r="GW157" s="13" t="e">
        <f t="shared" si="188"/>
        <v>#NUM!</v>
      </c>
      <c r="GX157" s="20" t="e">
        <f t="shared" si="189"/>
        <v>#NUM!</v>
      </c>
      <c r="GY157" s="59" t="e">
        <f t="shared" si="137"/>
        <v>#NUM!</v>
      </c>
      <c r="GZ157" s="59">
        <f ca="1">AVERAGE(OFFSET($GY$3,0,0,'Données projet'!$E$18+1,1))-AVERAGE(OFFSET($H$3,0,0,'Données projet'!$E$18+1,1))</f>
        <v>322.78672881269978</v>
      </c>
      <c r="HA157" s="59">
        <f t="shared" si="160"/>
        <v>313.08736327626434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32.813676765564438</v>
      </c>
      <c r="HH157" s="21">
        <f>EXP(-LN(2)/25)*HH156+(1-EXP(-LN(2)/25))/(LN(2)/25)*Calculateur!HC157*Calculateur!HE157*VLOOKUP('Données projet'!$B$18,Paramètres!$A$1:$I$89,3,0)*0.475*44/12</f>
        <v>0</v>
      </c>
      <c r="HI157" s="21">
        <f>EXP(-LN(2)/2)*HI156+(1-EXP(-LN(2)/2))/(LN(2)/2)*HC157*HF157*VLOOKUP('Données projet'!$B$18,Paramètres!$A$1:$I$89,3,0)*0.475*44/12</f>
        <v>0</v>
      </c>
      <c r="HJ157" s="22">
        <f t="shared" si="190"/>
        <v>32.813676765564438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2.3499999999999996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8.6166666666666654</v>
      </c>
      <c r="H158" s="67">
        <f t="shared" si="110"/>
        <v>222.20000000000002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69.220144598682111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5.6843418860808015E-14</v>
      </c>
      <c r="O158" s="13">
        <f>N158*VLOOKUP('Données projet'!$B$9,Paramètres!$A$1:$I$89,3,0)*VLOOKUP('Données projet'!$B$9,Paramètres!$A$1:$I$89,5,0)</f>
        <v>5.1431925385259088E-14</v>
      </c>
      <c r="P158" s="13">
        <f t="shared" si="141"/>
        <v>8.3482866290946129E-13</v>
      </c>
      <c r="Q158" s="20">
        <f t="shared" si="162"/>
        <v>1.5435705246133045E-12</v>
      </c>
      <c r="R158" s="59">
        <f t="shared" si="109"/>
        <v>290.47386352850265</v>
      </c>
      <c r="S158" s="59">
        <f ca="1">AVERAGE(OFFSET($R$3,0,0,'Données projet'!$E$9+1,1))-AVERAGE(OFFSET($H$3,0,0,'Données projet'!$E$9+1,1))</f>
        <v>473.88815717313474</v>
      </c>
      <c r="T158" s="59">
        <f t="shared" si="142"/>
        <v>287.19790203552895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93.466095782213671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93.466095782213671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69.220144598682111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5.6843418860808015E-14</v>
      </c>
      <c r="AJ158" s="13">
        <f>AI158*VLOOKUP('Données projet'!$B$10,Paramètres!$A$1:$I$89,3,0)*VLOOKUP('Données projet'!$B$10,Paramètres!$A$1:$I$89,5,0)</f>
        <v>4.7884896048344674E-14</v>
      </c>
      <c r="AK158" s="13">
        <f t="shared" si="164"/>
        <v>7.8374629847779921E-13</v>
      </c>
      <c r="AL158" s="20">
        <f t="shared" si="165"/>
        <v>1.4484243304663672E-12</v>
      </c>
      <c r="AM158" s="59">
        <f t="shared" si="113"/>
        <v>290.47386352850253</v>
      </c>
      <c r="AN158" s="59">
        <f ca="1">AVERAGE(OFFSET($AM$3,0,0,'Données projet'!$E$10+1,1))-AVERAGE(OFFSET($H$3,0,0,'Données projet'!$E$10+1,1))</f>
        <v>445.19118535527258</v>
      </c>
      <c r="AO158" s="59">
        <f t="shared" si="144"/>
        <v>270.93483242839363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87.020158142061021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87.020158142061021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69.220144598682111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5.6843418860808015E-14</v>
      </c>
      <c r="BE158" s="13">
        <f>BD158*VLOOKUP('Données projet'!$B$11,Paramètres!$A$1:$I$89,3,0)*VLOOKUP('Données projet'!$B$11,Paramètres!$A$1:$I$89,5,0)</f>
        <v>5.7639226724859328E-14</v>
      </c>
      <c r="BF158" s="13">
        <f t="shared" si="167"/>
        <v>9.2325701996134334E-13</v>
      </c>
      <c r="BG158" s="20">
        <f t="shared" si="168"/>
        <v>1.708394296311803E-12</v>
      </c>
      <c r="BH158" s="59">
        <f t="shared" si="116"/>
        <v>290.47386352850282</v>
      </c>
      <c r="BI158" s="59">
        <f ca="1">AVERAGE(OFFSET($BH$3,0,0,'Données projet'!$E$11+1,1))-AVERAGE(OFFSET($H$3,0,0,'Données projet'!$E$11+1,1))</f>
        <v>524.01140973345832</v>
      </c>
      <c r="BJ158" s="59">
        <f t="shared" si="146"/>
        <v>315.59942237999621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104.74648665248087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104.74648665248087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69.220144598682111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-2.8421709430404007E-13</v>
      </c>
      <c r="BZ158" s="13">
        <f>BY158*VLOOKUP('Données projet'!$B$12,Paramètres!$A$1:$I$89,3,0)*VLOOKUP('Données projet'!$B$12,Paramètres!$A$1:$I$89,5,0)</f>
        <v>-1.9065282685915009E-13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358.95222991910504</v>
      </c>
      <c r="CE158" s="59">
        <f t="shared" si="148"/>
        <v>347.37506646970905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32.156110832690494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32.156110832690494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69.220144598682111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-2.8421709430404007E-13</v>
      </c>
      <c r="CU158" s="17">
        <f>CT158*VLOOKUP('Données projet'!$B$13,Paramètres!$A$1:$I$89,3,0)*VLOOKUP('Données projet'!$B$13,Paramètres!$A$1:$I$89,5,0)</f>
        <v>-1.8621904018800707E-13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351.7266381615546</v>
      </c>
      <c r="CZ158" s="59">
        <f t="shared" si="150"/>
        <v>340.52483243761799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27.190357584480601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27.190357584480601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69.220144598682111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2.2737367544323206E-13</v>
      </c>
      <c r="DP158" s="17">
        <f>DO158*VLOOKUP('Données projet'!$B$14,Paramètres!$A$1:$I$89,3,0)*VLOOKUP('Données projet'!$B$14,Paramètres!$A$1:$I$89,5,0)</f>
        <v>1.9508661353029313E-13</v>
      </c>
      <c r="DQ158" s="13">
        <f t="shared" si="176"/>
        <v>2.711421636700695E-12</v>
      </c>
      <c r="DR158" s="20">
        <f t="shared" si="177"/>
        <v>5.0621685358189711E-12</v>
      </c>
      <c r="DS158" s="59">
        <f t="shared" si="125"/>
        <v>290.47386352850617</v>
      </c>
      <c r="DT158" s="59">
        <f ca="1">AVERAGE(OFFSET($DS$3,0,0,'Données projet'!$E$14+1,1))-AVERAGE(OFFSET($H$3,0,0,'Données projet'!$E$14+1,1))</f>
        <v>569.21675741362196</v>
      </c>
      <c r="DU158" s="59">
        <f t="shared" si="152"/>
        <v>321.12410801891679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134.14298885315964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134.14298885315964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69.220144598682111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-2.8421709430404007E-13</v>
      </c>
      <c r="EK158" s="17">
        <f>EJ158*VLOOKUP('Données projet'!$B$15,Paramètres!$A$1:$I$89,3,0)*VLOOKUP('Données projet'!$B$15,Paramètres!$A$1:$I$89,5,0)</f>
        <v>-2.2612312022829427E-13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416.63597645452791</v>
      </c>
      <c r="EP158" s="59">
        <f t="shared" si="154"/>
        <v>402.05920382353497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40.695202962818932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40.695202962818932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69.220144598682111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>
        <f>FE158*VLOOKUP('Données projet'!$B$16,Paramètres!$A$1:$I$89,3,0)*VLOOKUP('Données projet'!$B$16,Paramètres!$A$1:$I$89,5,0)</f>
        <v>0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395.57130469647603</v>
      </c>
      <c r="FK158" s="59">
        <f t="shared" si="156"/>
        <v>383.97542781562674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38.603556183835856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38.603556183835856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69.220144598682111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>
        <f>FZ158*VLOOKUP('Données projet'!$B$17,Paramètres!$A$1:$I$89,3,0)*VLOOKUP('Données projet'!$B$17,Paramètres!$A$1:$I$89,5,0)</f>
        <v>0</v>
      </c>
      <c r="GB158" s="13" t="e">
        <f t="shared" si="185"/>
        <v>#NUM!</v>
      </c>
      <c r="GC158" s="20" t="e">
        <f t="shared" si="186"/>
        <v>#NUM!</v>
      </c>
      <c r="GD158" s="59" t="e">
        <f t="shared" si="134"/>
        <v>#NUM!</v>
      </c>
      <c r="GE158" s="59">
        <f ca="1">AVERAGE(OFFSET($GD$3,0,0,'Données projet'!$E$17+1,1))-AVERAGE(OFFSET($H$3,0,0,'Données projet'!$E$17+1,1))</f>
        <v>301.74744407733351</v>
      </c>
      <c r="GF158" s="59">
        <f t="shared" si="158"/>
        <v>292.46787700966991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20.050690586380021</v>
      </c>
      <c r="GM158" s="21">
        <f>EXP(-LN(2)/25)*GM157+(1-EXP(-LN(2)/25))/(LN(2)/25)*Calculateur!GH158*Calculateur!GJ158*VLOOKUP('Données projet'!$B$17,Paramètres!$A$1:$I$89,3,0)*0.475*44/12</f>
        <v>0</v>
      </c>
      <c r="GN158" s="21">
        <f>EXP(-LN(2)/2)*GN157+(1-EXP(-LN(2)/2))/(LN(2)/2)*GH158*GK158*VLOOKUP('Données projet'!$B$17,Paramètres!$A$1:$I$89,3,0)*0.475*44/12</f>
        <v>0</v>
      </c>
      <c r="GO158" s="21">
        <f t="shared" si="187"/>
        <v>20.050690586380021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69.220144598682111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-2.8421709430404007E-13</v>
      </c>
      <c r="GV158" s="17">
        <f>GU158*VLOOKUP('Données projet'!$B$18,Paramètres!$A$1:$I$89,3,0)*VLOOKUP('Données projet'!$B$18,Paramètres!$A$1:$I$89,5,0)</f>
        <v>-1.6848389350343495E-13</v>
      </c>
      <c r="GW158" s="13" t="e">
        <f t="shared" si="188"/>
        <v>#NUM!</v>
      </c>
      <c r="GX158" s="20" t="e">
        <f t="shared" si="189"/>
        <v>#NUM!</v>
      </c>
      <c r="GY158" s="59" t="e">
        <f t="shared" si="137"/>
        <v>#NUM!</v>
      </c>
      <c r="GZ158" s="59">
        <f ca="1">AVERAGE(OFFSET($GY$3,0,0,'Données projet'!$E$18+1,1))-AVERAGE(OFFSET($H$3,0,0,'Données projet'!$E$18+1,1))</f>
        <v>322.78672881269978</v>
      </c>
      <c r="HA158" s="59">
        <f t="shared" si="160"/>
        <v>313.08736327626434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32.170220578558293</v>
      </c>
      <c r="HH158" s="21">
        <f>EXP(-LN(2)/25)*HH157+(1-EXP(-LN(2)/25))/(LN(2)/25)*Calculateur!HC158*Calculateur!HE158*VLOOKUP('Données projet'!$B$18,Paramètres!$A$1:$I$89,3,0)*0.475*44/12</f>
        <v>0</v>
      </c>
      <c r="HI158" s="21">
        <f>EXP(-LN(2)/2)*HI157+(1-EXP(-LN(2)/2))/(LN(2)/2)*HC158*HF158*VLOOKUP('Données projet'!$B$18,Paramètres!$A$1:$I$89,3,0)*0.475*44/12</f>
        <v>0</v>
      </c>
      <c r="HJ158" s="22">
        <f t="shared" si="190"/>
        <v>32.170220578558293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2.3499999999999996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8.6166666666666654</v>
      </c>
      <c r="H159" s="67">
        <f t="shared" si="110"/>
        <v>222.20000000000002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69.233673346399499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5.6843418860808015E-14</v>
      </c>
      <c r="O159" s="13">
        <f>N159*VLOOKUP('Données projet'!$B$9,Paramètres!$A$1:$I$89,3,0)*VLOOKUP('Données projet'!$B$9,Paramètres!$A$1:$I$89,5,0)</f>
        <v>5.1431925385259088E-14</v>
      </c>
      <c r="P159" s="13">
        <f t="shared" si="141"/>
        <v>8.3482866290946129E-13</v>
      </c>
      <c r="Q159" s="20">
        <f t="shared" si="162"/>
        <v>1.5435705246133045E-12</v>
      </c>
      <c r="R159" s="59">
        <f t="shared" si="109"/>
        <v>290.5234689367997</v>
      </c>
      <c r="S159" s="59">
        <f ca="1">AVERAGE(OFFSET($R$3,0,0,'Données projet'!$E$9+1,1))-AVERAGE(OFFSET($H$3,0,0,'Données projet'!$E$9+1,1))</f>
        <v>473.88815717313474</v>
      </c>
      <c r="T159" s="59">
        <f t="shared" si="142"/>
        <v>287.19790203552895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91.633282652613744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91.633282652613744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69.233673346399499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5.6843418860808015E-14</v>
      </c>
      <c r="AJ159" s="13">
        <f>AI159*VLOOKUP('Données projet'!$B$10,Paramètres!$A$1:$I$89,3,0)*VLOOKUP('Données projet'!$B$10,Paramètres!$A$1:$I$89,5,0)</f>
        <v>4.7884896048344674E-14</v>
      </c>
      <c r="AK159" s="13">
        <f t="shared" si="164"/>
        <v>7.8374629847779921E-13</v>
      </c>
      <c r="AL159" s="20">
        <f t="shared" si="165"/>
        <v>1.4484243304663672E-12</v>
      </c>
      <c r="AM159" s="59">
        <f t="shared" si="113"/>
        <v>290.52346893679959</v>
      </c>
      <c r="AN159" s="59">
        <f ca="1">AVERAGE(OFFSET($AM$3,0,0,'Données projet'!$E$10+1,1))-AVERAGE(OFFSET($H$3,0,0,'Données projet'!$E$10+1,1))</f>
        <v>445.19118535527258</v>
      </c>
      <c r="AO159" s="59">
        <f t="shared" si="144"/>
        <v>270.93483242839363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85.31374591795074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85.31374591795074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69.233673346399499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5.6843418860808015E-14</v>
      </c>
      <c r="BE159" s="13">
        <f>BD159*VLOOKUP('Données projet'!$B$11,Paramètres!$A$1:$I$89,3,0)*VLOOKUP('Données projet'!$B$11,Paramètres!$A$1:$I$89,5,0)</f>
        <v>5.7639226724859328E-14</v>
      </c>
      <c r="BF159" s="13">
        <f t="shared" si="167"/>
        <v>9.2325701996134334E-13</v>
      </c>
      <c r="BG159" s="20">
        <f t="shared" si="168"/>
        <v>1.708394296311803E-12</v>
      </c>
      <c r="BH159" s="59">
        <f t="shared" si="116"/>
        <v>290.52346893679987</v>
      </c>
      <c r="BI159" s="59">
        <f ca="1">AVERAGE(OFFSET($BH$3,0,0,'Données projet'!$E$11+1,1))-AVERAGE(OFFSET($H$3,0,0,'Données projet'!$E$11+1,1))</f>
        <v>524.01140973345832</v>
      </c>
      <c r="BJ159" s="59">
        <f t="shared" si="146"/>
        <v>315.59942237999621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102.69247193827405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102.69247193827405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69.233673346399499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-2.8421709430404007E-13</v>
      </c>
      <c r="BZ159" s="13">
        <f>BY159*VLOOKUP('Données projet'!$B$12,Paramètres!$A$1:$I$89,3,0)*VLOOKUP('Données projet'!$B$12,Paramètres!$A$1:$I$89,5,0)</f>
        <v>-1.9065282685915009E-13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358.95222991910504</v>
      </c>
      <c r="CE159" s="59">
        <f t="shared" si="148"/>
        <v>347.37506646970905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31.52554911255239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31.52554911255239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69.233673346399499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-2.8421709430404007E-13</v>
      </c>
      <c r="CU159" s="17">
        <f>CT159*VLOOKUP('Données projet'!$B$13,Paramètres!$A$1:$I$89,3,0)*VLOOKUP('Données projet'!$B$13,Paramètres!$A$1:$I$89,5,0)</f>
        <v>-1.8621904018800707E-13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351.7266381615546</v>
      </c>
      <c r="CZ159" s="59">
        <f t="shared" si="150"/>
        <v>340.52483243761799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26.65717125672948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26.65717125672948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69.233673346399499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2.2737367544323206E-13</v>
      </c>
      <c r="DP159" s="17">
        <f>DO159*VLOOKUP('Données projet'!$B$14,Paramètres!$A$1:$I$89,3,0)*VLOOKUP('Données projet'!$B$14,Paramètres!$A$1:$I$89,5,0)</f>
        <v>1.9508661353029313E-13</v>
      </c>
      <c r="DQ159" s="13">
        <f t="shared" si="176"/>
        <v>2.711421636700695E-12</v>
      </c>
      <c r="DR159" s="20">
        <f t="shared" si="177"/>
        <v>5.0621685358189711E-12</v>
      </c>
      <c r="DS159" s="59">
        <f t="shared" si="125"/>
        <v>290.52346893680323</v>
      </c>
      <c r="DT159" s="59">
        <f ca="1">AVERAGE(OFFSET($DS$3,0,0,'Données projet'!$E$14+1,1))-AVERAGE(OFFSET($H$3,0,0,'Données projet'!$E$14+1,1))</f>
        <v>569.21675741362196</v>
      </c>
      <c r="DU159" s="59">
        <f t="shared" si="152"/>
        <v>321.12410801891679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131.5125266608934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131.5125266608934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69.233673346399499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-2.8421709430404007E-13</v>
      </c>
      <c r="EK159" s="17">
        <f>EJ159*VLOOKUP('Données projet'!$B$15,Paramètres!$A$1:$I$89,3,0)*VLOOKUP('Données projet'!$B$15,Paramètres!$A$1:$I$89,5,0)</f>
        <v>-2.2612312022829427E-13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416.63597645452791</v>
      </c>
      <c r="EP159" s="59">
        <f t="shared" si="154"/>
        <v>402.05920382353497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39.897194854340931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39.897194854340931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69.233673346399499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>
        <f>FE159*VLOOKUP('Données projet'!$B$16,Paramètres!$A$1:$I$89,3,0)*VLOOKUP('Données projet'!$B$16,Paramètres!$A$1:$I$89,5,0)</f>
        <v>0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395.57130469647603</v>
      </c>
      <c r="FK159" s="59">
        <f t="shared" si="156"/>
        <v>383.97542781562674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37.846563992915151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37.846563992915151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69.233673346399499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>
        <f>FZ159*VLOOKUP('Données projet'!$B$17,Paramètres!$A$1:$I$89,3,0)*VLOOKUP('Données projet'!$B$17,Paramètres!$A$1:$I$89,5,0)</f>
        <v>0</v>
      </c>
      <c r="GB159" s="13" t="e">
        <f t="shared" si="185"/>
        <v>#NUM!</v>
      </c>
      <c r="GC159" s="20" t="e">
        <f t="shared" si="186"/>
        <v>#NUM!</v>
      </c>
      <c r="GD159" s="59" t="e">
        <f t="shared" si="134"/>
        <v>#NUM!</v>
      </c>
      <c r="GE159" s="59">
        <f ca="1">AVERAGE(OFFSET($GD$3,0,0,'Données projet'!$E$17+1,1))-AVERAGE(OFFSET($H$3,0,0,'Données projet'!$E$17+1,1))</f>
        <v>301.74744407733351</v>
      </c>
      <c r="GF159" s="59">
        <f t="shared" si="158"/>
        <v>292.46787700966991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19.657508773694783</v>
      </c>
      <c r="GM159" s="21">
        <f>EXP(-LN(2)/25)*GM158+(1-EXP(-LN(2)/25))/(LN(2)/25)*Calculateur!GH159*Calculateur!GJ159*VLOOKUP('Données projet'!$B$17,Paramètres!$A$1:$I$89,3,0)*0.475*44/12</f>
        <v>0</v>
      </c>
      <c r="GN159" s="21">
        <f>EXP(-LN(2)/2)*GN158+(1-EXP(-LN(2)/2))/(LN(2)/2)*GH159*GK159*VLOOKUP('Données projet'!$B$17,Paramètres!$A$1:$I$89,3,0)*0.475*44/12</f>
        <v>0</v>
      </c>
      <c r="GO159" s="21">
        <f t="shared" si="187"/>
        <v>19.657508773694783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69.233673346399499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-2.8421709430404007E-13</v>
      </c>
      <c r="GV159" s="17">
        <f>GU159*VLOOKUP('Données projet'!$B$18,Paramètres!$A$1:$I$89,3,0)*VLOOKUP('Données projet'!$B$18,Paramètres!$A$1:$I$89,5,0)</f>
        <v>-1.6848389350343495E-13</v>
      </c>
      <c r="GW159" s="13" t="e">
        <f t="shared" si="188"/>
        <v>#NUM!</v>
      </c>
      <c r="GX159" s="20" t="e">
        <f t="shared" si="189"/>
        <v>#NUM!</v>
      </c>
      <c r="GY159" s="59" t="e">
        <f t="shared" si="137"/>
        <v>#NUM!</v>
      </c>
      <c r="GZ159" s="59">
        <f ca="1">AVERAGE(OFFSET($GY$3,0,0,'Données projet'!$E$18+1,1))-AVERAGE(OFFSET($H$3,0,0,'Données projet'!$E$18+1,1))</f>
        <v>322.78672881269978</v>
      </c>
      <c r="HA159" s="59">
        <f t="shared" si="160"/>
        <v>313.08736327626434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31.539382174909818</v>
      </c>
      <c r="HH159" s="21">
        <f>EXP(-LN(2)/25)*HH158+(1-EXP(-LN(2)/25))/(LN(2)/25)*Calculateur!HC159*Calculateur!HE159*VLOOKUP('Données projet'!$B$18,Paramètres!$A$1:$I$89,3,0)*0.475*44/12</f>
        <v>0</v>
      </c>
      <c r="HI159" s="21">
        <f>EXP(-LN(2)/2)*HI158+(1-EXP(-LN(2)/2))/(LN(2)/2)*HC159*HF159*VLOOKUP('Données projet'!$B$18,Paramètres!$A$1:$I$89,3,0)*0.475*44/12</f>
        <v>0</v>
      </c>
      <c r="HJ159" s="22">
        <f t="shared" si="190"/>
        <v>31.539382174909818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2.3499999999999996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8.6166666666666654</v>
      </c>
      <c r="H160" s="67">
        <f t="shared" si="110"/>
        <v>222.20000000000002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69.246967400589739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5.6843418860808015E-14</v>
      </c>
      <c r="O160" s="13">
        <f>N160*VLOOKUP('Données projet'!$B$9,Paramètres!$A$1:$I$89,3,0)*VLOOKUP('Données projet'!$B$9,Paramètres!$A$1:$I$89,5,0)</f>
        <v>5.1431925385259088E-14</v>
      </c>
      <c r="P160" s="13">
        <f t="shared" si="141"/>
        <v>8.3482866290946129E-13</v>
      </c>
      <c r="Q160" s="20">
        <f t="shared" si="162"/>
        <v>1.5435705246133045E-12</v>
      </c>
      <c r="R160" s="59">
        <f t="shared" si="109"/>
        <v>290.5722138021639</v>
      </c>
      <c r="S160" s="59">
        <f ca="1">AVERAGE(OFFSET($R$3,0,0,'Données projet'!$E$9+1,1))-AVERAGE(OFFSET($H$3,0,0,'Données projet'!$E$9+1,1))</f>
        <v>473.88815717313474</v>
      </c>
      <c r="T160" s="59">
        <f t="shared" si="142"/>
        <v>287.19790203552895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89.836409870579644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89.836409870579644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69.246967400589739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5.6843418860808015E-14</v>
      </c>
      <c r="AJ160" s="13">
        <f>AI160*VLOOKUP('Données projet'!$B$10,Paramètres!$A$1:$I$89,3,0)*VLOOKUP('Données projet'!$B$10,Paramètres!$A$1:$I$89,5,0)</f>
        <v>4.7884896048344674E-14</v>
      </c>
      <c r="AK160" s="13">
        <f t="shared" si="164"/>
        <v>7.8374629847779921E-13</v>
      </c>
      <c r="AL160" s="20">
        <f t="shared" si="165"/>
        <v>1.4484243304663672E-12</v>
      </c>
      <c r="AM160" s="59">
        <f t="shared" si="113"/>
        <v>290.57221380216379</v>
      </c>
      <c r="AN160" s="59">
        <f ca="1">AVERAGE(OFFSET($AM$3,0,0,'Données projet'!$E$10+1,1))-AVERAGE(OFFSET($H$3,0,0,'Données projet'!$E$10+1,1))</f>
        <v>445.19118535527258</v>
      </c>
      <c r="AO160" s="59">
        <f t="shared" si="144"/>
        <v>270.93483242839363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83.640795396746583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83.640795396746583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69.246967400589739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5.6843418860808015E-14</v>
      </c>
      <c r="BE160" s="13">
        <f>BD160*VLOOKUP('Données projet'!$B$11,Paramètres!$A$1:$I$89,3,0)*VLOOKUP('Données projet'!$B$11,Paramètres!$A$1:$I$89,5,0)</f>
        <v>5.7639226724859328E-14</v>
      </c>
      <c r="BF160" s="13">
        <f t="shared" si="167"/>
        <v>9.2325701996134334E-13</v>
      </c>
      <c r="BG160" s="20">
        <f t="shared" si="168"/>
        <v>1.708394296311803E-12</v>
      </c>
      <c r="BH160" s="59">
        <f t="shared" si="116"/>
        <v>290.57221380216407</v>
      </c>
      <c r="BI160" s="59">
        <f ca="1">AVERAGE(OFFSET($BH$3,0,0,'Données projet'!$E$11+1,1))-AVERAGE(OFFSET($H$3,0,0,'Données projet'!$E$11+1,1))</f>
        <v>524.01140973345832</v>
      </c>
      <c r="BJ160" s="59">
        <f t="shared" si="146"/>
        <v>315.59942237999621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100.67873519978757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100.67873519978757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69.246967400589739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-2.8421709430404007E-13</v>
      </c>
      <c r="BZ160" s="13">
        <f>BY160*VLOOKUP('Données projet'!$B$12,Paramètres!$A$1:$I$89,3,0)*VLOOKUP('Données projet'!$B$12,Paramètres!$A$1:$I$89,5,0)</f>
        <v>-1.9065282685915009E-13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358.95222991910504</v>
      </c>
      <c r="CE160" s="59">
        <f t="shared" si="148"/>
        <v>347.37506646970905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30.90735232314152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30.90735232314152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69.246967400589739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-2.8421709430404007E-13</v>
      </c>
      <c r="CU160" s="17">
        <f>CT160*VLOOKUP('Données projet'!$B$13,Paramètres!$A$1:$I$89,3,0)*VLOOKUP('Données projet'!$B$13,Paramètres!$A$1:$I$89,5,0)</f>
        <v>-1.8621904018800707E-13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351.7266381615546</v>
      </c>
      <c r="CZ160" s="59">
        <f t="shared" si="150"/>
        <v>340.52483243761799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26.134440387654013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26.134440387654013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69.246967400589739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2.2737367544323206E-13</v>
      </c>
      <c r="DP160" s="17">
        <f>DO160*VLOOKUP('Données projet'!$B$14,Paramètres!$A$1:$I$89,3,0)*VLOOKUP('Données projet'!$B$14,Paramètres!$A$1:$I$89,5,0)</f>
        <v>1.9508661353029313E-13</v>
      </c>
      <c r="DQ160" s="13">
        <f t="shared" si="176"/>
        <v>2.711421636700695E-12</v>
      </c>
      <c r="DR160" s="20">
        <f t="shared" si="177"/>
        <v>5.0621685358189711E-12</v>
      </c>
      <c r="DS160" s="59">
        <f t="shared" si="125"/>
        <v>290.57221380216743</v>
      </c>
      <c r="DT160" s="59">
        <f ca="1">AVERAGE(OFFSET($DS$3,0,0,'Données projet'!$E$14+1,1))-AVERAGE(OFFSET($H$3,0,0,'Données projet'!$E$14+1,1))</f>
        <v>569.21675741362196</v>
      </c>
      <c r="DU160" s="59">
        <f t="shared" si="152"/>
        <v>321.12410801891679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128.93364622779399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128.93364622779399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69.246967400589739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-2.8421709430404007E-13</v>
      </c>
      <c r="EK160" s="17">
        <f>EJ160*VLOOKUP('Données projet'!$B$15,Paramètres!$A$1:$I$89,3,0)*VLOOKUP('Données projet'!$B$15,Paramètres!$A$1:$I$89,5,0)</f>
        <v>-2.2612312022829427E-13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416.63597645452791</v>
      </c>
      <c r="EP160" s="59">
        <f t="shared" si="154"/>
        <v>402.05920382353497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39.114835198133299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39.114835198133299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69.246967400589739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>
        <f>FE160*VLOOKUP('Données projet'!$B$16,Paramètres!$A$1:$I$89,3,0)*VLOOKUP('Données projet'!$B$16,Paramètres!$A$1:$I$89,5,0)</f>
        <v>0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395.57130469647603</v>
      </c>
      <c r="FK160" s="59">
        <f t="shared" si="156"/>
        <v>383.97542781562674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37.104415957138755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37.104415957138755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69.246967400589739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>
        <f>FZ160*VLOOKUP('Données projet'!$B$17,Paramètres!$A$1:$I$89,3,0)*VLOOKUP('Données projet'!$B$17,Paramètres!$A$1:$I$89,5,0)</f>
        <v>0</v>
      </c>
      <c r="GB160" s="13" t="e">
        <f t="shared" si="185"/>
        <v>#NUM!</v>
      </c>
      <c r="GC160" s="20" t="e">
        <f t="shared" si="186"/>
        <v>#NUM!</v>
      </c>
      <c r="GD160" s="59" t="e">
        <f t="shared" si="134"/>
        <v>#NUM!</v>
      </c>
      <c r="GE160" s="59">
        <f ca="1">AVERAGE(OFFSET($GD$3,0,0,'Données projet'!$E$17+1,1))-AVERAGE(OFFSET($H$3,0,0,'Données projet'!$E$17+1,1))</f>
        <v>301.74744407733351</v>
      </c>
      <c r="GF160" s="59">
        <f t="shared" si="158"/>
        <v>292.46787700966991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19.272037016539077</v>
      </c>
      <c r="GM160" s="21">
        <f>EXP(-LN(2)/25)*GM159+(1-EXP(-LN(2)/25))/(LN(2)/25)*Calculateur!GH160*Calculateur!GJ160*VLOOKUP('Données projet'!$B$17,Paramètres!$A$1:$I$89,3,0)*0.475*44/12</f>
        <v>0</v>
      </c>
      <c r="GN160" s="21">
        <f>EXP(-LN(2)/2)*GN159+(1-EXP(-LN(2)/2))/(LN(2)/2)*GH160*GK160*VLOOKUP('Données projet'!$B$17,Paramètres!$A$1:$I$89,3,0)*0.475*44/12</f>
        <v>0</v>
      </c>
      <c r="GO160" s="21">
        <f t="shared" si="187"/>
        <v>19.272037016539077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69.246967400589739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-2.8421709430404007E-13</v>
      </c>
      <c r="GV160" s="17">
        <f>GU160*VLOOKUP('Données projet'!$B$18,Paramètres!$A$1:$I$89,3,0)*VLOOKUP('Données projet'!$B$18,Paramètres!$A$1:$I$89,5,0)</f>
        <v>-1.6848389350343495E-13</v>
      </c>
      <c r="GW160" s="13" t="e">
        <f t="shared" si="188"/>
        <v>#NUM!</v>
      </c>
      <c r="GX160" s="20" t="e">
        <f t="shared" si="189"/>
        <v>#NUM!</v>
      </c>
      <c r="GY160" s="59" t="e">
        <f t="shared" si="137"/>
        <v>#NUM!</v>
      </c>
      <c r="GZ160" s="59">
        <f ca="1">AVERAGE(OFFSET($GY$3,0,0,'Données projet'!$E$18+1,1))-AVERAGE(OFFSET($H$3,0,0,'Données projet'!$E$18+1,1))</f>
        <v>322.78672881269978</v>
      </c>
      <c r="HA160" s="59">
        <f t="shared" si="160"/>
        <v>313.08736327626434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30.920914127583455</v>
      </c>
      <c r="HH160" s="21">
        <f>EXP(-LN(2)/25)*HH159+(1-EXP(-LN(2)/25))/(LN(2)/25)*Calculateur!HC160*Calculateur!HE160*VLOOKUP('Données projet'!$B$18,Paramètres!$A$1:$I$89,3,0)*0.475*44/12</f>
        <v>0</v>
      </c>
      <c r="HI160" s="21">
        <f>EXP(-LN(2)/2)*HI159+(1-EXP(-LN(2)/2))/(LN(2)/2)*HC160*HF160*VLOOKUP('Données projet'!$B$18,Paramètres!$A$1:$I$89,3,0)*0.475*44/12</f>
        <v>0</v>
      </c>
      <c r="HJ160" s="22">
        <f t="shared" si="190"/>
        <v>30.920914127583455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2.3499999999999996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8.6166666666666654</v>
      </c>
      <c r="H161" s="67">
        <f t="shared" si="110"/>
        <v>222.20000000000002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69.260030832660817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5.6843418860808015E-14</v>
      </c>
      <c r="O161" s="13">
        <f>N161*VLOOKUP('Données projet'!$B$9,Paramètres!$A$1:$I$89,3,0)*VLOOKUP('Données projet'!$B$9,Paramètres!$A$1:$I$89,5,0)</f>
        <v>5.1431925385259088E-14</v>
      </c>
      <c r="P161" s="13">
        <f t="shared" si="141"/>
        <v>8.3482866290946129E-13</v>
      </c>
      <c r="Q161" s="20">
        <f t="shared" si="162"/>
        <v>1.5435705246133045E-12</v>
      </c>
      <c r="R161" s="59">
        <f t="shared" si="109"/>
        <v>290.62011305309119</v>
      </c>
      <c r="S161" s="59">
        <f ca="1">AVERAGE(OFFSET($R$3,0,0,'Données projet'!$E$9+1,1))-AVERAGE(OFFSET($H$3,0,0,'Données projet'!$E$9+1,1))</f>
        <v>473.88815717313474</v>
      </c>
      <c r="T161" s="59">
        <f t="shared" si="142"/>
        <v>287.19790203552895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88.074772667817058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88.074772667817058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69.260030832660817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5.6843418860808015E-14</v>
      </c>
      <c r="AJ161" s="13">
        <f>AI161*VLOOKUP('Données projet'!$B$10,Paramètres!$A$1:$I$89,3,0)*VLOOKUP('Données projet'!$B$10,Paramètres!$A$1:$I$89,5,0)</f>
        <v>4.7884896048344674E-14</v>
      </c>
      <c r="AK161" s="13">
        <f t="shared" si="164"/>
        <v>7.8374629847779921E-13</v>
      </c>
      <c r="AL161" s="20">
        <f t="shared" si="165"/>
        <v>1.4484243304663672E-12</v>
      </c>
      <c r="AM161" s="59">
        <f t="shared" si="113"/>
        <v>290.62011305309107</v>
      </c>
      <c r="AN161" s="59">
        <f ca="1">AVERAGE(OFFSET($AM$3,0,0,'Données projet'!$E$10+1,1))-AVERAGE(OFFSET($H$3,0,0,'Données projet'!$E$10+1,1))</f>
        <v>445.19118535527258</v>
      </c>
      <c r="AO161" s="59">
        <f t="shared" si="144"/>
        <v>270.93483242839363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82.000650414864182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82.000650414864182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69.260030832660817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5.6843418860808015E-14</v>
      </c>
      <c r="BE161" s="13">
        <f>BD161*VLOOKUP('Données projet'!$B$11,Paramètres!$A$1:$I$89,3,0)*VLOOKUP('Données projet'!$B$11,Paramètres!$A$1:$I$89,5,0)</f>
        <v>5.7639226724859328E-14</v>
      </c>
      <c r="BF161" s="13">
        <f t="shared" si="167"/>
        <v>9.2325701996134334E-13</v>
      </c>
      <c r="BG161" s="20">
        <f t="shared" si="168"/>
        <v>1.708394296311803E-12</v>
      </c>
      <c r="BH161" s="59">
        <f t="shared" si="116"/>
        <v>290.62011305309136</v>
      </c>
      <c r="BI161" s="59">
        <f ca="1">AVERAGE(OFFSET($BH$3,0,0,'Données projet'!$E$11+1,1))-AVERAGE(OFFSET($H$3,0,0,'Données projet'!$E$11+1,1))</f>
        <v>524.01140973345832</v>
      </c>
      <c r="BJ161" s="59">
        <f t="shared" si="146"/>
        <v>315.59942237999621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98.704486610484679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98.704486610484679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69.260030832660817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-2.8421709430404007E-13</v>
      </c>
      <c r="BZ161" s="13">
        <f>BY161*VLOOKUP('Données projet'!$B$12,Paramètres!$A$1:$I$89,3,0)*VLOOKUP('Données projet'!$B$12,Paramètres!$A$1:$I$89,5,0)</f>
        <v>-1.9065282685915009E-13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358.95222991910504</v>
      </c>
      <c r="CE161" s="59">
        <f t="shared" si="148"/>
        <v>347.37506646970905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30.30127799570819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30.30127799570819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69.260030832660817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-2.8421709430404007E-13</v>
      </c>
      <c r="CU161" s="17">
        <f>CT161*VLOOKUP('Données projet'!$B$13,Paramètres!$A$1:$I$89,3,0)*VLOOKUP('Données projet'!$B$13,Paramètres!$A$1:$I$89,5,0)</f>
        <v>-1.8621904018800707E-13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351.7266381615546</v>
      </c>
      <c r="CZ161" s="59">
        <f t="shared" si="150"/>
        <v>340.52483243761799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25.621959952086769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25.621959952086769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69.260030832660817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2.2737367544323206E-13</v>
      </c>
      <c r="DP161" s="17">
        <f>DO161*VLOOKUP('Données projet'!$B$14,Paramètres!$A$1:$I$89,3,0)*VLOOKUP('Données projet'!$B$14,Paramètres!$A$1:$I$89,5,0)</f>
        <v>1.9508661353029313E-13</v>
      </c>
      <c r="DQ161" s="13">
        <f t="shared" si="176"/>
        <v>2.711421636700695E-12</v>
      </c>
      <c r="DR161" s="20">
        <f t="shared" si="177"/>
        <v>5.0621685358189711E-12</v>
      </c>
      <c r="DS161" s="59">
        <f t="shared" si="125"/>
        <v>290.62011305309471</v>
      </c>
      <c r="DT161" s="59">
        <f ca="1">AVERAGE(OFFSET($DS$3,0,0,'Données projet'!$E$14+1,1))-AVERAGE(OFFSET($H$3,0,0,'Données projet'!$E$14+1,1))</f>
        <v>569.21675741362196</v>
      </c>
      <c r="DU161" s="59">
        <f t="shared" si="152"/>
        <v>321.12410801891679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126.40533606702591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126.40533606702591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69.260030832660817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-2.8421709430404007E-13</v>
      </c>
      <c r="EK161" s="17">
        <f>EJ161*VLOOKUP('Données projet'!$B$15,Paramètres!$A$1:$I$89,3,0)*VLOOKUP('Données projet'!$B$15,Paramètres!$A$1:$I$89,5,0)</f>
        <v>-2.2612312022829427E-13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416.63597645452791</v>
      </c>
      <c r="EP161" s="59">
        <f t="shared" si="154"/>
        <v>402.05920382353497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38.347817137591626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38.347817137591626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69.260030832660817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>
        <f>FE161*VLOOKUP('Données projet'!$B$16,Paramètres!$A$1:$I$89,3,0)*VLOOKUP('Données projet'!$B$16,Paramètres!$A$1:$I$89,5,0)</f>
        <v>0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395.57130469647603</v>
      </c>
      <c r="FK161" s="59">
        <f t="shared" si="156"/>
        <v>383.97542781562674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36.376820991678329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36.376820991678329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69.260030832660817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>
        <f>FZ161*VLOOKUP('Données projet'!$B$17,Paramètres!$A$1:$I$89,3,0)*VLOOKUP('Données projet'!$B$17,Paramètres!$A$1:$I$89,5,0)</f>
        <v>0</v>
      </c>
      <c r="GB161" s="13" t="e">
        <f t="shared" si="185"/>
        <v>#NUM!</v>
      </c>
      <c r="GC161" s="20" t="e">
        <f t="shared" si="186"/>
        <v>#NUM!</v>
      </c>
      <c r="GD161" s="59" t="e">
        <f t="shared" si="134"/>
        <v>#NUM!</v>
      </c>
      <c r="GE161" s="59">
        <f ca="1">AVERAGE(OFFSET($GD$3,0,0,'Données projet'!$E$17+1,1))-AVERAGE(OFFSET($H$3,0,0,'Données projet'!$E$17+1,1))</f>
        <v>301.74744407733351</v>
      </c>
      <c r="GF161" s="59">
        <f t="shared" si="158"/>
        <v>292.46787700966991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18.894124125426636</v>
      </c>
      <c r="GM161" s="21">
        <f>EXP(-LN(2)/25)*GM160+(1-EXP(-LN(2)/25))/(LN(2)/25)*Calculateur!GH161*Calculateur!GJ161*VLOOKUP('Données projet'!$B$17,Paramètres!$A$1:$I$89,3,0)*0.475*44/12</f>
        <v>0</v>
      </c>
      <c r="GN161" s="21">
        <f>EXP(-LN(2)/2)*GN160+(1-EXP(-LN(2)/2))/(LN(2)/2)*GH161*GK161*VLOOKUP('Données projet'!$B$17,Paramètres!$A$1:$I$89,3,0)*0.475*44/12</f>
        <v>0</v>
      </c>
      <c r="GO161" s="21">
        <f t="shared" si="187"/>
        <v>18.894124125426636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69.260030832660817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-2.8421709430404007E-13</v>
      </c>
      <c r="GV161" s="17">
        <f>GU161*VLOOKUP('Données projet'!$B$18,Paramètres!$A$1:$I$89,3,0)*VLOOKUP('Données projet'!$B$18,Paramètres!$A$1:$I$89,5,0)</f>
        <v>-1.6848389350343495E-13</v>
      </c>
      <c r="GW161" s="13" t="e">
        <f t="shared" si="188"/>
        <v>#NUM!</v>
      </c>
      <c r="GX161" s="20" t="e">
        <f t="shared" si="189"/>
        <v>#NUM!</v>
      </c>
      <c r="GY161" s="59" t="e">
        <f t="shared" si="137"/>
        <v>#NUM!</v>
      </c>
      <c r="GZ161" s="59">
        <f ca="1">AVERAGE(OFFSET($GY$3,0,0,'Données projet'!$E$18+1,1))-AVERAGE(OFFSET($H$3,0,0,'Données projet'!$E$18+1,1))</f>
        <v>322.78672881269978</v>
      </c>
      <c r="HA161" s="59">
        <f t="shared" si="160"/>
        <v>313.08736327626434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30.314573861436902</v>
      </c>
      <c r="HH161" s="21">
        <f>EXP(-LN(2)/25)*HH160+(1-EXP(-LN(2)/25))/(LN(2)/25)*Calculateur!HC161*Calculateur!HE161*VLOOKUP('Données projet'!$B$18,Paramètres!$A$1:$I$89,3,0)*0.475*44/12</f>
        <v>0</v>
      </c>
      <c r="HI161" s="21">
        <f>EXP(-LN(2)/2)*HI160+(1-EXP(-LN(2)/2))/(LN(2)/2)*HC161*HF161*VLOOKUP('Données projet'!$B$18,Paramètres!$A$1:$I$89,3,0)*0.475*44/12</f>
        <v>0</v>
      </c>
      <c r="HJ161" s="22">
        <f t="shared" si="190"/>
        <v>30.314573861436902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2.3499999999999996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8.6166666666666654</v>
      </c>
      <c r="H162" s="67">
        <f t="shared" si="110"/>
        <v>222.20000000000002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69.272867643390924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5.6843418860808015E-14</v>
      </c>
      <c r="O162" s="13">
        <f>N162*VLOOKUP('Données projet'!$B$9,Paramètres!$A$1:$I$89,3,0)*VLOOKUP('Données projet'!$B$9,Paramètres!$A$1:$I$89,5,0)</f>
        <v>5.1431925385259088E-14</v>
      </c>
      <c r="P162" s="13">
        <f t="shared" si="141"/>
        <v>8.3482866290946129E-13</v>
      </c>
      <c r="Q162" s="20">
        <f t="shared" si="162"/>
        <v>1.5435705246133045E-12</v>
      </c>
      <c r="R162" s="59">
        <f t="shared" si="109"/>
        <v>290.66718135910162</v>
      </c>
      <c r="S162" s="59">
        <f ca="1">AVERAGE(OFFSET($R$3,0,0,'Données projet'!$E$9+1,1))-AVERAGE(OFFSET($H$3,0,0,'Données projet'!$E$9+1,1))</f>
        <v>473.88815717313474</v>
      </c>
      <c r="T162" s="59">
        <f t="shared" si="142"/>
        <v>287.19790203552895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86.34768009610805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86.34768009610805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69.272867643390924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5.6843418860808015E-14</v>
      </c>
      <c r="AJ162" s="13">
        <f>AI162*VLOOKUP('Données projet'!$B$10,Paramètres!$A$1:$I$89,3,0)*VLOOKUP('Données projet'!$B$10,Paramètres!$A$1:$I$89,5,0)</f>
        <v>4.7884896048344674E-14</v>
      </c>
      <c r="AK162" s="13">
        <f t="shared" si="164"/>
        <v>7.8374629847779921E-13</v>
      </c>
      <c r="AL162" s="20">
        <f t="shared" si="165"/>
        <v>1.4484243304663672E-12</v>
      </c>
      <c r="AM162" s="59">
        <f t="shared" si="113"/>
        <v>290.66718135910151</v>
      </c>
      <c r="AN162" s="59">
        <f ca="1">AVERAGE(OFFSET($AM$3,0,0,'Données projet'!$E$10+1,1))-AVERAGE(OFFSET($H$3,0,0,'Données projet'!$E$10+1,1))</f>
        <v>445.19118535527258</v>
      </c>
      <c r="AO162" s="59">
        <f t="shared" si="144"/>
        <v>270.93483242839363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80.392667675686837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80.392667675686837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69.272867643390924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5.6843418860808015E-14</v>
      </c>
      <c r="BE162" s="13">
        <f>BD162*VLOOKUP('Données projet'!$B$11,Paramètres!$A$1:$I$89,3,0)*VLOOKUP('Données projet'!$B$11,Paramètres!$A$1:$I$89,5,0)</f>
        <v>5.7639226724859328E-14</v>
      </c>
      <c r="BF162" s="13">
        <f t="shared" si="167"/>
        <v>9.2325701996134334E-13</v>
      </c>
      <c r="BG162" s="20">
        <f t="shared" si="168"/>
        <v>1.708394296311803E-12</v>
      </c>
      <c r="BH162" s="59">
        <f t="shared" si="116"/>
        <v>290.66718135910179</v>
      </c>
      <c r="BI162" s="59">
        <f ca="1">AVERAGE(OFFSET($BH$3,0,0,'Données projet'!$E$11+1,1))-AVERAGE(OFFSET($H$3,0,0,'Données projet'!$E$11+1,1))</f>
        <v>524.01140973345832</v>
      </c>
      <c r="BJ162" s="59">
        <f t="shared" si="146"/>
        <v>315.59942237999621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96.768951831845271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96.768951831845271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69.272867643390924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-2.8421709430404007E-13</v>
      </c>
      <c r="BZ162" s="13">
        <f>BY162*VLOOKUP('Données projet'!$B$12,Paramètres!$A$1:$I$89,3,0)*VLOOKUP('Données projet'!$B$12,Paramètres!$A$1:$I$89,5,0)</f>
        <v>-1.9065282685915009E-13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358.95222991910504</v>
      </c>
      <c r="CE162" s="59">
        <f t="shared" si="148"/>
        <v>347.37506646970905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29.707088416166989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29.707088416166989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69.272867643390924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-2.8421709430404007E-13</v>
      </c>
      <c r="CU162" s="17">
        <f>CT162*VLOOKUP('Données projet'!$B$13,Paramètres!$A$1:$I$89,3,0)*VLOOKUP('Données projet'!$B$13,Paramètres!$A$1:$I$89,5,0)</f>
        <v>-1.8621904018800707E-13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351.7266381615546</v>
      </c>
      <c r="CZ162" s="59">
        <f t="shared" si="150"/>
        <v>340.52483243761799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25.119528945278795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25.119528945278795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69.272867643390924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2.2737367544323206E-13</v>
      </c>
      <c r="DP162" s="17">
        <f>DO162*VLOOKUP('Données projet'!$B$14,Paramètres!$A$1:$I$89,3,0)*VLOOKUP('Données projet'!$B$14,Paramètres!$A$1:$I$89,5,0)</f>
        <v>1.9508661353029313E-13</v>
      </c>
      <c r="DQ162" s="13">
        <f t="shared" si="176"/>
        <v>2.711421636700695E-12</v>
      </c>
      <c r="DR162" s="20">
        <f t="shared" si="177"/>
        <v>5.0621685358189711E-12</v>
      </c>
      <c r="DS162" s="59">
        <f t="shared" si="125"/>
        <v>290.66718135910514</v>
      </c>
      <c r="DT162" s="59">
        <f ca="1">AVERAGE(OFFSET($DS$3,0,0,'Données projet'!$E$14+1,1))-AVERAGE(OFFSET($H$3,0,0,'Données projet'!$E$14+1,1))</f>
        <v>569.21675741362196</v>
      </c>
      <c r="DU162" s="59">
        <f t="shared" si="152"/>
        <v>321.12410801891679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123.92660452639358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123.92660452639358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69.272867643390924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-2.8421709430404007E-13</v>
      </c>
      <c r="EK162" s="17">
        <f>EJ162*VLOOKUP('Données projet'!$B$15,Paramètres!$A$1:$I$89,3,0)*VLOOKUP('Données projet'!$B$15,Paramètres!$A$1:$I$89,5,0)</f>
        <v>-2.2612312022829427E-13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416.63597645452791</v>
      </c>
      <c r="EP162" s="59">
        <f t="shared" si="154"/>
        <v>402.05920382353497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37.59583983338235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37.59583983338235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69.272867643390924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>
        <f>FE162*VLOOKUP('Données projet'!$B$16,Paramètres!$A$1:$I$89,3,0)*VLOOKUP('Données projet'!$B$16,Paramètres!$A$1:$I$89,5,0)</f>
        <v>0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395.57130469647603</v>
      </c>
      <c r="FK162" s="59">
        <f t="shared" si="156"/>
        <v>383.97542781562674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35.663493719701471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35.663493719701471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69.272867643390924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>
        <f>FZ162*VLOOKUP('Données projet'!$B$17,Paramètres!$A$1:$I$89,3,0)*VLOOKUP('Données projet'!$B$17,Paramètres!$A$1:$I$89,5,0)</f>
        <v>0</v>
      </c>
      <c r="GB162" s="13" t="e">
        <f t="shared" si="185"/>
        <v>#NUM!</v>
      </c>
      <c r="GC162" s="20" t="e">
        <f t="shared" si="186"/>
        <v>#NUM!</v>
      </c>
      <c r="GD162" s="59" t="e">
        <f t="shared" si="134"/>
        <v>#NUM!</v>
      </c>
      <c r="GE162" s="59">
        <f ca="1">AVERAGE(OFFSET($GD$3,0,0,'Données projet'!$E$17+1,1))-AVERAGE(OFFSET($H$3,0,0,'Données projet'!$E$17+1,1))</f>
        <v>301.74744407733351</v>
      </c>
      <c r="GF162" s="59">
        <f t="shared" si="158"/>
        <v>292.46787700966991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18.523621875604807</v>
      </c>
      <c r="GM162" s="21">
        <f>EXP(-LN(2)/25)*GM161+(1-EXP(-LN(2)/25))/(LN(2)/25)*Calculateur!GH162*Calculateur!GJ162*VLOOKUP('Données projet'!$B$17,Paramètres!$A$1:$I$89,3,0)*0.475*44/12</f>
        <v>0</v>
      </c>
      <c r="GN162" s="21">
        <f>EXP(-LN(2)/2)*GN161+(1-EXP(-LN(2)/2))/(LN(2)/2)*GH162*GK162*VLOOKUP('Données projet'!$B$17,Paramètres!$A$1:$I$89,3,0)*0.475*44/12</f>
        <v>0</v>
      </c>
      <c r="GO162" s="21">
        <f t="shared" si="187"/>
        <v>18.523621875604807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69.272867643390924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-2.8421709430404007E-13</v>
      </c>
      <c r="GV162" s="17">
        <f>GU162*VLOOKUP('Données projet'!$B$18,Paramètres!$A$1:$I$89,3,0)*VLOOKUP('Données projet'!$B$18,Paramètres!$A$1:$I$89,5,0)</f>
        <v>-1.6848389350343495E-13</v>
      </c>
      <c r="GW162" s="13" t="e">
        <f t="shared" si="188"/>
        <v>#NUM!</v>
      </c>
      <c r="GX162" s="20" t="e">
        <f t="shared" si="189"/>
        <v>#NUM!</v>
      </c>
      <c r="GY162" s="59" t="e">
        <f t="shared" si="137"/>
        <v>#NUM!</v>
      </c>
      <c r="GZ162" s="59">
        <f ca="1">AVERAGE(OFFSET($GY$3,0,0,'Données projet'!$E$18+1,1))-AVERAGE(OFFSET($H$3,0,0,'Données projet'!$E$18+1,1))</f>
        <v>322.78672881269978</v>
      </c>
      <c r="HA162" s="59">
        <f t="shared" si="160"/>
        <v>313.08736327626434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29.720123558078438</v>
      </c>
      <c r="HH162" s="21">
        <f>EXP(-LN(2)/25)*HH161+(1-EXP(-LN(2)/25))/(LN(2)/25)*Calculateur!HC162*Calculateur!HE162*VLOOKUP('Données projet'!$B$18,Paramètres!$A$1:$I$89,3,0)*0.475*44/12</f>
        <v>0</v>
      </c>
      <c r="HI162" s="21">
        <f>EXP(-LN(2)/2)*HI161+(1-EXP(-LN(2)/2))/(LN(2)/2)*HC162*HF162*VLOOKUP('Données projet'!$B$18,Paramètres!$A$1:$I$89,3,0)*0.475*44/12</f>
        <v>0</v>
      </c>
      <c r="HJ162" s="22">
        <f t="shared" si="190"/>
        <v>29.720123558078438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2.3499999999999996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8.6166666666666654</v>
      </c>
      <c r="H163" s="67">
        <f t="shared" si="110"/>
        <v>222.20000000000002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69.285481764153687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5.6843418860808015E-14</v>
      </c>
      <c r="O163" s="13">
        <f>N163*VLOOKUP('Données projet'!$B$9,Paramètres!$A$1:$I$89,3,0)*VLOOKUP('Données projet'!$B$9,Paramètres!$A$1:$I$89,5,0)</f>
        <v>5.1431925385259088E-14</v>
      </c>
      <c r="P163" s="13">
        <f t="shared" si="141"/>
        <v>8.3482866290946129E-13</v>
      </c>
      <c r="Q163" s="20">
        <f t="shared" si="162"/>
        <v>1.5435705246133045E-12</v>
      </c>
      <c r="R163" s="59">
        <f t="shared" si="109"/>
        <v>290.71343313523175</v>
      </c>
      <c r="S163" s="59">
        <f ca="1">AVERAGE(OFFSET($R$3,0,0,'Données projet'!$E$9+1,1))-AVERAGE(OFFSET($H$3,0,0,'Données projet'!$E$9+1,1))</f>
        <v>473.88815717313474</v>
      </c>
      <c r="T163" s="59">
        <f t="shared" si="142"/>
        <v>287.19790203552895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84.6544547563078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84.6544547563078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69.285481764153687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5.6843418860808015E-14</v>
      </c>
      <c r="AJ163" s="13">
        <f>AI163*VLOOKUP('Données projet'!$B$10,Paramètres!$A$1:$I$89,3,0)*VLOOKUP('Données projet'!$B$10,Paramètres!$A$1:$I$89,5,0)</f>
        <v>4.7884896048344674E-14</v>
      </c>
      <c r="AK163" s="13">
        <f t="shared" si="164"/>
        <v>7.8374629847779921E-13</v>
      </c>
      <c r="AL163" s="20">
        <f t="shared" si="165"/>
        <v>1.4484243304663672E-12</v>
      </c>
      <c r="AM163" s="59">
        <f t="shared" si="113"/>
        <v>290.71343313523164</v>
      </c>
      <c r="AN163" s="59">
        <f ca="1">AVERAGE(OFFSET($AM$3,0,0,'Données projet'!$E$10+1,1))-AVERAGE(OFFSET($H$3,0,0,'Données projet'!$E$10+1,1))</f>
        <v>445.19118535527258</v>
      </c>
      <c r="AO163" s="59">
        <f t="shared" si="144"/>
        <v>270.93483242839363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78.816216497252128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78.816216497252128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69.285481764153687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5.6843418860808015E-14</v>
      </c>
      <c r="BE163" s="13">
        <f>BD163*VLOOKUP('Données projet'!$B$11,Paramètres!$A$1:$I$89,3,0)*VLOOKUP('Données projet'!$B$11,Paramètres!$A$1:$I$89,5,0)</f>
        <v>5.7639226724859328E-14</v>
      </c>
      <c r="BF163" s="13">
        <f t="shared" si="167"/>
        <v>9.2325701996134334E-13</v>
      </c>
      <c r="BG163" s="20">
        <f t="shared" si="168"/>
        <v>1.708394296311803E-12</v>
      </c>
      <c r="BH163" s="59">
        <f t="shared" si="116"/>
        <v>290.71343313523192</v>
      </c>
      <c r="BI163" s="59">
        <f ca="1">AVERAGE(OFFSET($BH$3,0,0,'Données projet'!$E$11+1,1))-AVERAGE(OFFSET($H$3,0,0,'Données projet'!$E$11+1,1))</f>
        <v>524.01140973345832</v>
      </c>
      <c r="BJ163" s="59">
        <f t="shared" si="146"/>
        <v>315.59942237999621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94.871371709655349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94.871371709655349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69.285481764153687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-2.8421709430404007E-13</v>
      </c>
      <c r="BZ163" s="13">
        <f>BY163*VLOOKUP('Données projet'!$B$12,Paramètres!$A$1:$I$89,3,0)*VLOOKUP('Données projet'!$B$12,Paramètres!$A$1:$I$89,5,0)</f>
        <v>-1.9065282685915009E-13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358.95222991910504</v>
      </c>
      <c r="CE163" s="59">
        <f t="shared" si="148"/>
        <v>347.37506646970905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29.124550531860734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29.124550531860734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69.285481764153687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-2.8421709430404007E-13</v>
      </c>
      <c r="CU163" s="17">
        <f>CT163*VLOOKUP('Données projet'!$B$13,Paramètres!$A$1:$I$89,3,0)*VLOOKUP('Données projet'!$B$13,Paramètres!$A$1:$I$89,5,0)</f>
        <v>-1.8621904018800707E-13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351.7266381615546</v>
      </c>
      <c r="CZ163" s="59">
        <f t="shared" si="150"/>
        <v>340.52483243761799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24.626950304061673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24.626950304061673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69.285481764153687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2.2737367544323206E-13</v>
      </c>
      <c r="DP163" s="17">
        <f>DO163*VLOOKUP('Données projet'!$B$14,Paramètres!$A$1:$I$89,3,0)*VLOOKUP('Données projet'!$B$14,Paramètres!$A$1:$I$89,5,0)</f>
        <v>1.9508661353029313E-13</v>
      </c>
      <c r="DQ163" s="13">
        <f t="shared" si="176"/>
        <v>2.711421636700695E-12</v>
      </c>
      <c r="DR163" s="20">
        <f t="shared" si="177"/>
        <v>5.0621685358189711E-12</v>
      </c>
      <c r="DS163" s="59">
        <f t="shared" si="125"/>
        <v>290.71343313523528</v>
      </c>
      <c r="DT163" s="59">
        <f ca="1">AVERAGE(OFFSET($DS$3,0,0,'Données projet'!$E$14+1,1))-AVERAGE(OFFSET($H$3,0,0,'Données projet'!$E$14+1,1))</f>
        <v>569.21675741362196</v>
      </c>
      <c r="DU163" s="59">
        <f t="shared" si="152"/>
        <v>321.12410801891679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121.49647939939608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121.49647939939608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69.285481764153687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-2.8421709430404007E-13</v>
      </c>
      <c r="EK163" s="17">
        <f>EJ163*VLOOKUP('Données projet'!$B$15,Paramètres!$A$1:$I$89,3,0)*VLOOKUP('Données projet'!$B$15,Paramètres!$A$1:$I$89,5,0)</f>
        <v>-2.2612312022829427E-13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416.63597645452791</v>
      </c>
      <c r="EP163" s="59">
        <f t="shared" si="154"/>
        <v>402.05920382353497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36.858608345447749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36.858608345447749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69.285481764153687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>
        <f>FE163*VLOOKUP('Données projet'!$B$16,Paramètres!$A$1:$I$89,3,0)*VLOOKUP('Données projet'!$B$16,Paramètres!$A$1:$I$89,5,0)</f>
        <v>0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395.57130469647603</v>
      </c>
      <c r="FK163" s="59">
        <f t="shared" si="156"/>
        <v>383.97542781562674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34.964154360441405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34.964154360441405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69.285481764153687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>
        <f>FZ163*VLOOKUP('Données projet'!$B$17,Paramètres!$A$1:$I$89,3,0)*VLOOKUP('Données projet'!$B$17,Paramètres!$A$1:$I$89,5,0)</f>
        <v>0</v>
      </c>
      <c r="GB163" s="13" t="e">
        <f t="shared" si="185"/>
        <v>#NUM!</v>
      </c>
      <c r="GC163" s="20" t="e">
        <f t="shared" si="186"/>
        <v>#NUM!</v>
      </c>
      <c r="GD163" s="59" t="e">
        <f t="shared" si="134"/>
        <v>#NUM!</v>
      </c>
      <c r="GE163" s="59">
        <f ca="1">AVERAGE(OFFSET($GD$3,0,0,'Données projet'!$E$17+1,1))-AVERAGE(OFFSET($H$3,0,0,'Données projet'!$E$17+1,1))</f>
        <v>301.74744407733351</v>
      </c>
      <c r="GF163" s="59">
        <f t="shared" si="158"/>
        <v>292.46787700966991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18.160384948917926</v>
      </c>
      <c r="GM163" s="21">
        <f>EXP(-LN(2)/25)*GM162+(1-EXP(-LN(2)/25))/(LN(2)/25)*Calculateur!GH163*Calculateur!GJ163*VLOOKUP('Données projet'!$B$17,Paramètres!$A$1:$I$89,3,0)*0.475*44/12</f>
        <v>0</v>
      </c>
      <c r="GN163" s="21">
        <f>EXP(-LN(2)/2)*GN162+(1-EXP(-LN(2)/2))/(LN(2)/2)*GH163*GK163*VLOOKUP('Données projet'!$B$17,Paramètres!$A$1:$I$89,3,0)*0.475*44/12</f>
        <v>0</v>
      </c>
      <c r="GO163" s="21">
        <f t="shared" si="187"/>
        <v>18.160384948917926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69.285481764153687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-2.8421709430404007E-13</v>
      </c>
      <c r="GV163" s="17">
        <f>GU163*VLOOKUP('Données projet'!$B$18,Paramètres!$A$1:$I$89,3,0)*VLOOKUP('Données projet'!$B$18,Paramètres!$A$1:$I$89,5,0)</f>
        <v>-1.6848389350343495E-13</v>
      </c>
      <c r="GW163" s="13" t="e">
        <f t="shared" si="188"/>
        <v>#NUM!</v>
      </c>
      <c r="GX163" s="20" t="e">
        <f t="shared" si="189"/>
        <v>#NUM!</v>
      </c>
      <c r="GY163" s="59" t="e">
        <f t="shared" si="137"/>
        <v>#NUM!</v>
      </c>
      <c r="GZ163" s="59">
        <f ca="1">AVERAGE(OFFSET($GY$3,0,0,'Données projet'!$E$18+1,1))-AVERAGE(OFFSET($H$3,0,0,'Données projet'!$E$18+1,1))</f>
        <v>322.78672881269978</v>
      </c>
      <c r="HA163" s="59">
        <f t="shared" si="160"/>
        <v>313.08736327626434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29.13733006258995</v>
      </c>
      <c r="HH163" s="21">
        <f>EXP(-LN(2)/25)*HH162+(1-EXP(-LN(2)/25))/(LN(2)/25)*Calculateur!HC163*Calculateur!HE163*VLOOKUP('Données projet'!$B$18,Paramètres!$A$1:$I$89,3,0)*0.475*44/12</f>
        <v>0</v>
      </c>
      <c r="HI163" s="21">
        <f>EXP(-LN(2)/2)*HI162+(1-EXP(-LN(2)/2))/(LN(2)/2)*HC163*HF163*VLOOKUP('Données projet'!$B$18,Paramètres!$A$1:$I$89,3,0)*0.475*44/12</f>
        <v>0</v>
      </c>
      <c r="HJ163" s="22">
        <f t="shared" si="190"/>
        <v>29.13733006258995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2.3499999999999996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8.6166666666666654</v>
      </c>
      <c r="H164" s="67">
        <f t="shared" si="110"/>
        <v>222.20000000000002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69.297877058122168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5.6843418860808015E-14</v>
      </c>
      <c r="O164" s="13">
        <f>N164*VLOOKUP('Données projet'!$B$9,Paramètres!$A$1:$I$89,3,0)*VLOOKUP('Données projet'!$B$9,Paramètres!$A$1:$I$89,5,0)</f>
        <v>5.1431925385259088E-14</v>
      </c>
      <c r="P164" s="13">
        <f t="shared" si="141"/>
        <v>8.3482866290946129E-13</v>
      </c>
      <c r="Q164" s="20">
        <f t="shared" si="162"/>
        <v>1.5435705246133045E-12</v>
      </c>
      <c r="R164" s="59">
        <f t="shared" si="109"/>
        <v>290.75888254644951</v>
      </c>
      <c r="S164" s="59">
        <f ca="1">AVERAGE(OFFSET($R$3,0,0,'Données projet'!$E$9+1,1))-AVERAGE(OFFSET($H$3,0,0,'Données projet'!$E$9+1,1))</f>
        <v>473.88815717313474</v>
      </c>
      <c r="T164" s="59">
        <f t="shared" si="142"/>
        <v>287.19790203552895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82.994432532655566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82.994432532655566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69.297877058122168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5.6843418860808015E-14</v>
      </c>
      <c r="AJ164" s="13">
        <f>AI164*VLOOKUP('Données projet'!$B$10,Paramètres!$A$1:$I$89,3,0)*VLOOKUP('Données projet'!$B$10,Paramètres!$A$1:$I$89,5,0)</f>
        <v>4.7884896048344674E-14</v>
      </c>
      <c r="AK164" s="13">
        <f t="shared" si="164"/>
        <v>7.8374629847779921E-13</v>
      </c>
      <c r="AL164" s="20">
        <f t="shared" si="165"/>
        <v>1.4484243304663672E-12</v>
      </c>
      <c r="AM164" s="59">
        <f t="shared" si="113"/>
        <v>290.7588825464494</v>
      </c>
      <c r="AN164" s="59">
        <f ca="1">AVERAGE(OFFSET($AM$3,0,0,'Données projet'!$E$10+1,1))-AVERAGE(OFFSET($H$3,0,0,'Données projet'!$E$10+1,1))</f>
        <v>445.19118535527258</v>
      </c>
      <c r="AO164" s="59">
        <f t="shared" si="144"/>
        <v>270.93483242839363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77.270678564886254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77.270678564886254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69.297877058122168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5.6843418860808015E-14</v>
      </c>
      <c r="BE164" s="13">
        <f>BD164*VLOOKUP('Données projet'!$B$11,Paramètres!$A$1:$I$89,3,0)*VLOOKUP('Données projet'!$B$11,Paramètres!$A$1:$I$89,5,0)</f>
        <v>5.7639226724859328E-14</v>
      </c>
      <c r="BF164" s="13">
        <f t="shared" si="167"/>
        <v>9.2325701996134334E-13</v>
      </c>
      <c r="BG164" s="20">
        <f t="shared" si="168"/>
        <v>1.708394296311803E-12</v>
      </c>
      <c r="BH164" s="59">
        <f t="shared" si="116"/>
        <v>290.75888254644968</v>
      </c>
      <c r="BI164" s="59">
        <f ca="1">AVERAGE(OFFSET($BH$3,0,0,'Données projet'!$E$11+1,1))-AVERAGE(OFFSET($H$3,0,0,'Données projet'!$E$11+1,1))</f>
        <v>524.01140973345832</v>
      </c>
      <c r="BJ164" s="59">
        <f t="shared" si="146"/>
        <v>315.59942237999621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93.011001976251976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93.011001976251976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69.297877058122168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-2.8421709430404007E-13</v>
      </c>
      <c r="BZ164" s="13">
        <f>BY164*VLOOKUP('Données projet'!$B$12,Paramètres!$A$1:$I$89,3,0)*VLOOKUP('Données projet'!$B$12,Paramètres!$A$1:$I$89,5,0)</f>
        <v>-1.9065282685915009E-13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358.95222991910504</v>
      </c>
      <c r="CE164" s="59">
        <f t="shared" si="148"/>
        <v>347.37506646970905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28.5534358601527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28.5534358601527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69.297877058122168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-2.8421709430404007E-13</v>
      </c>
      <c r="CU164" s="17">
        <f>CT164*VLOOKUP('Données projet'!$B$13,Paramètres!$A$1:$I$89,3,0)*VLOOKUP('Données projet'!$B$13,Paramètres!$A$1:$I$89,5,0)</f>
        <v>-1.8621904018800707E-13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351.7266381615546</v>
      </c>
      <c r="CZ164" s="59">
        <f t="shared" si="150"/>
        <v>340.52483243761799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24.144030829555511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24.144030829555511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69.297877058122168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2.2737367544323206E-13</v>
      </c>
      <c r="DP164" s="17">
        <f>DO164*VLOOKUP('Données projet'!$B$14,Paramètres!$A$1:$I$89,3,0)*VLOOKUP('Données projet'!$B$14,Paramètres!$A$1:$I$89,5,0)</f>
        <v>1.9508661353029313E-13</v>
      </c>
      <c r="DQ164" s="13">
        <f t="shared" si="176"/>
        <v>2.711421636700695E-12</v>
      </c>
      <c r="DR164" s="20">
        <f t="shared" si="177"/>
        <v>5.0621685358189711E-12</v>
      </c>
      <c r="DS164" s="59">
        <f t="shared" si="125"/>
        <v>290.75888254645304</v>
      </c>
      <c r="DT164" s="59">
        <f ca="1">AVERAGE(OFFSET($DS$3,0,0,'Données projet'!$E$14+1,1))-AVERAGE(OFFSET($H$3,0,0,'Données projet'!$E$14+1,1))</f>
        <v>569.21675741362196</v>
      </c>
      <c r="DU164" s="59">
        <f t="shared" si="152"/>
        <v>321.12410801891679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119.11400754390904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119.11400754390904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69.297877058122168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-2.8421709430404007E-13</v>
      </c>
      <c r="EK164" s="17">
        <f>EJ164*VLOOKUP('Données projet'!$B$15,Paramètres!$A$1:$I$89,3,0)*VLOOKUP('Données projet'!$B$15,Paramètres!$A$1:$I$89,5,0)</f>
        <v>-2.2612312022829427E-13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416.63597645452791</v>
      </c>
      <c r="EP164" s="59">
        <f t="shared" si="154"/>
        <v>402.05920382353497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36.135833517324741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36.135833517324741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69.297877058122168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>
        <f>FE164*VLOOKUP('Données projet'!$B$16,Paramètres!$A$1:$I$89,3,0)*VLOOKUP('Données projet'!$B$16,Paramètres!$A$1:$I$89,5,0)</f>
        <v>0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395.57130469647603</v>
      </c>
      <c r="FK164" s="59">
        <f t="shared" si="156"/>
        <v>383.97542781562674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34.27852861946154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34.27852861946154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69.297877058122168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>
        <f>FZ164*VLOOKUP('Données projet'!$B$17,Paramètres!$A$1:$I$89,3,0)*VLOOKUP('Données projet'!$B$17,Paramètres!$A$1:$I$89,5,0)</f>
        <v>0</v>
      </c>
      <c r="GB164" s="13" t="e">
        <f t="shared" si="185"/>
        <v>#NUM!</v>
      </c>
      <c r="GC164" s="20" t="e">
        <f t="shared" si="186"/>
        <v>#NUM!</v>
      </c>
      <c r="GD164" s="59" t="e">
        <f t="shared" si="134"/>
        <v>#NUM!</v>
      </c>
      <c r="GE164" s="59">
        <f ca="1">AVERAGE(OFFSET($GD$3,0,0,'Données projet'!$E$17+1,1))-AVERAGE(OFFSET($H$3,0,0,'Données projet'!$E$17+1,1))</f>
        <v>301.74744407733351</v>
      </c>
      <c r="GF164" s="59">
        <f t="shared" si="158"/>
        <v>292.46787700966991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17.804270876810726</v>
      </c>
      <c r="GM164" s="21">
        <f>EXP(-LN(2)/25)*GM163+(1-EXP(-LN(2)/25))/(LN(2)/25)*Calculateur!GH164*Calculateur!GJ164*VLOOKUP('Données projet'!$B$17,Paramètres!$A$1:$I$89,3,0)*0.475*44/12</f>
        <v>0</v>
      </c>
      <c r="GN164" s="21">
        <f>EXP(-LN(2)/2)*GN163+(1-EXP(-LN(2)/2))/(LN(2)/2)*GH164*GK164*VLOOKUP('Données projet'!$B$17,Paramètres!$A$1:$I$89,3,0)*0.475*44/12</f>
        <v>0</v>
      </c>
      <c r="GO164" s="21">
        <f t="shared" si="187"/>
        <v>17.804270876810726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69.297877058122168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-2.8421709430404007E-13</v>
      </c>
      <c r="GV164" s="17">
        <f>GU164*VLOOKUP('Données projet'!$B$18,Paramètres!$A$1:$I$89,3,0)*VLOOKUP('Données projet'!$B$18,Paramètres!$A$1:$I$89,5,0)</f>
        <v>-1.6848389350343495E-13</v>
      </c>
      <c r="GW164" s="13" t="e">
        <f t="shared" si="188"/>
        <v>#NUM!</v>
      </c>
      <c r="GX164" s="20" t="e">
        <f t="shared" si="189"/>
        <v>#NUM!</v>
      </c>
      <c r="GY164" s="59" t="e">
        <f t="shared" si="137"/>
        <v>#NUM!</v>
      </c>
      <c r="GZ164" s="59">
        <f ca="1">AVERAGE(OFFSET($GY$3,0,0,'Données projet'!$E$18+1,1))-AVERAGE(OFFSET($H$3,0,0,'Données projet'!$E$18+1,1))</f>
        <v>322.78672881269978</v>
      </c>
      <c r="HA164" s="59">
        <f t="shared" si="160"/>
        <v>313.08736327626434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28.565964792079058</v>
      </c>
      <c r="HH164" s="21">
        <f>EXP(-LN(2)/25)*HH163+(1-EXP(-LN(2)/25))/(LN(2)/25)*Calculateur!HC164*Calculateur!HE164*VLOOKUP('Données projet'!$B$18,Paramètres!$A$1:$I$89,3,0)*0.475*44/12</f>
        <v>0</v>
      </c>
      <c r="HI164" s="21">
        <f>EXP(-LN(2)/2)*HI163+(1-EXP(-LN(2)/2))/(LN(2)/2)*HC164*HF164*VLOOKUP('Données projet'!$B$18,Paramètres!$A$1:$I$89,3,0)*0.475*44/12</f>
        <v>0</v>
      </c>
      <c r="HJ164" s="22">
        <f t="shared" si="190"/>
        <v>28.565964792079058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2.3499999999999996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8.6166666666666654</v>
      </c>
      <c r="H165" s="67">
        <f t="shared" si="110"/>
        <v>222.20000000000002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69.310057321452007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5.6843418860808015E-14</v>
      </c>
      <c r="O165" s="13">
        <f>N165*VLOOKUP('Données projet'!$B$9,Paramètres!$A$1:$I$89,3,0)*VLOOKUP('Données projet'!$B$9,Paramètres!$A$1:$I$89,5,0)</f>
        <v>5.1431925385259088E-14</v>
      </c>
      <c r="P165" s="13">
        <f t="shared" si="141"/>
        <v>8.3482866290946129E-13</v>
      </c>
      <c r="Q165" s="20">
        <f t="shared" si="162"/>
        <v>1.5435705246133045E-12</v>
      </c>
      <c r="R165" s="59">
        <f t="shared" si="109"/>
        <v>290.80354351199225</v>
      </c>
      <c r="S165" s="59">
        <f ca="1">AVERAGE(OFFSET($R$3,0,0,'Données projet'!$E$9+1,1))-AVERAGE(OFFSET($H$3,0,0,'Données projet'!$E$9+1,1))</f>
        <v>473.88815717313474</v>
      </c>
      <c r="T165" s="59">
        <f t="shared" si="142"/>
        <v>287.19790203552895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81.366962332295572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81.366962332295572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69.310057321452007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5.6843418860808015E-14</v>
      </c>
      <c r="AJ165" s="13">
        <f>AI165*VLOOKUP('Données projet'!$B$10,Paramètres!$A$1:$I$89,3,0)*VLOOKUP('Données projet'!$B$10,Paramètres!$A$1:$I$89,5,0)</f>
        <v>4.7884896048344674E-14</v>
      </c>
      <c r="AK165" s="13">
        <f t="shared" si="164"/>
        <v>7.8374629847779921E-13</v>
      </c>
      <c r="AL165" s="20">
        <f t="shared" si="165"/>
        <v>1.4484243304663672E-12</v>
      </c>
      <c r="AM165" s="59">
        <f t="shared" si="113"/>
        <v>290.80354351199213</v>
      </c>
      <c r="AN165" s="59">
        <f ca="1">AVERAGE(OFFSET($AM$3,0,0,'Données projet'!$E$10+1,1))-AVERAGE(OFFSET($H$3,0,0,'Données projet'!$E$10+1,1))</f>
        <v>445.19118535527258</v>
      </c>
      <c r="AO165" s="59">
        <f t="shared" si="144"/>
        <v>270.93483242839363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75.755447688689017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75.755447688689017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69.310057321452007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5.6843418860808015E-14</v>
      </c>
      <c r="BE165" s="13">
        <f>BD165*VLOOKUP('Données projet'!$B$11,Paramètres!$A$1:$I$89,3,0)*VLOOKUP('Données projet'!$B$11,Paramètres!$A$1:$I$89,5,0)</f>
        <v>5.7639226724859328E-14</v>
      </c>
      <c r="BF165" s="13">
        <f t="shared" si="167"/>
        <v>9.2325701996134334E-13</v>
      </c>
      <c r="BG165" s="20">
        <f t="shared" si="168"/>
        <v>1.708394296311803E-12</v>
      </c>
      <c r="BH165" s="59">
        <f t="shared" si="116"/>
        <v>290.80354351199242</v>
      </c>
      <c r="BI165" s="59">
        <f ca="1">AVERAGE(OFFSET($BH$3,0,0,'Données projet'!$E$11+1,1))-AVERAGE(OFFSET($H$3,0,0,'Données projet'!$E$11+1,1))</f>
        <v>524.01140973345832</v>
      </c>
      <c r="BJ165" s="59">
        <f t="shared" si="146"/>
        <v>315.59942237999621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91.187112958607145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91.187112958607145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69.310057321452007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-2.8421709430404007E-13</v>
      </c>
      <c r="BZ165" s="13">
        <f>BY165*VLOOKUP('Données projet'!$B$12,Paramètres!$A$1:$I$89,3,0)*VLOOKUP('Données projet'!$B$12,Paramètres!$A$1:$I$89,5,0)</f>
        <v>-1.9065282685915009E-13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358.95222991910504</v>
      </c>
      <c r="CE165" s="59">
        <f t="shared" si="148"/>
        <v>347.37506646970905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27.993520398811306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27.993520398811306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69.310057321452007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-2.8421709430404007E-13</v>
      </c>
      <c r="CU165" s="17">
        <f>CT165*VLOOKUP('Données projet'!$B$13,Paramètres!$A$1:$I$89,3,0)*VLOOKUP('Données projet'!$B$13,Paramètres!$A$1:$I$89,5,0)</f>
        <v>-1.8621904018800707E-13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351.7266381615546</v>
      </c>
      <c r="CZ165" s="59">
        <f t="shared" si="150"/>
        <v>340.52483243761799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23.670581111392622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23.670581111392622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69.310057321452007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2.2737367544323206E-13</v>
      </c>
      <c r="DP165" s="17">
        <f>DO165*VLOOKUP('Données projet'!$B$14,Paramètres!$A$1:$I$89,3,0)*VLOOKUP('Données projet'!$B$14,Paramètres!$A$1:$I$89,5,0)</f>
        <v>1.9508661353029313E-13</v>
      </c>
      <c r="DQ165" s="13">
        <f t="shared" si="176"/>
        <v>2.711421636700695E-12</v>
      </c>
      <c r="DR165" s="20">
        <f t="shared" si="177"/>
        <v>5.0621685358189711E-12</v>
      </c>
      <c r="DS165" s="59">
        <f t="shared" si="125"/>
        <v>290.80354351199577</v>
      </c>
      <c r="DT165" s="59">
        <f ca="1">AVERAGE(OFFSET($DS$3,0,0,'Données projet'!$E$14+1,1))-AVERAGE(OFFSET($H$3,0,0,'Données projet'!$E$14+1,1))</f>
        <v>569.21675741362196</v>
      </c>
      <c r="DU165" s="59">
        <f t="shared" si="152"/>
        <v>321.12410801891679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116.77825450834376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116.77825450834376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69.310057321452007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-2.8421709430404007E-13</v>
      </c>
      <c r="EK165" s="17">
        <f>EJ165*VLOOKUP('Données projet'!$B$15,Paramètres!$A$1:$I$89,3,0)*VLOOKUP('Données projet'!$B$15,Paramètres!$A$1:$I$89,5,0)</f>
        <v>-2.2612312022829427E-13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416.63597645452791</v>
      </c>
      <c r="EP165" s="59">
        <f t="shared" si="154"/>
        <v>402.05920382353497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35.427231862732114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35.427231862732114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69.310057321452007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>
        <f>FE165*VLOOKUP('Données projet'!$B$16,Paramètres!$A$1:$I$89,3,0)*VLOOKUP('Données projet'!$B$16,Paramètres!$A$1:$I$89,5,0)</f>
        <v>0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395.57130469647603</v>
      </c>
      <c r="FK165" s="59">
        <f t="shared" si="156"/>
        <v>383.97542781562674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33.60634758107188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33.60634758107188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69.310057321452007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>
        <f>FZ165*VLOOKUP('Données projet'!$B$17,Paramètres!$A$1:$I$89,3,0)*VLOOKUP('Données projet'!$B$17,Paramètres!$A$1:$I$89,5,0)</f>
        <v>0</v>
      </c>
      <c r="GB165" s="13" t="e">
        <f t="shared" si="185"/>
        <v>#NUM!</v>
      </c>
      <c r="GC165" s="20" t="e">
        <f t="shared" si="186"/>
        <v>#NUM!</v>
      </c>
      <c r="GD165" s="59" t="e">
        <f t="shared" si="134"/>
        <v>#NUM!</v>
      </c>
      <c r="GE165" s="59">
        <f ca="1">AVERAGE(OFFSET($GD$3,0,0,'Données projet'!$E$17+1,1))-AVERAGE(OFFSET($H$3,0,0,'Données projet'!$E$17+1,1))</f>
        <v>301.74744407733351</v>
      </c>
      <c r="GF165" s="59">
        <f t="shared" si="158"/>
        <v>292.46787700966991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17.455139984449414</v>
      </c>
      <c r="GM165" s="21">
        <f>EXP(-LN(2)/25)*GM164+(1-EXP(-LN(2)/25))/(LN(2)/25)*Calculateur!GH165*Calculateur!GJ165*VLOOKUP('Données projet'!$B$17,Paramètres!$A$1:$I$89,3,0)*0.475*44/12</f>
        <v>0</v>
      </c>
      <c r="GN165" s="21">
        <f>EXP(-LN(2)/2)*GN164+(1-EXP(-LN(2)/2))/(LN(2)/2)*GH165*GK165*VLOOKUP('Données projet'!$B$17,Paramètres!$A$1:$I$89,3,0)*0.475*44/12</f>
        <v>0</v>
      </c>
      <c r="GO165" s="21">
        <f t="shared" si="187"/>
        <v>17.455139984449414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69.310057321452007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-2.8421709430404007E-13</v>
      </c>
      <c r="GV165" s="17">
        <f>GU165*VLOOKUP('Données projet'!$B$18,Paramètres!$A$1:$I$89,3,0)*VLOOKUP('Données projet'!$B$18,Paramètres!$A$1:$I$89,5,0)</f>
        <v>-1.6848389350343495E-13</v>
      </c>
      <c r="GW165" s="13" t="e">
        <f t="shared" si="188"/>
        <v>#NUM!</v>
      </c>
      <c r="GX165" s="20" t="e">
        <f t="shared" si="189"/>
        <v>#NUM!</v>
      </c>
      <c r="GY165" s="59" t="e">
        <f t="shared" si="137"/>
        <v>#NUM!</v>
      </c>
      <c r="GZ165" s="59">
        <f ca="1">AVERAGE(OFFSET($GY$3,0,0,'Données projet'!$E$18+1,1))-AVERAGE(OFFSET($H$3,0,0,'Données projet'!$E$18+1,1))</f>
        <v>322.78672881269978</v>
      </c>
      <c r="HA165" s="59">
        <f t="shared" si="160"/>
        <v>313.08736327626434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28.005803646024482</v>
      </c>
      <c r="HH165" s="21">
        <f>EXP(-LN(2)/25)*HH164+(1-EXP(-LN(2)/25))/(LN(2)/25)*Calculateur!HC165*Calculateur!HE165*VLOOKUP('Données projet'!$B$18,Paramètres!$A$1:$I$89,3,0)*0.475*44/12</f>
        <v>0</v>
      </c>
      <c r="HI165" s="21">
        <f>EXP(-LN(2)/2)*HI164+(1-EXP(-LN(2)/2))/(LN(2)/2)*HC165*HF165*VLOOKUP('Données projet'!$B$18,Paramètres!$A$1:$I$89,3,0)*0.475*44/12</f>
        <v>0</v>
      </c>
      <c r="HJ165" s="22">
        <f t="shared" si="190"/>
        <v>28.005803646024482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2.3499999999999996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8.6166666666666654</v>
      </c>
      <c r="H166" s="67">
        <f t="shared" si="110"/>
        <v>222.20000000000002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69.322026284444064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5.6843418860808015E-14</v>
      </c>
      <c r="O166" s="13">
        <f>N166*VLOOKUP('Données projet'!$B$9,Paramètres!$A$1:$I$89,3,0)*VLOOKUP('Données projet'!$B$9,Paramètres!$A$1:$I$89,5,0)</f>
        <v>5.1431925385259088E-14</v>
      </c>
      <c r="P166" s="13">
        <f t="shared" si="141"/>
        <v>8.3482866290946129E-13</v>
      </c>
      <c r="Q166" s="20">
        <f t="shared" si="162"/>
        <v>1.5435705246133045E-12</v>
      </c>
      <c r="R166" s="59">
        <f t="shared" si="109"/>
        <v>290.84742970962975</v>
      </c>
      <c r="S166" s="59">
        <f ca="1">AVERAGE(OFFSET($R$3,0,0,'Données projet'!$E$9+1,1))-AVERAGE(OFFSET($H$3,0,0,'Données projet'!$E$9+1,1))</f>
        <v>473.88815717313474</v>
      </c>
      <c r="T166" s="59">
        <f t="shared" si="142"/>
        <v>287.19790203552895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79.771405829905831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79.771405829905831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69.322026284444064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5.6843418860808015E-14</v>
      </c>
      <c r="AJ166" s="13">
        <f>AI166*VLOOKUP('Données projet'!$B$10,Paramètres!$A$1:$I$89,3,0)*VLOOKUP('Données projet'!$B$10,Paramètres!$A$1:$I$89,5,0)</f>
        <v>4.7884896048344674E-14</v>
      </c>
      <c r="AK166" s="13">
        <f t="shared" si="164"/>
        <v>7.8374629847779921E-13</v>
      </c>
      <c r="AL166" s="20">
        <f t="shared" si="165"/>
        <v>1.4484243304663672E-12</v>
      </c>
      <c r="AM166" s="59">
        <f t="shared" si="113"/>
        <v>290.84742970962964</v>
      </c>
      <c r="AN166" s="59">
        <f ca="1">AVERAGE(OFFSET($AM$3,0,0,'Données projet'!$E$10+1,1))-AVERAGE(OFFSET($H$3,0,0,'Données projet'!$E$10+1,1))</f>
        <v>445.19118535527258</v>
      </c>
      <c r="AO166" s="59">
        <f t="shared" si="144"/>
        <v>270.93483242839363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74.269929565774433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74.269929565774433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69.322026284444064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5.6843418860808015E-14</v>
      </c>
      <c r="BE166" s="13">
        <f>BD166*VLOOKUP('Données projet'!$B$11,Paramètres!$A$1:$I$89,3,0)*VLOOKUP('Données projet'!$B$11,Paramètres!$A$1:$I$89,5,0)</f>
        <v>5.7639226724859328E-14</v>
      </c>
      <c r="BF166" s="13">
        <f t="shared" si="167"/>
        <v>9.2325701996134334E-13</v>
      </c>
      <c r="BG166" s="20">
        <f t="shared" si="168"/>
        <v>1.708394296311803E-12</v>
      </c>
      <c r="BH166" s="59">
        <f t="shared" si="116"/>
        <v>290.84742970962992</v>
      </c>
      <c r="BI166" s="59">
        <f ca="1">AVERAGE(OFFSET($BH$3,0,0,'Données projet'!$E$11+1,1))-AVERAGE(OFFSET($H$3,0,0,'Données projet'!$E$11+1,1))</f>
        <v>524.01140973345832</v>
      </c>
      <c r="BJ166" s="59">
        <f t="shared" si="146"/>
        <v>315.59942237999621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89.39898929213588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89.39898929213588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69.322026284444064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-2.8421709430404007E-13</v>
      </c>
      <c r="BZ166" s="13">
        <f>BY166*VLOOKUP('Données projet'!$B$12,Paramètres!$A$1:$I$89,3,0)*VLOOKUP('Données projet'!$B$12,Paramètres!$A$1:$I$89,5,0)</f>
        <v>-1.9065282685915009E-13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358.95222991910504</v>
      </c>
      <c r="CE166" s="59">
        <f t="shared" si="148"/>
        <v>347.37506646970905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27.444584538152107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27.444584538152107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69.322026284444064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-2.8421709430404007E-13</v>
      </c>
      <c r="CU166" s="17">
        <f>CT166*VLOOKUP('Données projet'!$B$13,Paramètres!$A$1:$I$89,3,0)*VLOOKUP('Données projet'!$B$13,Paramètres!$A$1:$I$89,5,0)</f>
        <v>-1.8621904018800707E-13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351.7266381615546</v>
      </c>
      <c r="CZ166" s="59">
        <f t="shared" si="150"/>
        <v>340.52483243761799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23.206415453427091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23.206415453427091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69.322026284444064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2.2737367544323206E-13</v>
      </c>
      <c r="DP166" s="17">
        <f>DO166*VLOOKUP('Données projet'!$B$14,Paramètres!$A$1:$I$89,3,0)*VLOOKUP('Données projet'!$B$14,Paramètres!$A$1:$I$89,5,0)</f>
        <v>1.9508661353029313E-13</v>
      </c>
      <c r="DQ166" s="13">
        <f t="shared" si="176"/>
        <v>2.711421636700695E-12</v>
      </c>
      <c r="DR166" s="20">
        <f t="shared" si="177"/>
        <v>5.0621685358189711E-12</v>
      </c>
      <c r="DS166" s="59">
        <f t="shared" si="125"/>
        <v>290.84742970963327</v>
      </c>
      <c r="DT166" s="59">
        <f ca="1">AVERAGE(OFFSET($DS$3,0,0,'Données projet'!$E$14+1,1))-AVERAGE(OFFSET($H$3,0,0,'Données projet'!$E$14+1,1))</f>
        <v>569.21675741362196</v>
      </c>
      <c r="DU166" s="59">
        <f t="shared" si="152"/>
        <v>321.12410801891679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114.48830416513724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114.48830416513724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69.322026284444064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-2.8421709430404007E-13</v>
      </c>
      <c r="EK166" s="17">
        <f>EJ166*VLOOKUP('Données projet'!$B$15,Paramètres!$A$1:$I$89,3,0)*VLOOKUP('Données projet'!$B$15,Paramètres!$A$1:$I$89,5,0)</f>
        <v>-2.2612312022829427E-13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416.63597645452791</v>
      </c>
      <c r="EP166" s="59">
        <f t="shared" si="154"/>
        <v>402.05920382353497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34.732525454381715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34.732525454381715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69.322026284444064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>
        <f>FE166*VLOOKUP('Données projet'!$B$16,Paramètres!$A$1:$I$89,3,0)*VLOOKUP('Données projet'!$B$16,Paramètres!$A$1:$I$89,5,0)</f>
        <v>0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395.57130469647603</v>
      </c>
      <c r="FK166" s="59">
        <f t="shared" si="156"/>
        <v>383.97542781562674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32.947347602855089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32.947347602855089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69.322026284444064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>
        <f>FZ166*VLOOKUP('Données projet'!$B$17,Paramètres!$A$1:$I$89,3,0)*VLOOKUP('Données projet'!$B$17,Paramètres!$A$1:$I$89,5,0)</f>
        <v>0</v>
      </c>
      <c r="GB166" s="13" t="e">
        <f t="shared" si="185"/>
        <v>#NUM!</v>
      </c>
      <c r="GC166" s="20" t="e">
        <f t="shared" si="186"/>
        <v>#NUM!</v>
      </c>
      <c r="GD166" s="59" t="e">
        <f t="shared" si="134"/>
        <v>#NUM!</v>
      </c>
      <c r="GE166" s="59">
        <f ca="1">AVERAGE(OFFSET($GD$3,0,0,'Données projet'!$E$17+1,1))-AVERAGE(OFFSET($H$3,0,0,'Données projet'!$E$17+1,1))</f>
        <v>301.74744407733351</v>
      </c>
      <c r="GF166" s="59">
        <f t="shared" si="158"/>
        <v>292.46787700966991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17.112855335938487</v>
      </c>
      <c r="GM166" s="21">
        <f>EXP(-LN(2)/25)*GM165+(1-EXP(-LN(2)/25))/(LN(2)/25)*Calculateur!GH166*Calculateur!GJ166*VLOOKUP('Données projet'!$B$17,Paramètres!$A$1:$I$89,3,0)*0.475*44/12</f>
        <v>0</v>
      </c>
      <c r="GN166" s="21">
        <f>EXP(-LN(2)/2)*GN165+(1-EXP(-LN(2)/2))/(LN(2)/2)*GH166*GK166*VLOOKUP('Données projet'!$B$17,Paramètres!$A$1:$I$89,3,0)*0.475*44/12</f>
        <v>0</v>
      </c>
      <c r="GO166" s="21">
        <f t="shared" si="187"/>
        <v>17.112855335938487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69.322026284444064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-2.8421709430404007E-13</v>
      </c>
      <c r="GV166" s="17">
        <f>GU166*VLOOKUP('Données projet'!$B$18,Paramètres!$A$1:$I$89,3,0)*VLOOKUP('Données projet'!$B$18,Paramètres!$A$1:$I$89,5,0)</f>
        <v>-1.6848389350343495E-13</v>
      </c>
      <c r="GW166" s="13" t="e">
        <f t="shared" si="188"/>
        <v>#NUM!</v>
      </c>
      <c r="GX166" s="20" t="e">
        <f t="shared" si="189"/>
        <v>#NUM!</v>
      </c>
      <c r="GY166" s="59" t="e">
        <f t="shared" si="137"/>
        <v>#NUM!</v>
      </c>
      <c r="GZ166" s="59">
        <f ca="1">AVERAGE(OFFSET($GY$3,0,0,'Données projet'!$E$18+1,1))-AVERAGE(OFFSET($H$3,0,0,'Données projet'!$E$18+1,1))</f>
        <v>322.78672881269978</v>
      </c>
      <c r="HA166" s="59">
        <f t="shared" si="160"/>
        <v>313.08736327626434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27.456626918379474</v>
      </c>
      <c r="HH166" s="21">
        <f>EXP(-LN(2)/25)*HH165+(1-EXP(-LN(2)/25))/(LN(2)/25)*Calculateur!HC166*Calculateur!HE166*VLOOKUP('Données projet'!$B$18,Paramètres!$A$1:$I$89,3,0)*0.475*44/12</f>
        <v>0</v>
      </c>
      <c r="HI166" s="21">
        <f>EXP(-LN(2)/2)*HI165+(1-EXP(-LN(2)/2))/(LN(2)/2)*HC166*HF166*VLOOKUP('Données projet'!$B$18,Paramètres!$A$1:$I$89,3,0)*0.475*44/12</f>
        <v>0</v>
      </c>
      <c r="HJ166" s="22">
        <f t="shared" si="190"/>
        <v>27.456626918379474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2.3499999999999996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8.6166666666666654</v>
      </c>
      <c r="H167" s="67">
        <f t="shared" si="110"/>
        <v>222.20000000000002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69.333787612686791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5.6843418860808015E-14</v>
      </c>
      <c r="O167" s="13">
        <f>N167*VLOOKUP('Données projet'!$B$9,Paramètres!$A$1:$I$89,3,0)*VLOOKUP('Données projet'!$B$9,Paramètres!$A$1:$I$89,5,0)</f>
        <v>5.1431925385259088E-14</v>
      </c>
      <c r="P167" s="13">
        <f t="shared" si="141"/>
        <v>8.3482866290946129E-13</v>
      </c>
      <c r="Q167" s="20">
        <f t="shared" si="162"/>
        <v>1.5435705246133045E-12</v>
      </c>
      <c r="R167" s="59">
        <f t="shared" si="109"/>
        <v>290.89055457985307</v>
      </c>
      <c r="S167" s="59">
        <f ca="1">AVERAGE(OFFSET($R$3,0,0,'Données projet'!$E$9+1,1))-AVERAGE(OFFSET($H$3,0,0,'Données projet'!$E$9+1,1))</f>
        <v>473.88815717313474</v>
      </c>
      <c r="T167" s="59">
        <f t="shared" si="142"/>
        <v>287.19790203552895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78.207137217334576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78.207137217334576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69.333787612686791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5.6843418860808015E-14</v>
      </c>
      <c r="AJ167" s="13">
        <f>AI167*VLOOKUP('Données projet'!$B$10,Paramètres!$A$1:$I$89,3,0)*VLOOKUP('Données projet'!$B$10,Paramètres!$A$1:$I$89,5,0)</f>
        <v>4.7884896048344674E-14</v>
      </c>
      <c r="AK167" s="13">
        <f t="shared" si="164"/>
        <v>7.8374629847779921E-13</v>
      </c>
      <c r="AL167" s="20">
        <f t="shared" si="165"/>
        <v>1.4484243304663672E-12</v>
      </c>
      <c r="AM167" s="59">
        <f t="shared" si="113"/>
        <v>290.89055457985296</v>
      </c>
      <c r="AN167" s="59">
        <f ca="1">AVERAGE(OFFSET($AM$3,0,0,'Données projet'!$E$10+1,1))-AVERAGE(OFFSET($H$3,0,0,'Données projet'!$E$10+1,1))</f>
        <v>445.19118535527258</v>
      </c>
      <c r="AO167" s="59">
        <f t="shared" si="144"/>
        <v>270.93483242839363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72.813541547173614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72.813541547173614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69.333787612686791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5.6843418860808015E-14</v>
      </c>
      <c r="BE167" s="13">
        <f>BD167*VLOOKUP('Données projet'!$B$11,Paramètres!$A$1:$I$89,3,0)*VLOOKUP('Données projet'!$B$11,Paramètres!$A$1:$I$89,5,0)</f>
        <v>5.7639226724859328E-14</v>
      </c>
      <c r="BF167" s="13">
        <f t="shared" si="167"/>
        <v>9.2325701996134334E-13</v>
      </c>
      <c r="BG167" s="20">
        <f t="shared" si="168"/>
        <v>1.708394296311803E-12</v>
      </c>
      <c r="BH167" s="59">
        <f t="shared" si="116"/>
        <v>290.89055457985324</v>
      </c>
      <c r="BI167" s="59">
        <f ca="1">AVERAGE(OFFSET($BH$3,0,0,'Données projet'!$E$11+1,1))-AVERAGE(OFFSET($H$3,0,0,'Données projet'!$E$11+1,1))</f>
        <v>524.01140973345832</v>
      </c>
      <c r="BJ167" s="59">
        <f t="shared" si="146"/>
        <v>315.59942237999621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87.645929640116364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87.645929640116364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69.333787612686791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-2.8421709430404007E-13</v>
      </c>
      <c r="BZ167" s="13">
        <f>BY167*VLOOKUP('Données projet'!$B$12,Paramètres!$A$1:$I$89,3,0)*VLOOKUP('Données projet'!$B$12,Paramètres!$A$1:$I$89,5,0)</f>
        <v>-1.9065282685915009E-13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358.95222991910504</v>
      </c>
      <c r="CE167" s="59">
        <f t="shared" si="148"/>
        <v>347.37506646970905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26.906412974902619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26.906412974902619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69.333787612686791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-2.8421709430404007E-13</v>
      </c>
      <c r="CU167" s="17">
        <f>CT167*VLOOKUP('Données projet'!$B$13,Paramètres!$A$1:$I$89,3,0)*VLOOKUP('Données projet'!$B$13,Paramètres!$A$1:$I$89,5,0)</f>
        <v>-1.8621904018800707E-13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351.7266381615546</v>
      </c>
      <c r="CZ167" s="59">
        <f t="shared" si="150"/>
        <v>340.52483243761799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22.751351800901169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22.751351800901169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69.333787612686791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2.2737367544323206E-13</v>
      </c>
      <c r="DP167" s="17">
        <f>DO167*VLOOKUP('Données projet'!$B$14,Paramètres!$A$1:$I$89,3,0)*VLOOKUP('Données projet'!$B$14,Paramètres!$A$1:$I$89,5,0)</f>
        <v>1.9508661353029313E-13</v>
      </c>
      <c r="DQ167" s="13">
        <f t="shared" si="176"/>
        <v>2.711421636700695E-12</v>
      </c>
      <c r="DR167" s="20">
        <f t="shared" si="177"/>
        <v>5.0621685358189711E-12</v>
      </c>
      <c r="DS167" s="59">
        <f t="shared" si="125"/>
        <v>290.8905545798566</v>
      </c>
      <c r="DT167" s="59">
        <f ca="1">AVERAGE(OFFSET($DS$3,0,0,'Données projet'!$E$14+1,1))-AVERAGE(OFFSET($H$3,0,0,'Données projet'!$E$14+1,1))</f>
        <v>569.21675741362196</v>
      </c>
      <c r="DU167" s="59">
        <f t="shared" si="152"/>
        <v>321.12410801891679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112.2432583514292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112.2432583514292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69.333787612686791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-2.8421709430404007E-13</v>
      </c>
      <c r="EK167" s="17">
        <f>EJ167*VLOOKUP('Données projet'!$B$15,Paramètres!$A$1:$I$89,3,0)*VLOOKUP('Données projet'!$B$15,Paramètres!$A$1:$I$89,5,0)</f>
        <v>-2.2612312022829427E-13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416.63597645452791</v>
      </c>
      <c r="EP167" s="59">
        <f t="shared" si="154"/>
        <v>402.05920382353497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34.051441814969998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34.051441814969998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69.333787612686791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>
        <f>FE167*VLOOKUP('Données projet'!$B$16,Paramètres!$A$1:$I$89,3,0)*VLOOKUP('Données projet'!$B$16,Paramètres!$A$1:$I$89,5,0)</f>
        <v>0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395.57130469647603</v>
      </c>
      <c r="FK167" s="59">
        <f t="shared" si="156"/>
        <v>383.97542781562674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32.301270212260832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32.301270212260832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69.333787612686791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>
        <f>FZ167*VLOOKUP('Données projet'!$B$17,Paramètres!$A$1:$I$89,3,0)*VLOOKUP('Données projet'!$B$17,Paramètres!$A$1:$I$89,5,0)</f>
        <v>0</v>
      </c>
      <c r="GB167" s="13" t="e">
        <f t="shared" si="185"/>
        <v>#NUM!</v>
      </c>
      <c r="GC167" s="20" t="e">
        <f t="shared" si="186"/>
        <v>#NUM!</v>
      </c>
      <c r="GD167" s="59" t="e">
        <f t="shared" si="134"/>
        <v>#NUM!</v>
      </c>
      <c r="GE167" s="59">
        <f ca="1">AVERAGE(OFFSET($GD$3,0,0,'Données projet'!$E$17+1,1))-AVERAGE(OFFSET($H$3,0,0,'Données projet'!$E$17+1,1))</f>
        <v>301.74744407733351</v>
      </c>
      <c r="GF167" s="59">
        <f t="shared" si="158"/>
        <v>292.46787700966991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16.77728268061184</v>
      </c>
      <c r="GM167" s="21">
        <f>EXP(-LN(2)/25)*GM166+(1-EXP(-LN(2)/25))/(LN(2)/25)*Calculateur!GH167*Calculateur!GJ167*VLOOKUP('Données projet'!$B$17,Paramètres!$A$1:$I$89,3,0)*0.475*44/12</f>
        <v>0</v>
      </c>
      <c r="GN167" s="21">
        <f>EXP(-LN(2)/2)*GN166+(1-EXP(-LN(2)/2))/(LN(2)/2)*GH167*GK167*VLOOKUP('Données projet'!$B$17,Paramètres!$A$1:$I$89,3,0)*0.475*44/12</f>
        <v>0</v>
      </c>
      <c r="GO167" s="21">
        <f t="shared" si="187"/>
        <v>16.77728268061184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69.333787612686791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-2.8421709430404007E-13</v>
      </c>
      <c r="GV167" s="17">
        <f>GU167*VLOOKUP('Données projet'!$B$18,Paramètres!$A$1:$I$89,3,0)*VLOOKUP('Données projet'!$B$18,Paramètres!$A$1:$I$89,5,0)</f>
        <v>-1.6848389350343495E-13</v>
      </c>
      <c r="GW167" s="13" t="e">
        <f t="shared" si="188"/>
        <v>#NUM!</v>
      </c>
      <c r="GX167" s="20" t="e">
        <f t="shared" si="189"/>
        <v>#NUM!</v>
      </c>
      <c r="GY167" s="59" t="e">
        <f t="shared" si="137"/>
        <v>#NUM!</v>
      </c>
      <c r="GZ167" s="59">
        <f ca="1">AVERAGE(OFFSET($GY$3,0,0,'Données projet'!$E$18+1,1))-AVERAGE(OFFSET($H$3,0,0,'Données projet'!$E$18+1,1))</f>
        <v>322.78672881269978</v>
      </c>
      <c r="HA167" s="59">
        <f t="shared" si="160"/>
        <v>313.08736327626434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26.918219211398856</v>
      </c>
      <c r="HH167" s="21">
        <f>EXP(-LN(2)/25)*HH166+(1-EXP(-LN(2)/25))/(LN(2)/25)*Calculateur!HC167*Calculateur!HE167*VLOOKUP('Données projet'!$B$18,Paramètres!$A$1:$I$89,3,0)*0.475*44/12</f>
        <v>0</v>
      </c>
      <c r="HI167" s="21">
        <f>EXP(-LN(2)/2)*HI166+(1-EXP(-LN(2)/2))/(LN(2)/2)*HC167*HF167*VLOOKUP('Données projet'!$B$18,Paramètres!$A$1:$I$89,3,0)*0.475*44/12</f>
        <v>0</v>
      </c>
      <c r="HJ167" s="22">
        <f t="shared" si="190"/>
        <v>26.918219211398856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2.3499999999999996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8.6166666666666654</v>
      </c>
      <c r="H168" s="67">
        <f t="shared" si="110"/>
        <v>222.20000000000002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69.345344908178916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5.6843418860808015E-14</v>
      </c>
      <c r="O168" s="13">
        <f>N168*VLOOKUP('Données projet'!$B$9,Paramètres!$A$1:$I$89,3,0)*VLOOKUP('Données projet'!$B$9,Paramètres!$A$1:$I$89,5,0)</f>
        <v>5.1431925385259088E-14</v>
      </c>
      <c r="P168" s="13">
        <f t="shared" si="141"/>
        <v>8.3482866290946129E-13</v>
      </c>
      <c r="Q168" s="20">
        <f t="shared" si="162"/>
        <v>1.5435705246133045E-12</v>
      </c>
      <c r="R168" s="59">
        <f t="shared" si="109"/>
        <v>290.93293132999088</v>
      </c>
      <c r="S168" s="59">
        <f ca="1">AVERAGE(OFFSET($R$3,0,0,'Données projet'!$E$9+1,1))-AVERAGE(OFFSET($H$3,0,0,'Données projet'!$E$9+1,1))</f>
        <v>473.88815717313474</v>
      </c>
      <c r="T168" s="59">
        <f t="shared" si="142"/>
        <v>287.19790203552895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76.6735429581462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76.6735429581462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69.345344908178916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5.6843418860808015E-14</v>
      </c>
      <c r="AJ168" s="13">
        <f>AI168*VLOOKUP('Données projet'!$B$10,Paramètres!$A$1:$I$89,3,0)*VLOOKUP('Données projet'!$B$10,Paramètres!$A$1:$I$89,5,0)</f>
        <v>4.7884896048344674E-14</v>
      </c>
      <c r="AK168" s="13">
        <f t="shared" si="164"/>
        <v>7.8374629847779921E-13</v>
      </c>
      <c r="AL168" s="20">
        <f t="shared" si="165"/>
        <v>1.4484243304663672E-12</v>
      </c>
      <c r="AM168" s="59">
        <f t="shared" si="113"/>
        <v>290.93293132999077</v>
      </c>
      <c r="AN168" s="59">
        <f ca="1">AVERAGE(OFFSET($AM$3,0,0,'Données projet'!$E$10+1,1))-AVERAGE(OFFSET($H$3,0,0,'Données projet'!$E$10+1,1))</f>
        <v>445.19118535527258</v>
      </c>
      <c r="AO168" s="59">
        <f t="shared" si="144"/>
        <v>270.93483242839363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71.385712409308582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71.385712409308582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69.345344908178916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5.6843418860808015E-14</v>
      </c>
      <c r="BE168" s="13">
        <f>BD168*VLOOKUP('Données projet'!$B$11,Paramètres!$A$1:$I$89,3,0)*VLOOKUP('Données projet'!$B$11,Paramètres!$A$1:$I$89,5,0)</f>
        <v>5.7639226724859328E-14</v>
      </c>
      <c r="BF168" s="13">
        <f t="shared" si="167"/>
        <v>9.2325701996134334E-13</v>
      </c>
      <c r="BG168" s="20">
        <f t="shared" si="168"/>
        <v>1.708394296311803E-12</v>
      </c>
      <c r="BH168" s="59">
        <f t="shared" si="116"/>
        <v>290.93293132999105</v>
      </c>
      <c r="BI168" s="59">
        <f ca="1">AVERAGE(OFFSET($BH$3,0,0,'Données projet'!$E$11+1,1))-AVERAGE(OFFSET($H$3,0,0,'Données projet'!$E$11+1,1))</f>
        <v>524.01140973345832</v>
      </c>
      <c r="BJ168" s="59">
        <f t="shared" si="146"/>
        <v>315.59942237999621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85.927246418612157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85.927246418612157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69.345344908178916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-2.8421709430404007E-13</v>
      </c>
      <c r="BZ168" s="13">
        <f>BY168*VLOOKUP('Données projet'!$B$12,Paramètres!$A$1:$I$89,3,0)*VLOOKUP('Données projet'!$B$12,Paramètres!$A$1:$I$89,5,0)</f>
        <v>-1.9065282685915009E-13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358.95222991910504</v>
      </c>
      <c r="CE168" s="59">
        <f t="shared" si="148"/>
        <v>347.37506646970905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26.378794627756214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26.378794627756214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69.345344908178916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-2.8421709430404007E-13</v>
      </c>
      <c r="CU168" s="17">
        <f>CT168*VLOOKUP('Données projet'!$B$13,Paramètres!$A$1:$I$89,3,0)*VLOOKUP('Données projet'!$B$13,Paramètres!$A$1:$I$89,5,0)</f>
        <v>-1.8621904018800707E-13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351.7266381615546</v>
      </c>
      <c r="CZ168" s="59">
        <f t="shared" si="150"/>
        <v>340.52483243761799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22.30521166903986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22.30521166903986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69.345344908178916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2.2737367544323206E-13</v>
      </c>
      <c r="DP168" s="17">
        <f>DO168*VLOOKUP('Données projet'!$B$14,Paramètres!$A$1:$I$89,3,0)*VLOOKUP('Données projet'!$B$14,Paramètres!$A$1:$I$89,5,0)</f>
        <v>1.9508661353029313E-13</v>
      </c>
      <c r="DQ168" s="13">
        <f t="shared" si="176"/>
        <v>2.711421636700695E-12</v>
      </c>
      <c r="DR168" s="20">
        <f t="shared" si="177"/>
        <v>5.0621685358189711E-12</v>
      </c>
      <c r="DS168" s="59">
        <f t="shared" si="125"/>
        <v>290.9329313299944</v>
      </c>
      <c r="DT168" s="59">
        <f ca="1">AVERAGE(OFFSET($DS$3,0,0,'Données projet'!$E$14+1,1))-AVERAGE(OFFSET($H$3,0,0,'Données projet'!$E$14+1,1))</f>
        <v>569.21675741362196</v>
      </c>
      <c r="DU168" s="59">
        <f t="shared" si="152"/>
        <v>321.12410801891679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110.04223651678525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110.04223651678525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69.345344908178916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-2.8421709430404007E-13</v>
      </c>
      <c r="EK168" s="17">
        <f>EJ168*VLOOKUP('Données projet'!$B$15,Paramètres!$A$1:$I$89,3,0)*VLOOKUP('Données projet'!$B$15,Paramètres!$A$1:$I$89,5,0)</f>
        <v>-2.2612312022829427E-13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416.63597645452791</v>
      </c>
      <c r="EP168" s="59">
        <f t="shared" si="154"/>
        <v>402.05920382353497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33.383713810307142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33.383713810307142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69.345344908178916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>
        <f>FE168*VLOOKUP('Données projet'!$B$16,Paramètres!$A$1:$I$89,3,0)*VLOOKUP('Données projet'!$B$16,Paramètres!$A$1:$I$89,5,0)</f>
        <v>0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395.57130469647603</v>
      </c>
      <c r="FK168" s="59">
        <f t="shared" si="156"/>
        <v>383.97542781562674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31.667862005227832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31.667862005227832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69.345344908178916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>
        <f>FZ168*VLOOKUP('Données projet'!$B$17,Paramètres!$A$1:$I$89,3,0)*VLOOKUP('Données projet'!$B$17,Paramètres!$A$1:$I$89,5,0)</f>
        <v>0</v>
      </c>
      <c r="GB168" s="13" t="e">
        <f t="shared" si="185"/>
        <v>#NUM!</v>
      </c>
      <c r="GC168" s="20" t="e">
        <f t="shared" si="186"/>
        <v>#NUM!</v>
      </c>
      <c r="GD168" s="59" t="e">
        <f t="shared" si="134"/>
        <v>#NUM!</v>
      </c>
      <c r="GE168" s="59">
        <f ca="1">AVERAGE(OFFSET($GD$3,0,0,'Données projet'!$E$17+1,1))-AVERAGE(OFFSET($H$3,0,0,'Données projet'!$E$17+1,1))</f>
        <v>301.74744407733351</v>
      </c>
      <c r="GF168" s="59">
        <f t="shared" si="158"/>
        <v>292.46787700966991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16.44829040037704</v>
      </c>
      <c r="GM168" s="21">
        <f>EXP(-LN(2)/25)*GM167+(1-EXP(-LN(2)/25))/(LN(2)/25)*Calculateur!GH168*Calculateur!GJ168*VLOOKUP('Données projet'!$B$17,Paramètres!$A$1:$I$89,3,0)*0.475*44/12</f>
        <v>0</v>
      </c>
      <c r="GN168" s="21">
        <f>EXP(-LN(2)/2)*GN167+(1-EXP(-LN(2)/2))/(LN(2)/2)*GH168*GK168*VLOOKUP('Données projet'!$B$17,Paramètres!$A$1:$I$89,3,0)*0.475*44/12</f>
        <v>0</v>
      </c>
      <c r="GO168" s="21">
        <f t="shared" si="187"/>
        <v>16.44829040037704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69.345344908178916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-2.8421709430404007E-13</v>
      </c>
      <c r="GV168" s="17">
        <f>GU168*VLOOKUP('Données projet'!$B$18,Paramètres!$A$1:$I$89,3,0)*VLOOKUP('Données projet'!$B$18,Paramètres!$A$1:$I$89,5,0)</f>
        <v>-1.6848389350343495E-13</v>
      </c>
      <c r="GW168" s="13" t="e">
        <f t="shared" si="188"/>
        <v>#NUM!</v>
      </c>
      <c r="GX168" s="20" t="e">
        <f t="shared" si="189"/>
        <v>#NUM!</v>
      </c>
      <c r="GY168" s="59" t="e">
        <f t="shared" si="137"/>
        <v>#NUM!</v>
      </c>
      <c r="GZ168" s="59">
        <f ca="1">AVERAGE(OFFSET($GY$3,0,0,'Données projet'!$E$18+1,1))-AVERAGE(OFFSET($H$3,0,0,'Données projet'!$E$18+1,1))</f>
        <v>322.78672881269978</v>
      </c>
      <c r="HA168" s="59">
        <f t="shared" si="160"/>
        <v>313.08736327626434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26.390369351155851</v>
      </c>
      <c r="HH168" s="21">
        <f>EXP(-LN(2)/25)*HH167+(1-EXP(-LN(2)/25))/(LN(2)/25)*Calculateur!HC168*Calculateur!HE168*VLOOKUP('Données projet'!$B$18,Paramètres!$A$1:$I$89,3,0)*0.475*44/12</f>
        <v>0</v>
      </c>
      <c r="HI168" s="21">
        <f>EXP(-LN(2)/2)*HI167+(1-EXP(-LN(2)/2))/(LN(2)/2)*HC168*HF168*VLOOKUP('Données projet'!$B$18,Paramètres!$A$1:$I$89,3,0)*0.475*44/12</f>
        <v>0</v>
      </c>
      <c r="HJ168" s="22">
        <f t="shared" si="190"/>
        <v>26.390369351155851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2.3499999999999996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8.6166666666666654</v>
      </c>
      <c r="H169" s="67">
        <f t="shared" si="110"/>
        <v>222.20000000000002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69.356701710432489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5.6843418860808015E-14</v>
      </c>
      <c r="O169" s="13">
        <f>N169*VLOOKUP('Données projet'!$B$9,Paramètres!$A$1:$I$89,3,0)*VLOOKUP('Données projet'!$B$9,Paramètres!$A$1:$I$89,5,0)</f>
        <v>5.1431925385259088E-14</v>
      </c>
      <c r="P169" s="13">
        <f t="shared" si="141"/>
        <v>8.3482866290946129E-13</v>
      </c>
      <c r="Q169" s="20">
        <f t="shared" si="162"/>
        <v>1.5435705246133045E-12</v>
      </c>
      <c r="R169" s="59">
        <f t="shared" si="109"/>
        <v>290.97457293825403</v>
      </c>
      <c r="S169" s="59">
        <f ca="1">AVERAGE(OFFSET($R$3,0,0,'Données projet'!$E$9+1,1))-AVERAGE(OFFSET($H$3,0,0,'Données projet'!$E$9+1,1))</f>
        <v>473.88815717313474</v>
      </c>
      <c r="T169" s="59">
        <f t="shared" si="142"/>
        <v>287.19790203552895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75.170021546980379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75.170021546980379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69.356701710432489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5.6843418860808015E-14</v>
      </c>
      <c r="AJ169" s="13">
        <f>AI169*VLOOKUP('Données projet'!$B$10,Paramètres!$A$1:$I$89,3,0)*VLOOKUP('Données projet'!$B$10,Paramètres!$A$1:$I$89,5,0)</f>
        <v>4.7884896048344674E-14</v>
      </c>
      <c r="AK169" s="13">
        <f t="shared" si="164"/>
        <v>7.8374629847779921E-13</v>
      </c>
      <c r="AL169" s="20">
        <f t="shared" si="165"/>
        <v>1.4484243304663672E-12</v>
      </c>
      <c r="AM169" s="59">
        <f t="shared" si="113"/>
        <v>290.97457293825391</v>
      </c>
      <c r="AN169" s="59">
        <f ca="1">AVERAGE(OFFSET($AM$3,0,0,'Données projet'!$E$10+1,1))-AVERAGE(OFFSET($H$3,0,0,'Données projet'!$E$10+1,1))</f>
        <v>445.19118535527258</v>
      </c>
      <c r="AO169" s="59">
        <f t="shared" si="144"/>
        <v>270.93483242839363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69.985882129947299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69.985882129947299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69.356701710432489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5.6843418860808015E-14</v>
      </c>
      <c r="BE169" s="13">
        <f>BD169*VLOOKUP('Données projet'!$B$11,Paramètres!$A$1:$I$89,3,0)*VLOOKUP('Données projet'!$B$11,Paramètres!$A$1:$I$89,5,0)</f>
        <v>5.7639226724859328E-14</v>
      </c>
      <c r="BF169" s="13">
        <f t="shared" si="167"/>
        <v>9.2325701996134334E-13</v>
      </c>
      <c r="BG169" s="20">
        <f t="shared" si="168"/>
        <v>1.708394296311803E-12</v>
      </c>
      <c r="BH169" s="59">
        <f t="shared" si="116"/>
        <v>290.9745729382542</v>
      </c>
      <c r="BI169" s="59">
        <f ca="1">AVERAGE(OFFSET($BH$3,0,0,'Données projet'!$E$11+1,1))-AVERAGE(OFFSET($H$3,0,0,'Données projet'!$E$11+1,1))</f>
        <v>524.01140973345832</v>
      </c>
      <c r="BJ169" s="59">
        <f t="shared" si="146"/>
        <v>315.59942237999621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84.242265526788387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84.242265526788387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69.356701710432489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-2.8421709430404007E-13</v>
      </c>
      <c r="BZ169" s="13">
        <f>BY169*VLOOKUP('Données projet'!$B$12,Paramètres!$A$1:$I$89,3,0)*VLOOKUP('Données projet'!$B$12,Paramètres!$A$1:$I$89,5,0)</f>
        <v>-1.9065282685915009E-13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358.95222991910504</v>
      </c>
      <c r="CE169" s="59">
        <f t="shared" si="148"/>
        <v>347.37506646970905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25.861522554581935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25.861522554581935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69.356701710432489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-2.8421709430404007E-13</v>
      </c>
      <c r="CU169" s="17">
        <f>CT169*VLOOKUP('Données projet'!$B$13,Paramètres!$A$1:$I$89,3,0)*VLOOKUP('Données projet'!$B$13,Paramètres!$A$1:$I$89,5,0)</f>
        <v>-1.8621904018800707E-13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351.7266381615546</v>
      </c>
      <c r="CZ169" s="59">
        <f t="shared" si="150"/>
        <v>340.52483243761799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21.867820073045742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21.867820073045742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69.356701710432489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2.2737367544323206E-13</v>
      </c>
      <c r="DP169" s="17">
        <f>DO169*VLOOKUP('Données projet'!$B$14,Paramètres!$A$1:$I$89,3,0)*VLOOKUP('Données projet'!$B$14,Paramètres!$A$1:$I$89,5,0)</f>
        <v>1.9508661353029313E-13</v>
      </c>
      <c r="DQ169" s="13">
        <f t="shared" si="176"/>
        <v>2.711421636700695E-12</v>
      </c>
      <c r="DR169" s="20">
        <f t="shared" si="177"/>
        <v>5.0621685358189711E-12</v>
      </c>
      <c r="DS169" s="59">
        <f t="shared" si="125"/>
        <v>290.97457293825755</v>
      </c>
      <c r="DT169" s="59">
        <f ca="1">AVERAGE(OFFSET($DS$3,0,0,'Données projet'!$E$14+1,1))-AVERAGE(OFFSET($H$3,0,0,'Données projet'!$E$14+1,1))</f>
        <v>569.21675741362196</v>
      </c>
      <c r="DU169" s="59">
        <f t="shared" si="152"/>
        <v>321.12410801891679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107.88437537782791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107.88437537782791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69.356701710432489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-2.8421709430404007E-13</v>
      </c>
      <c r="EK169" s="17">
        <f>EJ169*VLOOKUP('Données projet'!$B$15,Paramètres!$A$1:$I$89,3,0)*VLOOKUP('Données projet'!$B$15,Paramètres!$A$1:$I$89,5,0)</f>
        <v>-2.2612312022829427E-13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416.63597645452791</v>
      </c>
      <c r="EP169" s="59">
        <f t="shared" si="154"/>
        <v>402.05920382353497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32.729079544541861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32.729079544541861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69.356701710432489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>
        <f>FE169*VLOOKUP('Données projet'!$B$16,Paramètres!$A$1:$I$89,3,0)*VLOOKUP('Données projet'!$B$16,Paramètres!$A$1:$I$89,5,0)</f>
        <v>0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395.57130469647603</v>
      </c>
      <c r="FK169" s="59">
        <f t="shared" si="156"/>
        <v>383.97542781562674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31.046874546793891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31.046874546793891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69.356701710432489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>
        <f>FZ169*VLOOKUP('Données projet'!$B$17,Paramètres!$A$1:$I$89,3,0)*VLOOKUP('Données projet'!$B$17,Paramètres!$A$1:$I$89,5,0)</f>
        <v>0</v>
      </c>
      <c r="GB169" s="13" t="e">
        <f t="shared" si="185"/>
        <v>#NUM!</v>
      </c>
      <c r="GC169" s="20" t="e">
        <f t="shared" si="186"/>
        <v>#NUM!</v>
      </c>
      <c r="GD169" s="59" t="e">
        <f t="shared" si="134"/>
        <v>#NUM!</v>
      </c>
      <c r="GE169" s="59">
        <f ca="1">AVERAGE(OFFSET($GD$3,0,0,'Données projet'!$E$17+1,1))-AVERAGE(OFFSET($H$3,0,0,'Données projet'!$E$17+1,1))</f>
        <v>301.74744407733351</v>
      </c>
      <c r="GF169" s="59">
        <f t="shared" si="158"/>
        <v>292.46787700966991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16.125749458092166</v>
      </c>
      <c r="GM169" s="21">
        <f>EXP(-LN(2)/25)*GM168+(1-EXP(-LN(2)/25))/(LN(2)/25)*Calculateur!GH169*Calculateur!GJ169*VLOOKUP('Données projet'!$B$17,Paramètres!$A$1:$I$89,3,0)*0.475*44/12</f>
        <v>0</v>
      </c>
      <c r="GN169" s="21">
        <f>EXP(-LN(2)/2)*GN168+(1-EXP(-LN(2)/2))/(LN(2)/2)*GH169*GK169*VLOOKUP('Données projet'!$B$17,Paramètres!$A$1:$I$89,3,0)*0.475*44/12</f>
        <v>0</v>
      </c>
      <c r="GO169" s="21">
        <f t="shared" si="187"/>
        <v>16.125749458092166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69.356701710432489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-2.8421709430404007E-13</v>
      </c>
      <c r="GV169" s="17">
        <f>GU169*VLOOKUP('Données projet'!$B$18,Paramètres!$A$1:$I$89,3,0)*VLOOKUP('Données projet'!$B$18,Paramètres!$A$1:$I$89,5,0)</f>
        <v>-1.6848389350343495E-13</v>
      </c>
      <c r="GW169" s="13" t="e">
        <f t="shared" si="188"/>
        <v>#NUM!</v>
      </c>
      <c r="GX169" s="20" t="e">
        <f t="shared" si="189"/>
        <v>#NUM!</v>
      </c>
      <c r="GY169" s="59" t="e">
        <f t="shared" si="137"/>
        <v>#NUM!</v>
      </c>
      <c r="GZ169" s="59">
        <f ca="1">AVERAGE(OFFSET($GY$3,0,0,'Données projet'!$E$18+1,1))-AVERAGE(OFFSET($H$3,0,0,'Données projet'!$E$18+1,1))</f>
        <v>322.78672881269978</v>
      </c>
      <c r="HA169" s="59">
        <f t="shared" si="160"/>
        <v>313.08736327626434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25.872870304715587</v>
      </c>
      <c r="HH169" s="21">
        <f>EXP(-LN(2)/25)*HH168+(1-EXP(-LN(2)/25))/(LN(2)/25)*Calculateur!HC169*Calculateur!HE169*VLOOKUP('Données projet'!$B$18,Paramètres!$A$1:$I$89,3,0)*0.475*44/12</f>
        <v>0</v>
      </c>
      <c r="HI169" s="21">
        <f>EXP(-LN(2)/2)*HI168+(1-EXP(-LN(2)/2))/(LN(2)/2)*HC169*HF169*VLOOKUP('Données projet'!$B$18,Paramètres!$A$1:$I$89,3,0)*0.475*44/12</f>
        <v>0</v>
      </c>
      <c r="HJ169" s="22">
        <f t="shared" si="190"/>
        <v>25.872870304715587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2.3499999999999996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8.6166666666666654</v>
      </c>
      <c r="H170" s="67">
        <f t="shared" si="110"/>
        <v>222.20000000000002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69.367861497556959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5.6843418860808015E-14</v>
      </c>
      <c r="O170" s="13">
        <f>N170*VLOOKUP('Données projet'!$B$9,Paramètres!$A$1:$I$89,3,0)*VLOOKUP('Données projet'!$B$9,Paramètres!$A$1:$I$89,5,0)</f>
        <v>5.1431925385259088E-14</v>
      </c>
      <c r="P170" s="13">
        <f t="shared" si="141"/>
        <v>8.3482866290946129E-13</v>
      </c>
      <c r="Q170" s="20">
        <f t="shared" si="162"/>
        <v>1.5435705246133045E-12</v>
      </c>
      <c r="R170" s="59">
        <f t="shared" si="109"/>
        <v>291.01549215771036</v>
      </c>
      <c r="S170" s="59">
        <f ca="1">AVERAGE(OFFSET($R$3,0,0,'Données projet'!$E$9+1,1))-AVERAGE(OFFSET($H$3,0,0,'Données projet'!$E$9+1,1))</f>
        <v>473.88815717313474</v>
      </c>
      <c r="T170" s="59">
        <f t="shared" si="142"/>
        <v>287.19790203552895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73.695983273630006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73.695983273630006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69.367861497556959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5.6843418860808015E-14</v>
      </c>
      <c r="AJ170" s="13">
        <f>AI170*VLOOKUP('Données projet'!$B$10,Paramètres!$A$1:$I$89,3,0)*VLOOKUP('Données projet'!$B$10,Paramètres!$A$1:$I$89,5,0)</f>
        <v>4.7884896048344674E-14</v>
      </c>
      <c r="AK170" s="13">
        <f t="shared" si="164"/>
        <v>7.8374629847779921E-13</v>
      </c>
      <c r="AL170" s="20">
        <f t="shared" si="165"/>
        <v>1.4484243304663672E-12</v>
      </c>
      <c r="AM170" s="59">
        <f t="shared" si="113"/>
        <v>291.01549215771024</v>
      </c>
      <c r="AN170" s="59">
        <f ca="1">AVERAGE(OFFSET($AM$3,0,0,'Données projet'!$E$10+1,1))-AVERAGE(OFFSET($H$3,0,0,'Données projet'!$E$10+1,1))</f>
        <v>445.19118535527258</v>
      </c>
      <c r="AO170" s="59">
        <f t="shared" si="144"/>
        <v>270.93483242839363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68.613501668552118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68.613501668552118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69.367861497556959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5.6843418860808015E-14</v>
      </c>
      <c r="BE170" s="13">
        <f>BD170*VLOOKUP('Données projet'!$B$11,Paramètres!$A$1:$I$89,3,0)*VLOOKUP('Données projet'!$B$11,Paramètres!$A$1:$I$89,5,0)</f>
        <v>5.7639226724859328E-14</v>
      </c>
      <c r="BF170" s="13">
        <f t="shared" si="167"/>
        <v>9.2325701996134334E-13</v>
      </c>
      <c r="BG170" s="20">
        <f t="shared" si="168"/>
        <v>1.708394296311803E-12</v>
      </c>
      <c r="BH170" s="59">
        <f t="shared" si="116"/>
        <v>291.01549215771053</v>
      </c>
      <c r="BI170" s="59">
        <f ca="1">AVERAGE(OFFSET($BH$3,0,0,'Données projet'!$E$11+1,1))-AVERAGE(OFFSET($H$3,0,0,'Données projet'!$E$11+1,1))</f>
        <v>524.01140973345832</v>
      </c>
      <c r="BJ170" s="59">
        <f t="shared" si="146"/>
        <v>315.59942237999621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82.590326082516412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82.590326082516412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69.367861497556959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-2.8421709430404007E-13</v>
      </c>
      <c r="BZ170" s="13">
        <f>BY170*VLOOKUP('Données projet'!$B$12,Paramètres!$A$1:$I$89,3,0)*VLOOKUP('Données projet'!$B$12,Paramètres!$A$1:$I$89,5,0)</f>
        <v>-1.9065282685915009E-13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358.95222991910504</v>
      </c>
      <c r="CE170" s="59">
        <f t="shared" si="148"/>
        <v>347.37506646970905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25.354393871257791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25.354393871257791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69.367861497556959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-2.8421709430404007E-13</v>
      </c>
      <c r="CU170" s="17">
        <f>CT170*VLOOKUP('Données projet'!$B$13,Paramètres!$A$1:$I$89,3,0)*VLOOKUP('Données projet'!$B$13,Paramètres!$A$1:$I$89,5,0)</f>
        <v>-1.8621904018800707E-13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351.7266381615546</v>
      </c>
      <c r="CZ170" s="59">
        <f t="shared" si="150"/>
        <v>340.52483243761799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21.439005459466536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21.439005459466536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69.367861497556959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2.2737367544323206E-13</v>
      </c>
      <c r="DP170" s="17">
        <f>DO170*VLOOKUP('Données projet'!$B$14,Paramètres!$A$1:$I$89,3,0)*VLOOKUP('Données projet'!$B$14,Paramètres!$A$1:$I$89,5,0)</f>
        <v>1.9508661353029313E-13</v>
      </c>
      <c r="DQ170" s="13">
        <f t="shared" si="176"/>
        <v>2.711421636700695E-12</v>
      </c>
      <c r="DR170" s="20">
        <f t="shared" si="177"/>
        <v>5.0621685358189711E-12</v>
      </c>
      <c r="DS170" s="59">
        <f t="shared" si="125"/>
        <v>291.01549215771388</v>
      </c>
      <c r="DT170" s="59">
        <f ca="1">AVERAGE(OFFSET($DS$3,0,0,'Données projet'!$E$14+1,1))-AVERAGE(OFFSET($H$3,0,0,'Données projet'!$E$14+1,1))</f>
        <v>569.21675741362196</v>
      </c>
      <c r="DU170" s="59">
        <f t="shared" si="152"/>
        <v>321.12410801891679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105.76882857964019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105.76882857964019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69.367861497556959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-2.8421709430404007E-13</v>
      </c>
      <c r="EK170" s="17">
        <f>EJ170*VLOOKUP('Données projet'!$B$15,Paramètres!$A$1:$I$89,3,0)*VLOOKUP('Données projet'!$B$15,Paramètres!$A$1:$I$89,5,0)</f>
        <v>-2.2612312022829427E-13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416.63597645452791</v>
      </c>
      <c r="EP170" s="59">
        <f t="shared" si="154"/>
        <v>402.05920382353497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32.087282257440755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32.087282257440755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69.367861497556959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>
        <f>FE170*VLOOKUP('Données projet'!$B$16,Paramètres!$A$1:$I$89,3,0)*VLOOKUP('Données projet'!$B$16,Paramètres!$A$1:$I$89,5,0)</f>
        <v>0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395.57130469647603</v>
      </c>
      <c r="FK170" s="59">
        <f t="shared" si="156"/>
        <v>383.97542781562674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30.438064273654891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30.438064273654891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69.367861497556959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>
        <f>FZ170*VLOOKUP('Données projet'!$B$17,Paramètres!$A$1:$I$89,3,0)*VLOOKUP('Données projet'!$B$17,Paramètres!$A$1:$I$89,5,0)</f>
        <v>0</v>
      </c>
      <c r="GB170" s="13" t="e">
        <f t="shared" si="185"/>
        <v>#NUM!</v>
      </c>
      <c r="GC170" s="20" t="e">
        <f t="shared" si="186"/>
        <v>#NUM!</v>
      </c>
      <c r="GD170" s="59" t="e">
        <f t="shared" si="134"/>
        <v>#NUM!</v>
      </c>
      <c r="GE170" s="59">
        <f ca="1">AVERAGE(OFFSET($GD$3,0,0,'Données projet'!$E$17+1,1))-AVERAGE(OFFSET($H$3,0,0,'Données projet'!$E$17+1,1))</f>
        <v>301.74744407733351</v>
      </c>
      <c r="GF170" s="59">
        <f t="shared" si="158"/>
        <v>292.46787700966991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15.80953334695495</v>
      </c>
      <c r="GM170" s="21">
        <f>EXP(-LN(2)/25)*GM169+(1-EXP(-LN(2)/25))/(LN(2)/25)*Calculateur!GH170*Calculateur!GJ170*VLOOKUP('Données projet'!$B$17,Paramètres!$A$1:$I$89,3,0)*0.475*44/12</f>
        <v>0</v>
      </c>
      <c r="GN170" s="21">
        <f>EXP(-LN(2)/2)*GN169+(1-EXP(-LN(2)/2))/(LN(2)/2)*GH170*GK170*VLOOKUP('Données projet'!$B$17,Paramètres!$A$1:$I$89,3,0)*0.475*44/12</f>
        <v>0</v>
      </c>
      <c r="GO170" s="21">
        <f t="shared" si="187"/>
        <v>15.80953334695495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69.367861497556959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-2.8421709430404007E-13</v>
      </c>
      <c r="GV170" s="17">
        <f>GU170*VLOOKUP('Données projet'!$B$18,Paramètres!$A$1:$I$89,3,0)*VLOOKUP('Données projet'!$B$18,Paramètres!$A$1:$I$89,5,0)</f>
        <v>-1.6848389350343495E-13</v>
      </c>
      <c r="GW170" s="13" t="e">
        <f t="shared" si="188"/>
        <v>#NUM!</v>
      </c>
      <c r="GX170" s="20" t="e">
        <f t="shared" si="189"/>
        <v>#NUM!</v>
      </c>
      <c r="GY170" s="59" t="e">
        <f t="shared" si="137"/>
        <v>#NUM!</v>
      </c>
      <c r="GZ170" s="59">
        <f ca="1">AVERAGE(OFFSET($GY$3,0,0,'Données projet'!$E$18+1,1))-AVERAGE(OFFSET($H$3,0,0,'Données projet'!$E$18+1,1))</f>
        <v>322.78672881269978</v>
      </c>
      <c r="HA170" s="59">
        <f t="shared" si="160"/>
        <v>313.08736327626434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25.365519098932765</v>
      </c>
      <c r="HH170" s="21">
        <f>EXP(-LN(2)/25)*HH169+(1-EXP(-LN(2)/25))/(LN(2)/25)*Calculateur!HC170*Calculateur!HE170*VLOOKUP('Données projet'!$B$18,Paramètres!$A$1:$I$89,3,0)*0.475*44/12</f>
        <v>0</v>
      </c>
      <c r="HI170" s="21">
        <f>EXP(-LN(2)/2)*HI169+(1-EXP(-LN(2)/2))/(LN(2)/2)*HC170*HF170*VLOOKUP('Données projet'!$B$18,Paramètres!$A$1:$I$89,3,0)*0.475*44/12</f>
        <v>0</v>
      </c>
      <c r="HJ170" s="22">
        <f t="shared" si="190"/>
        <v>25.365519098932765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2.3499999999999996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8.6166666666666654</v>
      </c>
      <c r="H171" s="67">
        <f t="shared" si="110"/>
        <v>222.20000000000002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69.378827687324389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5.6843418860808015E-14</v>
      </c>
      <c r="O171" s="13">
        <f>N171*VLOOKUP('Données projet'!$B$9,Paramètres!$A$1:$I$89,3,0)*VLOOKUP('Données projet'!$B$9,Paramètres!$A$1:$I$89,5,0)</f>
        <v>5.1431925385259088E-14</v>
      </c>
      <c r="P171" s="13">
        <f t="shared" si="141"/>
        <v>8.3482866290946129E-13</v>
      </c>
      <c r="Q171" s="20">
        <f t="shared" si="162"/>
        <v>1.5435705246133045E-12</v>
      </c>
      <c r="R171" s="59">
        <f t="shared" si="109"/>
        <v>291.05570152019095</v>
      </c>
      <c r="S171" s="59">
        <f ca="1">AVERAGE(OFFSET($R$3,0,0,'Données projet'!$E$9+1,1))-AVERAGE(OFFSET($H$3,0,0,'Données projet'!$E$9+1,1))</f>
        <v>473.88815717313474</v>
      </c>
      <c r="T171" s="59">
        <f t="shared" si="142"/>
        <v>287.19790203552895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72.250849991745469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72.250849991745469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69.378827687324389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5.6843418860808015E-14</v>
      </c>
      <c r="AJ171" s="13">
        <f>AI171*VLOOKUP('Données projet'!$B$10,Paramètres!$A$1:$I$89,3,0)*VLOOKUP('Données projet'!$B$10,Paramètres!$A$1:$I$89,5,0)</f>
        <v>4.7884896048344674E-14</v>
      </c>
      <c r="AK171" s="13">
        <f t="shared" si="164"/>
        <v>7.8374629847779921E-13</v>
      </c>
      <c r="AL171" s="20">
        <f t="shared" si="165"/>
        <v>1.4484243304663672E-12</v>
      </c>
      <c r="AM171" s="59">
        <f t="shared" si="113"/>
        <v>291.05570152019084</v>
      </c>
      <c r="AN171" s="59">
        <f ca="1">AVERAGE(OFFSET($AM$3,0,0,'Données projet'!$E$10+1,1))-AVERAGE(OFFSET($H$3,0,0,'Données projet'!$E$10+1,1))</f>
        <v>445.19118535527258</v>
      </c>
      <c r="AO171" s="59">
        <f t="shared" si="144"/>
        <v>270.93483242839363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67.268032750935475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67.268032750935475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69.378827687324389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5.6843418860808015E-14</v>
      </c>
      <c r="BE171" s="13">
        <f>BD171*VLOOKUP('Données projet'!$B$11,Paramètres!$A$1:$I$89,3,0)*VLOOKUP('Données projet'!$B$11,Paramètres!$A$1:$I$89,5,0)</f>
        <v>5.7639226724859328E-14</v>
      </c>
      <c r="BF171" s="13">
        <f t="shared" si="167"/>
        <v>9.2325701996134334E-13</v>
      </c>
      <c r="BG171" s="20">
        <f t="shared" si="168"/>
        <v>1.708394296311803E-12</v>
      </c>
      <c r="BH171" s="59">
        <f t="shared" si="116"/>
        <v>291.05570152019112</v>
      </c>
      <c r="BI171" s="59">
        <f ca="1">AVERAGE(OFFSET($BH$3,0,0,'Données projet'!$E$11+1,1))-AVERAGE(OFFSET($H$3,0,0,'Données projet'!$E$11+1,1))</f>
        <v>524.01140973345832</v>
      </c>
      <c r="BJ171" s="59">
        <f t="shared" si="146"/>
        <v>315.59942237999621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80.970780163163042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80.970780163163042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69.378827687324389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-2.8421709430404007E-13</v>
      </c>
      <c r="BZ171" s="13">
        <f>BY171*VLOOKUP('Données projet'!$B$12,Paramètres!$A$1:$I$89,3,0)*VLOOKUP('Données projet'!$B$12,Paramètres!$A$1:$I$89,5,0)</f>
        <v>-1.9065282685915009E-13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358.95222991910504</v>
      </c>
      <c r="CE171" s="59">
        <f t="shared" si="148"/>
        <v>347.37506646970905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24.857209672095681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24.857209672095681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69.378827687324389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-2.8421709430404007E-13</v>
      </c>
      <c r="CU171" s="17">
        <f>CT171*VLOOKUP('Données projet'!$B$13,Paramètres!$A$1:$I$89,3,0)*VLOOKUP('Données projet'!$B$13,Paramètres!$A$1:$I$89,5,0)</f>
        <v>-1.8621904018800707E-13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351.7266381615546</v>
      </c>
      <c r="CZ171" s="59">
        <f t="shared" si="150"/>
        <v>340.52483243761799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21.01859963890853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21.01859963890853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69.378827687324389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2.2737367544323206E-13</v>
      </c>
      <c r="DP171" s="17">
        <f>DO171*VLOOKUP('Données projet'!$B$14,Paramètres!$A$1:$I$89,3,0)*VLOOKUP('Données projet'!$B$14,Paramètres!$A$1:$I$89,5,0)</f>
        <v>1.9508661353029313E-13</v>
      </c>
      <c r="DQ171" s="13">
        <f t="shared" si="176"/>
        <v>2.711421636700695E-12</v>
      </c>
      <c r="DR171" s="20">
        <f t="shared" si="177"/>
        <v>5.0621685358189711E-12</v>
      </c>
      <c r="DS171" s="59">
        <f t="shared" si="125"/>
        <v>291.05570152019448</v>
      </c>
      <c r="DT171" s="59">
        <f ca="1">AVERAGE(OFFSET($DS$3,0,0,'Données projet'!$E$14+1,1))-AVERAGE(OFFSET($H$3,0,0,'Données projet'!$E$14+1,1))</f>
        <v>569.21675741362196</v>
      </c>
      <c r="DU171" s="59">
        <f t="shared" si="152"/>
        <v>321.12410801891679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103.69476636380878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103.69476636380878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69.378827687324389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-2.8421709430404007E-13</v>
      </c>
      <c r="EK171" s="17">
        <f>EJ171*VLOOKUP('Données projet'!$B$15,Paramètres!$A$1:$I$89,3,0)*VLOOKUP('Données projet'!$B$15,Paramètres!$A$1:$I$89,5,0)</f>
        <v>-2.2612312022829427E-13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416.63597645452791</v>
      </c>
      <c r="EP171" s="59">
        <f t="shared" si="154"/>
        <v>402.05920382353497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31.458070223682011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31.458070223682011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69.378827687324389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>
        <f>FE171*VLOOKUP('Données projet'!$B$16,Paramètres!$A$1:$I$89,3,0)*VLOOKUP('Données projet'!$B$16,Paramètres!$A$1:$I$89,5,0)</f>
        <v>0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395.57130469647603</v>
      </c>
      <c r="FK171" s="59">
        <f t="shared" si="156"/>
        <v>383.97542781562674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29.841192398634547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29.841192398634547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69.378827687324389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>
        <f>FZ171*VLOOKUP('Données projet'!$B$17,Paramètres!$A$1:$I$89,3,0)*VLOOKUP('Données projet'!$B$17,Paramètres!$A$1:$I$89,5,0)</f>
        <v>0</v>
      </c>
      <c r="GB171" s="13" t="e">
        <f t="shared" si="185"/>
        <v>#NUM!</v>
      </c>
      <c r="GC171" s="20" t="e">
        <f t="shared" si="186"/>
        <v>#NUM!</v>
      </c>
      <c r="GD171" s="59" t="e">
        <f t="shared" si="134"/>
        <v>#NUM!</v>
      </c>
      <c r="GE171" s="59">
        <f ca="1">AVERAGE(OFFSET($GD$3,0,0,'Données projet'!$E$17+1,1))-AVERAGE(OFFSET($H$3,0,0,'Données projet'!$E$17+1,1))</f>
        <v>301.74744407733351</v>
      </c>
      <c r="GF171" s="59">
        <f t="shared" si="158"/>
        <v>292.46787700966991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15.499518040884352</v>
      </c>
      <c r="GM171" s="21">
        <f>EXP(-LN(2)/25)*GM170+(1-EXP(-LN(2)/25))/(LN(2)/25)*Calculateur!GH171*Calculateur!GJ171*VLOOKUP('Données projet'!$B$17,Paramètres!$A$1:$I$89,3,0)*0.475*44/12</f>
        <v>0</v>
      </c>
      <c r="GN171" s="21">
        <f>EXP(-LN(2)/2)*GN170+(1-EXP(-LN(2)/2))/(LN(2)/2)*GH171*GK171*VLOOKUP('Données projet'!$B$17,Paramètres!$A$1:$I$89,3,0)*0.475*44/12</f>
        <v>0</v>
      </c>
      <c r="GO171" s="21">
        <f t="shared" si="187"/>
        <v>15.499518040884352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69.378827687324389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-2.8421709430404007E-13</v>
      </c>
      <c r="GV171" s="17">
        <f>GU171*VLOOKUP('Données projet'!$B$18,Paramètres!$A$1:$I$89,3,0)*VLOOKUP('Données projet'!$B$18,Paramètres!$A$1:$I$89,5,0)</f>
        <v>-1.6848389350343495E-13</v>
      </c>
      <c r="GW171" s="13" t="e">
        <f t="shared" si="188"/>
        <v>#NUM!</v>
      </c>
      <c r="GX171" s="20" t="e">
        <f t="shared" si="189"/>
        <v>#NUM!</v>
      </c>
      <c r="GY171" s="59" t="e">
        <f t="shared" si="137"/>
        <v>#NUM!</v>
      </c>
      <c r="GZ171" s="59">
        <f ca="1">AVERAGE(OFFSET($GY$3,0,0,'Données projet'!$E$18+1,1))-AVERAGE(OFFSET($H$3,0,0,'Données projet'!$E$18+1,1))</f>
        <v>322.78672881269978</v>
      </c>
      <c r="HA171" s="59">
        <f t="shared" si="160"/>
        <v>313.08736327626434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24.868116740841668</v>
      </c>
      <c r="HH171" s="21">
        <f>EXP(-LN(2)/25)*HH170+(1-EXP(-LN(2)/25))/(LN(2)/25)*Calculateur!HC171*Calculateur!HE171*VLOOKUP('Données projet'!$B$18,Paramètres!$A$1:$I$89,3,0)*0.475*44/12</f>
        <v>0</v>
      </c>
      <c r="HI171" s="21">
        <f>EXP(-LN(2)/2)*HI170+(1-EXP(-LN(2)/2))/(LN(2)/2)*HC171*HF171*VLOOKUP('Données projet'!$B$18,Paramètres!$A$1:$I$89,3,0)*0.475*44/12</f>
        <v>0</v>
      </c>
      <c r="HJ171" s="22">
        <f t="shared" si="190"/>
        <v>24.868116740841668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2.3499999999999996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8.6166666666666654</v>
      </c>
      <c r="H172" s="67">
        <f t="shared" si="110"/>
        <v>222.20000000000002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69.389603638216073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5.6843418860808015E-14</v>
      </c>
      <c r="O172" s="13">
        <f>N172*VLOOKUP('Données projet'!$B$9,Paramètres!$A$1:$I$89,3,0)*VLOOKUP('Données projet'!$B$9,Paramètres!$A$1:$I$89,5,0)</f>
        <v>5.1431925385259088E-14</v>
      </c>
      <c r="P172" s="13">
        <f t="shared" si="141"/>
        <v>8.3482866290946129E-13</v>
      </c>
      <c r="Q172" s="20">
        <f t="shared" si="162"/>
        <v>1.5435705246133045E-12</v>
      </c>
      <c r="R172" s="59">
        <f t="shared" si="109"/>
        <v>291.09521334012715</v>
      </c>
      <c r="S172" s="59">
        <f ca="1">AVERAGE(OFFSET($R$3,0,0,'Données projet'!$E$9+1,1))-AVERAGE(OFFSET($H$3,0,0,'Données projet'!$E$9+1,1))</f>
        <v>473.88815717313474</v>
      </c>
      <c r="T172" s="59">
        <f t="shared" si="142"/>
        <v>287.19790203552895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70.83405489207442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70.83405489207442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69.389603638216073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5.6843418860808015E-14</v>
      </c>
      <c r="AJ172" s="13">
        <f>AI172*VLOOKUP('Données projet'!$B$10,Paramètres!$A$1:$I$89,3,0)*VLOOKUP('Données projet'!$B$10,Paramètres!$A$1:$I$89,5,0)</f>
        <v>4.7884896048344674E-14</v>
      </c>
      <c r="AK172" s="13">
        <f t="shared" si="164"/>
        <v>7.8374629847779921E-13</v>
      </c>
      <c r="AL172" s="20">
        <f t="shared" si="165"/>
        <v>1.4484243304663672E-12</v>
      </c>
      <c r="AM172" s="59">
        <f t="shared" si="113"/>
        <v>291.09521334012703</v>
      </c>
      <c r="AN172" s="59">
        <f ca="1">AVERAGE(OFFSET($AM$3,0,0,'Données projet'!$E$10+1,1))-AVERAGE(OFFSET($H$3,0,0,'Données projet'!$E$10+1,1))</f>
        <v>445.19118535527258</v>
      </c>
      <c r="AO172" s="59">
        <f t="shared" si="144"/>
        <v>270.93483242839363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65.94894765813828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65.94894765813828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69.389603638216073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5.6843418860808015E-14</v>
      </c>
      <c r="BE172" s="13">
        <f>BD172*VLOOKUP('Données projet'!$B$11,Paramètres!$A$1:$I$89,3,0)*VLOOKUP('Données projet'!$B$11,Paramètres!$A$1:$I$89,5,0)</f>
        <v>5.7639226724859328E-14</v>
      </c>
      <c r="BF172" s="13">
        <f t="shared" si="167"/>
        <v>9.2325701996134334E-13</v>
      </c>
      <c r="BG172" s="20">
        <f t="shared" si="168"/>
        <v>1.708394296311803E-12</v>
      </c>
      <c r="BH172" s="59">
        <f t="shared" si="116"/>
        <v>291.09521334012732</v>
      </c>
      <c r="BI172" s="59">
        <f ca="1">AVERAGE(OFFSET($BH$3,0,0,'Données projet'!$E$11+1,1))-AVERAGE(OFFSET($H$3,0,0,'Données projet'!$E$11+1,1))</f>
        <v>524.01140973345832</v>
      </c>
      <c r="BJ172" s="59">
        <f t="shared" si="146"/>
        <v>315.59942237999621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79.382992551462721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79.382992551462721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69.389603638216073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-2.8421709430404007E-13</v>
      </c>
      <c r="BZ172" s="13">
        <f>BY172*VLOOKUP('Données projet'!$B$12,Paramètres!$A$1:$I$89,3,0)*VLOOKUP('Données projet'!$B$12,Paramètres!$A$1:$I$89,5,0)</f>
        <v>-1.9065282685915009E-13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358.95222991910504</v>
      </c>
      <c r="CE172" s="59">
        <f t="shared" si="148"/>
        <v>347.37506646970905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24.36977495182672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24.36977495182672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69.389603638216073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-2.8421709430404007E-13</v>
      </c>
      <c r="CU172" s="17">
        <f>CT172*VLOOKUP('Données projet'!$B$13,Paramètres!$A$1:$I$89,3,0)*VLOOKUP('Données projet'!$B$13,Paramètres!$A$1:$I$89,5,0)</f>
        <v>-1.8621904018800707E-13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351.7266381615546</v>
      </c>
      <c r="CZ172" s="59">
        <f t="shared" si="150"/>
        <v>340.52483243761799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20.606437720069437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20.606437720069437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69.389603638216073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2.2737367544323206E-13</v>
      </c>
      <c r="DP172" s="17">
        <f>DO172*VLOOKUP('Données projet'!$B$14,Paramètres!$A$1:$I$89,3,0)*VLOOKUP('Données projet'!$B$14,Paramètres!$A$1:$I$89,5,0)</f>
        <v>1.9508661353029313E-13</v>
      </c>
      <c r="DQ172" s="13">
        <f t="shared" si="176"/>
        <v>2.711421636700695E-12</v>
      </c>
      <c r="DR172" s="20">
        <f t="shared" si="177"/>
        <v>5.0621685358189711E-12</v>
      </c>
      <c r="DS172" s="59">
        <f t="shared" si="125"/>
        <v>291.09521334013067</v>
      </c>
      <c r="DT172" s="59">
        <f ca="1">AVERAGE(OFFSET($DS$3,0,0,'Données projet'!$E$14+1,1))-AVERAGE(OFFSET($H$3,0,0,'Données projet'!$E$14+1,1))</f>
        <v>569.21675741362196</v>
      </c>
      <c r="DU172" s="59">
        <f t="shared" si="152"/>
        <v>321.12410801891679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101.66137524297679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101.66137524297679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69.389603638216073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-2.8421709430404007E-13</v>
      </c>
      <c r="EK172" s="17">
        <f>EJ172*VLOOKUP('Données projet'!$B$15,Paramètres!$A$1:$I$89,3,0)*VLOOKUP('Données projet'!$B$15,Paramètres!$A$1:$I$89,5,0)</f>
        <v>-2.2612312022829427E-13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416.63597645452791</v>
      </c>
      <c r="EP172" s="59">
        <f t="shared" si="154"/>
        <v>402.05920382353497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30.841196654123831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30.841196654123831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69.389603638216073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>
        <f>FE172*VLOOKUP('Données projet'!$B$16,Paramètres!$A$1:$I$89,3,0)*VLOOKUP('Données projet'!$B$16,Paramètres!$A$1:$I$89,5,0)</f>
        <v>0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395.57130469647603</v>
      </c>
      <c r="FK172" s="59">
        <f t="shared" si="156"/>
        <v>383.97542781562674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29.256024817027455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29.256024817027455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69.389603638216073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>
        <f>FZ172*VLOOKUP('Données projet'!$B$17,Paramètres!$A$1:$I$89,3,0)*VLOOKUP('Données projet'!$B$17,Paramètres!$A$1:$I$89,5,0)</f>
        <v>0</v>
      </c>
      <c r="GB172" s="13" t="e">
        <f t="shared" si="185"/>
        <v>#NUM!</v>
      </c>
      <c r="GC172" s="20" t="e">
        <f t="shared" si="186"/>
        <v>#NUM!</v>
      </c>
      <c r="GD172" s="59" t="e">
        <f t="shared" si="134"/>
        <v>#NUM!</v>
      </c>
      <c r="GE172" s="59">
        <f ca="1">AVERAGE(OFFSET($GD$3,0,0,'Données projet'!$E$17+1,1))-AVERAGE(OFFSET($H$3,0,0,'Données projet'!$E$17+1,1))</f>
        <v>301.74744407733351</v>
      </c>
      <c r="GF172" s="59">
        <f t="shared" si="158"/>
        <v>292.46787700966991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15.195581945875132</v>
      </c>
      <c r="GM172" s="21">
        <f>EXP(-LN(2)/25)*GM171+(1-EXP(-LN(2)/25))/(LN(2)/25)*Calculateur!GH172*Calculateur!GJ172*VLOOKUP('Données projet'!$B$17,Paramètres!$A$1:$I$89,3,0)*0.475*44/12</f>
        <v>0</v>
      </c>
      <c r="GN172" s="21">
        <f>EXP(-LN(2)/2)*GN171+(1-EXP(-LN(2)/2))/(LN(2)/2)*GH172*GK172*VLOOKUP('Données projet'!$B$17,Paramètres!$A$1:$I$89,3,0)*0.475*44/12</f>
        <v>0</v>
      </c>
      <c r="GO172" s="21">
        <f t="shared" si="187"/>
        <v>15.195581945875132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69.389603638216073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-2.8421709430404007E-13</v>
      </c>
      <c r="GV172" s="17">
        <f>GU172*VLOOKUP('Données projet'!$B$18,Paramètres!$A$1:$I$89,3,0)*VLOOKUP('Données projet'!$B$18,Paramètres!$A$1:$I$89,5,0)</f>
        <v>-1.6848389350343495E-13</v>
      </c>
      <c r="GW172" s="13" t="e">
        <f t="shared" si="188"/>
        <v>#NUM!</v>
      </c>
      <c r="GX172" s="20" t="e">
        <f t="shared" si="189"/>
        <v>#NUM!</v>
      </c>
      <c r="GY172" s="59" t="e">
        <f t="shared" si="137"/>
        <v>#NUM!</v>
      </c>
      <c r="GZ172" s="59">
        <f ca="1">AVERAGE(OFFSET($GY$3,0,0,'Données projet'!$E$18+1,1))-AVERAGE(OFFSET($H$3,0,0,'Données projet'!$E$18+1,1))</f>
        <v>322.78672881269978</v>
      </c>
      <c r="HA172" s="59">
        <f t="shared" si="160"/>
        <v>313.08736327626434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24.380468139607252</v>
      </c>
      <c r="HH172" s="21">
        <f>EXP(-LN(2)/25)*HH171+(1-EXP(-LN(2)/25))/(LN(2)/25)*Calculateur!HC172*Calculateur!HE172*VLOOKUP('Données projet'!$B$18,Paramètres!$A$1:$I$89,3,0)*0.475*44/12</f>
        <v>0</v>
      </c>
      <c r="HI172" s="21">
        <f>EXP(-LN(2)/2)*HI171+(1-EXP(-LN(2)/2))/(LN(2)/2)*HC172*HF172*VLOOKUP('Données projet'!$B$18,Paramètres!$A$1:$I$89,3,0)*0.475*44/12</f>
        <v>0</v>
      </c>
      <c r="HJ172" s="22">
        <f t="shared" si="190"/>
        <v>24.380468139607252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2.3499999999999996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8.6166666666666654</v>
      </c>
      <c r="H173" s="67">
        <f t="shared" si="110"/>
        <v>222.20000000000002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69.400192650451189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5.6843418860808015E-14</v>
      </c>
      <c r="O173" s="13">
        <f>N173*VLOOKUP('Données projet'!$B$9,Paramètres!$A$1:$I$89,3,0)*VLOOKUP('Données projet'!$B$9,Paramètres!$A$1:$I$89,5,0)</f>
        <v>5.1431925385259088E-14</v>
      </c>
      <c r="P173" s="13">
        <f t="shared" si="141"/>
        <v>8.3482866290946129E-13</v>
      </c>
      <c r="Q173" s="20">
        <f t="shared" si="162"/>
        <v>1.5435705246133045E-12</v>
      </c>
      <c r="R173" s="59">
        <f t="shared" si="109"/>
        <v>291.13403971832258</v>
      </c>
      <c r="S173" s="59">
        <f ca="1">AVERAGE(OFFSET($R$3,0,0,'Données projet'!$E$9+1,1))-AVERAGE(OFFSET($H$3,0,0,'Données projet'!$E$9+1,1))</f>
        <v>473.88815717313474</v>
      </c>
      <c r="T173" s="59">
        <f t="shared" si="142"/>
        <v>287.19790203552895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69.445042280148229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69.445042280148229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69.400192650451189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5.6843418860808015E-14</v>
      </c>
      <c r="AJ173" s="13">
        <f>AI173*VLOOKUP('Données projet'!$B$10,Paramètres!$A$1:$I$89,3,0)*VLOOKUP('Données projet'!$B$10,Paramètres!$A$1:$I$89,5,0)</f>
        <v>4.7884896048344674E-14</v>
      </c>
      <c r="AK173" s="13">
        <f t="shared" si="164"/>
        <v>7.8374629847779921E-13</v>
      </c>
      <c r="AL173" s="20">
        <f t="shared" si="165"/>
        <v>1.4484243304663672E-12</v>
      </c>
      <c r="AM173" s="59">
        <f t="shared" si="113"/>
        <v>291.13403971832247</v>
      </c>
      <c r="AN173" s="59">
        <f ca="1">AVERAGE(OFFSET($AM$3,0,0,'Données projet'!$E$10+1,1))-AVERAGE(OFFSET($H$3,0,0,'Données projet'!$E$10+1,1))</f>
        <v>445.19118535527258</v>
      </c>
      <c r="AO173" s="59">
        <f t="shared" si="144"/>
        <v>270.93483242839363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64.655729019448387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64.655729019448387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69.400192650451189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5.6843418860808015E-14</v>
      </c>
      <c r="BE173" s="13">
        <f>BD173*VLOOKUP('Données projet'!$B$11,Paramètres!$A$1:$I$89,3,0)*VLOOKUP('Données projet'!$B$11,Paramètres!$A$1:$I$89,5,0)</f>
        <v>5.7639226724859328E-14</v>
      </c>
      <c r="BF173" s="13">
        <f t="shared" si="167"/>
        <v>9.2325701996134334E-13</v>
      </c>
      <c r="BG173" s="20">
        <f t="shared" si="168"/>
        <v>1.708394296311803E-12</v>
      </c>
      <c r="BH173" s="59">
        <f t="shared" si="116"/>
        <v>291.13403971832275</v>
      </c>
      <c r="BI173" s="59">
        <f ca="1">AVERAGE(OFFSET($BH$3,0,0,'Données projet'!$E$11+1,1))-AVERAGE(OFFSET($H$3,0,0,'Données projet'!$E$11+1,1))</f>
        <v>524.01140973345832</v>
      </c>
      <c r="BJ173" s="59">
        <f t="shared" si="146"/>
        <v>315.59942237999621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77.826340486373027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77.826340486373027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69.400192650451189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-2.8421709430404007E-13</v>
      </c>
      <c r="BZ173" s="13">
        <f>BY173*VLOOKUP('Données projet'!$B$12,Paramètres!$A$1:$I$89,3,0)*VLOOKUP('Données projet'!$B$12,Paramètres!$A$1:$I$89,5,0)</f>
        <v>-1.9065282685915009E-13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358.95222991910504</v>
      </c>
      <c r="CE173" s="59">
        <f t="shared" si="148"/>
        <v>347.37506646970905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23.891898529116411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23.891898529116411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69.400192650451189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-2.8421709430404007E-13</v>
      </c>
      <c r="CU173" s="17">
        <f>CT173*VLOOKUP('Données projet'!$B$13,Paramètres!$A$1:$I$89,3,0)*VLOOKUP('Données projet'!$B$13,Paramètres!$A$1:$I$89,5,0)</f>
        <v>-1.8621904018800707E-13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351.7266381615546</v>
      </c>
      <c r="CZ173" s="59">
        <f t="shared" si="150"/>
        <v>340.52483243761799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20.20235804506483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20.20235804506483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69.400192650451189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2.2737367544323206E-13</v>
      </c>
      <c r="DP173" s="17">
        <f>DO173*VLOOKUP('Données projet'!$B$14,Paramètres!$A$1:$I$89,3,0)*VLOOKUP('Données projet'!$B$14,Paramètres!$A$1:$I$89,5,0)</f>
        <v>1.9508661353029313E-13</v>
      </c>
      <c r="DQ173" s="13">
        <f t="shared" si="176"/>
        <v>2.711421636700695E-12</v>
      </c>
      <c r="DR173" s="20">
        <f t="shared" si="177"/>
        <v>5.0621685358189711E-12</v>
      </c>
      <c r="DS173" s="59">
        <f t="shared" si="125"/>
        <v>291.13403971832611</v>
      </c>
      <c r="DT173" s="59">
        <f ca="1">AVERAGE(OFFSET($DS$3,0,0,'Données projet'!$E$14+1,1))-AVERAGE(OFFSET($H$3,0,0,'Données projet'!$E$14+1,1))</f>
        <v>569.21675741362196</v>
      </c>
      <c r="DU173" s="59">
        <f t="shared" si="152"/>
        <v>321.12410801891679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99.667857681778202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99.667857681778202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69.400192650451189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-2.8421709430404007E-13</v>
      </c>
      <c r="EK173" s="17">
        <f>EJ173*VLOOKUP('Données projet'!$B$15,Paramètres!$A$1:$I$89,3,0)*VLOOKUP('Données projet'!$B$15,Paramètres!$A$1:$I$89,5,0)</f>
        <v>-2.2612312022829427E-13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416.63597645452791</v>
      </c>
      <c r="EP173" s="59">
        <f t="shared" si="154"/>
        <v>402.05920382353497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30.236419599008961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30.236419599008961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69.400192650451189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>
        <f>FE173*VLOOKUP('Données projet'!$B$16,Paramètres!$A$1:$I$89,3,0)*VLOOKUP('Données projet'!$B$16,Paramètres!$A$1:$I$89,5,0)</f>
        <v>0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395.57130469647603</v>
      </c>
      <c r="FK173" s="59">
        <f t="shared" si="156"/>
        <v>383.97542781562674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28.682332014778694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28.682332014778694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69.400192650451189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>
        <f>FZ173*VLOOKUP('Données projet'!$B$17,Paramètres!$A$1:$I$89,3,0)*VLOOKUP('Données projet'!$B$17,Paramètres!$A$1:$I$89,5,0)</f>
        <v>0</v>
      </c>
      <c r="GB173" s="13" t="e">
        <f t="shared" si="185"/>
        <v>#NUM!</v>
      </c>
      <c r="GC173" s="20" t="e">
        <f t="shared" si="186"/>
        <v>#NUM!</v>
      </c>
      <c r="GD173" s="59" t="e">
        <f t="shared" si="134"/>
        <v>#NUM!</v>
      </c>
      <c r="GE173" s="59">
        <f ca="1">AVERAGE(OFFSET($GD$3,0,0,'Données projet'!$E$17+1,1))-AVERAGE(OFFSET($H$3,0,0,'Données projet'!$E$17+1,1))</f>
        <v>301.74744407733351</v>
      </c>
      <c r="GF173" s="59">
        <f t="shared" si="158"/>
        <v>292.46787700966991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14.897605852306331</v>
      </c>
      <c r="GM173" s="21">
        <f>EXP(-LN(2)/25)*GM172+(1-EXP(-LN(2)/25))/(LN(2)/25)*Calculateur!GH173*Calculateur!GJ173*VLOOKUP('Données projet'!$B$17,Paramètres!$A$1:$I$89,3,0)*0.475*44/12</f>
        <v>0</v>
      </c>
      <c r="GN173" s="21">
        <f>EXP(-LN(2)/2)*GN172+(1-EXP(-LN(2)/2))/(LN(2)/2)*GH173*GK173*VLOOKUP('Données projet'!$B$17,Paramètres!$A$1:$I$89,3,0)*0.475*44/12</f>
        <v>0</v>
      </c>
      <c r="GO173" s="21">
        <f t="shared" si="187"/>
        <v>14.897605852306331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69.400192650451189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-2.8421709430404007E-13</v>
      </c>
      <c r="GV173" s="17">
        <f>GU173*VLOOKUP('Données projet'!$B$18,Paramètres!$A$1:$I$89,3,0)*VLOOKUP('Données projet'!$B$18,Paramètres!$A$1:$I$89,5,0)</f>
        <v>-1.6848389350343495E-13</v>
      </c>
      <c r="GW173" s="13" t="e">
        <f t="shared" si="188"/>
        <v>#NUM!</v>
      </c>
      <c r="GX173" s="20" t="e">
        <f t="shared" si="189"/>
        <v>#NUM!</v>
      </c>
      <c r="GY173" s="59" t="e">
        <f t="shared" si="137"/>
        <v>#NUM!</v>
      </c>
      <c r="GZ173" s="59">
        <f ca="1">AVERAGE(OFFSET($GY$3,0,0,'Données projet'!$E$18+1,1))-AVERAGE(OFFSET($H$3,0,0,'Données projet'!$E$18+1,1))</f>
        <v>322.78672881269978</v>
      </c>
      <c r="HA173" s="59">
        <f t="shared" si="160"/>
        <v>313.08736327626434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23.902382030006766</v>
      </c>
      <c r="HH173" s="21">
        <f>EXP(-LN(2)/25)*HH172+(1-EXP(-LN(2)/25))/(LN(2)/25)*Calculateur!HC173*Calculateur!HE173*VLOOKUP('Données projet'!$B$18,Paramètres!$A$1:$I$89,3,0)*0.475*44/12</f>
        <v>0</v>
      </c>
      <c r="HI173" s="21">
        <f>EXP(-LN(2)/2)*HI172+(1-EXP(-LN(2)/2))/(LN(2)/2)*HC173*HF173*VLOOKUP('Données projet'!$B$18,Paramètres!$A$1:$I$89,3,0)*0.475*44/12</f>
        <v>0</v>
      </c>
      <c r="HJ173" s="22">
        <f t="shared" si="190"/>
        <v>23.902382030006766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2.3499999999999996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8.6166666666666654</v>
      </c>
      <c r="H174" s="67">
        <f t="shared" si="110"/>
        <v>222.20000000000002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69.410597966997514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5.6843418860808015E-14</v>
      </c>
      <c r="O174" s="13">
        <f>N174*VLOOKUP('Données projet'!$B$9,Paramètres!$A$1:$I$89,3,0)*VLOOKUP('Données projet'!$B$9,Paramètres!$A$1:$I$89,5,0)</f>
        <v>5.1431925385259088E-14</v>
      </c>
      <c r="P174" s="13">
        <f t="shared" si="141"/>
        <v>8.3482866290946129E-13</v>
      </c>
      <c r="Q174" s="20">
        <f t="shared" si="162"/>
        <v>1.5435705246133045E-12</v>
      </c>
      <c r="R174" s="59">
        <f t="shared" si="109"/>
        <v>291.17219254565907</v>
      </c>
      <c r="S174" s="59">
        <f ca="1">AVERAGE(OFFSET($R$3,0,0,'Données projet'!$E$9+1,1))-AVERAGE(OFFSET($H$3,0,0,'Données projet'!$E$9+1,1))</f>
        <v>473.88815717313474</v>
      </c>
      <c r="T174" s="59">
        <f t="shared" si="142"/>
        <v>287.19790203552895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68.083267358327873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68.083267358327873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69.410597966997514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5.6843418860808015E-14</v>
      </c>
      <c r="AJ174" s="13">
        <f>AI174*VLOOKUP('Données projet'!$B$10,Paramètres!$A$1:$I$89,3,0)*VLOOKUP('Données projet'!$B$10,Paramètres!$A$1:$I$89,5,0)</f>
        <v>4.7884896048344674E-14</v>
      </c>
      <c r="AK174" s="13">
        <f t="shared" si="164"/>
        <v>7.8374629847779921E-13</v>
      </c>
      <c r="AL174" s="20">
        <f t="shared" si="165"/>
        <v>1.4484243304663672E-12</v>
      </c>
      <c r="AM174" s="59">
        <f t="shared" si="113"/>
        <v>291.17219254565896</v>
      </c>
      <c r="AN174" s="59">
        <f ca="1">AVERAGE(OFFSET($AM$3,0,0,'Données projet'!$E$10+1,1))-AVERAGE(OFFSET($H$3,0,0,'Données projet'!$E$10+1,1))</f>
        <v>445.19118535527258</v>
      </c>
      <c r="AO174" s="59">
        <f t="shared" si="144"/>
        <v>270.93483242839363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63.387869609477711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63.387869609477711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69.410597966997514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5.6843418860808015E-14</v>
      </c>
      <c r="BE174" s="13">
        <f>BD174*VLOOKUP('Données projet'!$B$11,Paramètres!$A$1:$I$89,3,0)*VLOOKUP('Données projet'!$B$11,Paramètres!$A$1:$I$89,5,0)</f>
        <v>5.7639226724859328E-14</v>
      </c>
      <c r="BF174" s="13">
        <f t="shared" si="167"/>
        <v>9.2325701996134334E-13</v>
      </c>
      <c r="BG174" s="20">
        <f t="shared" si="168"/>
        <v>1.708394296311803E-12</v>
      </c>
      <c r="BH174" s="59">
        <f t="shared" si="116"/>
        <v>291.17219254565924</v>
      </c>
      <c r="BI174" s="59">
        <f ca="1">AVERAGE(OFFSET($BH$3,0,0,'Données projet'!$E$11+1,1))-AVERAGE(OFFSET($H$3,0,0,'Données projet'!$E$11+1,1))</f>
        <v>524.01140973345832</v>
      </c>
      <c r="BJ174" s="59">
        <f t="shared" si="146"/>
        <v>315.59942237999621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76.30021341881573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76.30021341881573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69.410597966997514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-2.8421709430404007E-13</v>
      </c>
      <c r="BZ174" s="13">
        <f>BY174*VLOOKUP('Données projet'!$B$12,Paramètres!$A$1:$I$89,3,0)*VLOOKUP('Données projet'!$B$12,Paramètres!$A$1:$I$89,5,0)</f>
        <v>-1.9065282685915009E-13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358.95222991910504</v>
      </c>
      <c r="CE174" s="59">
        <f t="shared" si="148"/>
        <v>347.37506646970905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23.423392971579613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23.423392971579613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69.410597966997514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-2.8421709430404007E-13</v>
      </c>
      <c r="CU174" s="17">
        <f>CT174*VLOOKUP('Données projet'!$B$13,Paramètres!$A$1:$I$89,3,0)*VLOOKUP('Données projet'!$B$13,Paramètres!$A$1:$I$89,5,0)</f>
        <v>-1.8621904018800707E-13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351.7266381615546</v>
      </c>
      <c r="CZ174" s="59">
        <f t="shared" si="150"/>
        <v>340.52483243761799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19.806202126022797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19.806202126022797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69.410597966997514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2.2737367544323206E-13</v>
      </c>
      <c r="DP174" s="17">
        <f>DO174*VLOOKUP('Données projet'!$B$14,Paramètres!$A$1:$I$89,3,0)*VLOOKUP('Données projet'!$B$14,Paramètres!$A$1:$I$89,5,0)</f>
        <v>1.9508661353029313E-13</v>
      </c>
      <c r="DQ174" s="13">
        <f t="shared" si="176"/>
        <v>2.711421636700695E-12</v>
      </c>
      <c r="DR174" s="20">
        <f t="shared" si="177"/>
        <v>5.0621685358189711E-12</v>
      </c>
      <c r="DS174" s="59">
        <f t="shared" si="125"/>
        <v>291.1721925456626</v>
      </c>
      <c r="DT174" s="59">
        <f ca="1">AVERAGE(OFFSET($DS$3,0,0,'Données projet'!$E$14+1,1))-AVERAGE(OFFSET($H$3,0,0,'Données projet'!$E$14+1,1))</f>
        <v>569.21675741362196</v>
      </c>
      <c r="DU174" s="59">
        <f t="shared" si="152"/>
        <v>321.12410801891679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97.713431784029069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97.713431784029069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69.410597966997514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-2.8421709430404007E-13</v>
      </c>
      <c r="EK174" s="17">
        <f>EJ174*VLOOKUP('Données projet'!$B$15,Paramètres!$A$1:$I$89,3,0)*VLOOKUP('Données projet'!$B$15,Paramètres!$A$1:$I$89,5,0)</f>
        <v>-2.2612312022829427E-13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416.63597645452791</v>
      </c>
      <c r="EP174" s="59">
        <f t="shared" si="154"/>
        <v>402.05920382353497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29.643501853067317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29.643501853067317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69.410597966997514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>
        <f>FE174*VLOOKUP('Données projet'!$B$16,Paramètres!$A$1:$I$89,3,0)*VLOOKUP('Données projet'!$B$16,Paramètres!$A$1:$I$89,5,0)</f>
        <v>0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395.57130469647603</v>
      </c>
      <c r="FK174" s="59">
        <f t="shared" si="156"/>
        <v>383.97542781562674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28.119888978463976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28.119888978463976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69.410597966997514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>
        <f>FZ174*VLOOKUP('Données projet'!$B$17,Paramètres!$A$1:$I$89,3,0)*VLOOKUP('Données projet'!$B$17,Paramètres!$A$1:$I$89,5,0)</f>
        <v>0</v>
      </c>
      <c r="GB174" s="13" t="e">
        <f t="shared" si="185"/>
        <v>#NUM!</v>
      </c>
      <c r="GC174" s="20" t="e">
        <f t="shared" si="186"/>
        <v>#NUM!</v>
      </c>
      <c r="GD174" s="59" t="e">
        <f t="shared" si="134"/>
        <v>#NUM!</v>
      </c>
      <c r="GE174" s="59">
        <f ca="1">AVERAGE(OFFSET($GD$3,0,0,'Données projet'!$E$17+1,1))-AVERAGE(OFFSET($H$3,0,0,'Données projet'!$E$17+1,1))</f>
        <v>301.74744407733351</v>
      </c>
      <c r="GF174" s="59">
        <f t="shared" si="158"/>
        <v>292.46787700966991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14.605472888184941</v>
      </c>
      <c r="GM174" s="21">
        <f>EXP(-LN(2)/25)*GM173+(1-EXP(-LN(2)/25))/(LN(2)/25)*Calculateur!GH174*Calculateur!GJ174*VLOOKUP('Données projet'!$B$17,Paramètres!$A$1:$I$89,3,0)*0.475*44/12</f>
        <v>0</v>
      </c>
      <c r="GN174" s="21">
        <f>EXP(-LN(2)/2)*GN173+(1-EXP(-LN(2)/2))/(LN(2)/2)*GH174*GK174*VLOOKUP('Données projet'!$B$17,Paramètres!$A$1:$I$89,3,0)*0.475*44/12</f>
        <v>0</v>
      </c>
      <c r="GO174" s="21">
        <f t="shared" si="187"/>
        <v>14.605472888184941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69.410597966997514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-2.8421709430404007E-13</v>
      </c>
      <c r="GV174" s="17">
        <f>GU174*VLOOKUP('Données projet'!$B$18,Paramètres!$A$1:$I$89,3,0)*VLOOKUP('Données projet'!$B$18,Paramètres!$A$1:$I$89,5,0)</f>
        <v>-1.6848389350343495E-13</v>
      </c>
      <c r="GW174" s="13" t="e">
        <f t="shared" si="188"/>
        <v>#NUM!</v>
      </c>
      <c r="GX174" s="20" t="e">
        <f t="shared" si="189"/>
        <v>#NUM!</v>
      </c>
      <c r="GY174" s="59" t="e">
        <f t="shared" si="137"/>
        <v>#NUM!</v>
      </c>
      <c r="GZ174" s="59">
        <f ca="1">AVERAGE(OFFSET($GY$3,0,0,'Données projet'!$E$18+1,1))-AVERAGE(OFFSET($H$3,0,0,'Données projet'!$E$18+1,1))</f>
        <v>322.78672881269978</v>
      </c>
      <c r="HA174" s="59">
        <f t="shared" si="160"/>
        <v>313.08736327626434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23.433670897411815</v>
      </c>
      <c r="HH174" s="21">
        <f>EXP(-LN(2)/25)*HH173+(1-EXP(-LN(2)/25))/(LN(2)/25)*Calculateur!HC174*Calculateur!HE174*VLOOKUP('Données projet'!$B$18,Paramètres!$A$1:$I$89,3,0)*0.475*44/12</f>
        <v>0</v>
      </c>
      <c r="HI174" s="21">
        <f>EXP(-LN(2)/2)*HI173+(1-EXP(-LN(2)/2))/(LN(2)/2)*HC174*HF174*VLOOKUP('Données projet'!$B$18,Paramètres!$A$1:$I$89,3,0)*0.475*44/12</f>
        <v>0</v>
      </c>
      <c r="HJ174" s="22">
        <f t="shared" si="190"/>
        <v>23.433670897411815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2.3499999999999996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8.6166666666666654</v>
      </c>
      <c r="H175" s="67">
        <f t="shared" si="110"/>
        <v>222.20000000000002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69.42082277456457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5.6843418860808015E-14</v>
      </c>
      <c r="O175" s="13">
        <f>N175*VLOOKUP('Données projet'!$B$9,Paramètres!$A$1:$I$89,3,0)*VLOOKUP('Données projet'!$B$9,Paramètres!$A$1:$I$89,5,0)</f>
        <v>5.1431925385259088E-14</v>
      </c>
      <c r="P175" s="13">
        <f t="shared" si="141"/>
        <v>8.3482866290946129E-13</v>
      </c>
      <c r="Q175" s="20">
        <f t="shared" si="162"/>
        <v>1.5435705246133045E-12</v>
      </c>
      <c r="R175" s="59">
        <f t="shared" si="109"/>
        <v>291.20968350673832</v>
      </c>
      <c r="S175" s="59">
        <f ca="1">AVERAGE(OFFSET($R$3,0,0,'Données projet'!$E$9+1,1))-AVERAGE(OFFSET($H$3,0,0,'Données projet'!$E$9+1,1))</f>
        <v>473.88815717313474</v>
      </c>
      <c r="T175" s="59">
        <f t="shared" si="142"/>
        <v>287.19790203552895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66.748196012123728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66.748196012123728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69.42082277456457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5.6843418860808015E-14</v>
      </c>
      <c r="AJ175" s="13">
        <f>AI175*VLOOKUP('Données projet'!$B$10,Paramètres!$A$1:$I$89,3,0)*VLOOKUP('Données projet'!$B$10,Paramètres!$A$1:$I$89,5,0)</f>
        <v>4.7884896048344674E-14</v>
      </c>
      <c r="AK175" s="13">
        <f t="shared" si="164"/>
        <v>7.8374629847779921E-13</v>
      </c>
      <c r="AL175" s="20">
        <f t="shared" si="165"/>
        <v>1.4484243304663672E-12</v>
      </c>
      <c r="AM175" s="59">
        <f t="shared" si="113"/>
        <v>291.2096835067382</v>
      </c>
      <c r="AN175" s="59">
        <f ca="1">AVERAGE(OFFSET($AM$3,0,0,'Données projet'!$E$10+1,1))-AVERAGE(OFFSET($H$3,0,0,'Données projet'!$E$10+1,1))</f>
        <v>445.19118535527258</v>
      </c>
      <c r="AO175" s="59">
        <f t="shared" si="144"/>
        <v>270.93483242839363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62.144872149218685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62.144872149218685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69.42082277456457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5.6843418860808015E-14</v>
      </c>
      <c r="BE175" s="13">
        <f>BD175*VLOOKUP('Données projet'!$B$11,Paramètres!$A$1:$I$89,3,0)*VLOOKUP('Données projet'!$B$11,Paramètres!$A$1:$I$89,5,0)</f>
        <v>5.7639226724859328E-14</v>
      </c>
      <c r="BF175" s="13">
        <f t="shared" si="167"/>
        <v>9.2325701996134334E-13</v>
      </c>
      <c r="BG175" s="20">
        <f t="shared" si="168"/>
        <v>1.708394296311803E-12</v>
      </c>
      <c r="BH175" s="59">
        <f t="shared" si="116"/>
        <v>291.20968350673849</v>
      </c>
      <c r="BI175" s="59">
        <f ca="1">AVERAGE(OFFSET($BH$3,0,0,'Données projet'!$E$11+1,1))-AVERAGE(OFFSET($H$3,0,0,'Données projet'!$E$11+1,1))</f>
        <v>524.01140973345832</v>
      </c>
      <c r="BJ175" s="59">
        <f t="shared" si="146"/>
        <v>315.59942237999621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74.804012772207642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74.804012772207642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69.42082277456457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-2.8421709430404007E-13</v>
      </c>
      <c r="BZ175" s="13">
        <f>BY175*VLOOKUP('Données projet'!$B$12,Paramètres!$A$1:$I$89,3,0)*VLOOKUP('Données projet'!$B$12,Paramètres!$A$1:$I$89,5,0)</f>
        <v>-1.9065282685915009E-13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358.95222991910504</v>
      </c>
      <c r="CE175" s="59">
        <f t="shared" si="148"/>
        <v>347.37506646970905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22.964074522265939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22.964074522265939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69.42082277456457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-2.8421709430404007E-13</v>
      </c>
      <c r="CU175" s="17">
        <f>CT175*VLOOKUP('Données projet'!$B$13,Paramètres!$A$1:$I$89,3,0)*VLOOKUP('Données projet'!$B$13,Paramètres!$A$1:$I$89,5,0)</f>
        <v>-1.8621904018800707E-13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351.7266381615546</v>
      </c>
      <c r="CZ175" s="59">
        <f t="shared" si="150"/>
        <v>340.52483243761799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19.417814582921928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19.417814582921928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69.42082277456457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2.2737367544323206E-13</v>
      </c>
      <c r="DP175" s="17">
        <f>DO175*VLOOKUP('Données projet'!$B$14,Paramètres!$A$1:$I$89,3,0)*VLOOKUP('Données projet'!$B$14,Paramètres!$A$1:$I$89,5,0)</f>
        <v>1.9508661353029313E-13</v>
      </c>
      <c r="DQ175" s="13">
        <f t="shared" si="176"/>
        <v>2.711421636700695E-12</v>
      </c>
      <c r="DR175" s="20">
        <f t="shared" si="177"/>
        <v>5.0621685358189711E-12</v>
      </c>
      <c r="DS175" s="59">
        <f t="shared" si="125"/>
        <v>291.20968350674184</v>
      </c>
      <c r="DT175" s="59">
        <f ca="1">AVERAGE(OFFSET($DS$3,0,0,'Données projet'!$E$14+1,1))-AVERAGE(OFFSET($H$3,0,0,'Données projet'!$E$14+1,1))</f>
        <v>569.21675741362196</v>
      </c>
      <c r="DU175" s="59">
        <f t="shared" si="152"/>
        <v>321.12410801891679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95.7973309860527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95.7973309860527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69.42082277456457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-2.8421709430404007E-13</v>
      </c>
      <c r="EK175" s="17">
        <f>EJ175*VLOOKUP('Données projet'!$B$15,Paramètres!$A$1:$I$89,3,0)*VLOOKUP('Données projet'!$B$15,Paramètres!$A$1:$I$89,5,0)</f>
        <v>-2.2612312022829427E-13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416.63597645452791</v>
      </c>
      <c r="EP175" s="59">
        <f t="shared" si="154"/>
        <v>402.05920382353497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29.062210862479471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29.062210862479471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69.42082277456457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>
        <f>FE175*VLOOKUP('Données projet'!$B$16,Paramètres!$A$1:$I$89,3,0)*VLOOKUP('Données projet'!$B$16,Paramètres!$A$1:$I$89,5,0)</f>
        <v>0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395.57130469647603</v>
      </c>
      <c r="FK175" s="59">
        <f t="shared" si="156"/>
        <v>383.97542781562674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27.56847510703501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27.56847510703501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69.42082277456457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>
        <f>FZ175*VLOOKUP('Données projet'!$B$17,Paramètres!$A$1:$I$89,3,0)*VLOOKUP('Données projet'!$B$17,Paramètres!$A$1:$I$89,5,0)</f>
        <v>0</v>
      </c>
      <c r="GB175" s="13" t="e">
        <f t="shared" si="185"/>
        <v>#NUM!</v>
      </c>
      <c r="GC175" s="20" t="e">
        <f t="shared" si="186"/>
        <v>#NUM!</v>
      </c>
      <c r="GD175" s="59" t="e">
        <f t="shared" si="134"/>
        <v>#NUM!</v>
      </c>
      <c r="GE175" s="59">
        <f ca="1">AVERAGE(OFFSET($GD$3,0,0,'Données projet'!$E$17+1,1))-AVERAGE(OFFSET($H$3,0,0,'Données projet'!$E$17+1,1))</f>
        <v>301.74744407733351</v>
      </c>
      <c r="GF175" s="59">
        <f t="shared" si="158"/>
        <v>292.46787700966991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14.319068473306459</v>
      </c>
      <c r="GM175" s="21">
        <f>EXP(-LN(2)/25)*GM174+(1-EXP(-LN(2)/25))/(LN(2)/25)*Calculateur!GH175*Calculateur!GJ175*VLOOKUP('Données projet'!$B$17,Paramètres!$A$1:$I$89,3,0)*0.475*44/12</f>
        <v>0</v>
      </c>
      <c r="GN175" s="21">
        <f>EXP(-LN(2)/2)*GN174+(1-EXP(-LN(2)/2))/(LN(2)/2)*GH175*GK175*VLOOKUP('Données projet'!$B$17,Paramètres!$A$1:$I$89,3,0)*0.475*44/12</f>
        <v>0</v>
      </c>
      <c r="GO175" s="21">
        <f t="shared" si="187"/>
        <v>14.319068473306459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69.42082277456457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-2.8421709430404007E-13</v>
      </c>
      <c r="GV175" s="17">
        <f>GU175*VLOOKUP('Données projet'!$B$18,Paramètres!$A$1:$I$89,3,0)*VLOOKUP('Données projet'!$B$18,Paramètres!$A$1:$I$89,5,0)</f>
        <v>-1.6848389350343495E-13</v>
      </c>
      <c r="GW175" s="13" t="e">
        <f t="shared" si="188"/>
        <v>#NUM!</v>
      </c>
      <c r="GX175" s="20" t="e">
        <f t="shared" si="189"/>
        <v>#NUM!</v>
      </c>
      <c r="GY175" s="59" t="e">
        <f t="shared" si="137"/>
        <v>#NUM!</v>
      </c>
      <c r="GZ175" s="59">
        <f ca="1">AVERAGE(OFFSET($GY$3,0,0,'Données projet'!$E$18+1,1))-AVERAGE(OFFSET($H$3,0,0,'Données projet'!$E$18+1,1))</f>
        <v>322.78672881269978</v>
      </c>
      <c r="HA175" s="59">
        <f t="shared" si="160"/>
        <v>313.08736327626434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22.974150904241487</v>
      </c>
      <c r="HH175" s="21">
        <f>EXP(-LN(2)/25)*HH174+(1-EXP(-LN(2)/25))/(LN(2)/25)*Calculateur!HC175*Calculateur!HE175*VLOOKUP('Données projet'!$B$18,Paramètres!$A$1:$I$89,3,0)*0.475*44/12</f>
        <v>0</v>
      </c>
      <c r="HI175" s="21">
        <f>EXP(-LN(2)/2)*HI174+(1-EXP(-LN(2)/2))/(LN(2)/2)*HC175*HF175*VLOOKUP('Données projet'!$B$18,Paramètres!$A$1:$I$89,3,0)*0.475*44/12</f>
        <v>0</v>
      </c>
      <c r="HJ175" s="22">
        <f t="shared" si="190"/>
        <v>22.974150904241487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2.3499999999999996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8.6166666666666654</v>
      </c>
      <c r="H176" s="67">
        <f t="shared" si="110"/>
        <v>222.20000000000002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69.430870204579577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5.6843418860808015E-14</v>
      </c>
      <c r="O176" s="13">
        <f>N176*VLOOKUP('Données projet'!$B$9,Paramètres!$A$1:$I$89,3,0)*VLOOKUP('Données projet'!$B$9,Paramètres!$A$1:$I$89,5,0)</f>
        <v>5.1431925385259088E-14</v>
      </c>
      <c r="P176" s="13">
        <f t="shared" si="141"/>
        <v>8.3482866290946129E-13</v>
      </c>
      <c r="Q176" s="20">
        <f t="shared" si="162"/>
        <v>1.5435705246133045E-12</v>
      </c>
      <c r="R176" s="59">
        <f t="shared" si="109"/>
        <v>291.24652408345997</v>
      </c>
      <c r="S176" s="59">
        <f ca="1">AVERAGE(OFFSET($R$3,0,0,'Données projet'!$E$9+1,1))-AVERAGE(OFFSET($H$3,0,0,'Données projet'!$E$9+1,1))</f>
        <v>473.88815717313474</v>
      </c>
      <c r="T176" s="59">
        <f t="shared" si="142"/>
        <v>287.19790203552895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65.43930460070554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65.43930460070554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69.430870204579577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5.6843418860808015E-14</v>
      </c>
      <c r="AJ176" s="13">
        <f>AI176*VLOOKUP('Données projet'!$B$10,Paramètres!$A$1:$I$89,3,0)*VLOOKUP('Données projet'!$B$10,Paramètres!$A$1:$I$89,5,0)</f>
        <v>4.7884896048344674E-14</v>
      </c>
      <c r="AK176" s="13">
        <f t="shared" si="164"/>
        <v>7.8374629847779921E-13</v>
      </c>
      <c r="AL176" s="20">
        <f t="shared" si="165"/>
        <v>1.4484243304663672E-12</v>
      </c>
      <c r="AM176" s="59">
        <f t="shared" si="113"/>
        <v>291.24652408345986</v>
      </c>
      <c r="AN176" s="59">
        <f ca="1">AVERAGE(OFFSET($AM$3,0,0,'Données projet'!$E$10+1,1))-AVERAGE(OFFSET($H$3,0,0,'Données projet'!$E$10+1,1))</f>
        <v>445.19118535527258</v>
      </c>
      <c r="AO176" s="59">
        <f t="shared" si="144"/>
        <v>270.93483242839363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60.926249111001745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60.926249111001745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69.430870204579577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5.6843418860808015E-14</v>
      </c>
      <c r="BE176" s="13">
        <f>BD176*VLOOKUP('Données projet'!$B$11,Paramètres!$A$1:$I$89,3,0)*VLOOKUP('Données projet'!$B$11,Paramètres!$A$1:$I$89,5,0)</f>
        <v>5.7639226724859328E-14</v>
      </c>
      <c r="BF176" s="13">
        <f t="shared" si="167"/>
        <v>9.2325701996134334E-13</v>
      </c>
      <c r="BG176" s="20">
        <f t="shared" si="168"/>
        <v>1.708394296311803E-12</v>
      </c>
      <c r="BH176" s="59">
        <f t="shared" si="116"/>
        <v>291.24652408346014</v>
      </c>
      <c r="BI176" s="59">
        <f ca="1">AVERAGE(OFFSET($BH$3,0,0,'Données projet'!$E$11+1,1))-AVERAGE(OFFSET($H$3,0,0,'Données projet'!$E$11+1,1))</f>
        <v>524.01140973345832</v>
      </c>
      <c r="BJ176" s="59">
        <f t="shared" si="146"/>
        <v>315.59942237999621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73.337151707687255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73.337151707687255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69.430870204579577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-2.8421709430404007E-13</v>
      </c>
      <c r="BZ176" s="13">
        <f>BY176*VLOOKUP('Données projet'!$B$12,Paramètres!$A$1:$I$89,3,0)*VLOOKUP('Données projet'!$B$12,Paramètres!$A$1:$I$89,5,0)</f>
        <v>-1.9065282685915009E-13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358.95222991910504</v>
      </c>
      <c r="CE176" s="59">
        <f t="shared" si="148"/>
        <v>347.37506646970905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22.513763027586716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22.513763027586716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69.430870204579577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-2.8421709430404007E-13</v>
      </c>
      <c r="CU176" s="17">
        <f>CT176*VLOOKUP('Données projet'!$B$13,Paramètres!$A$1:$I$89,3,0)*VLOOKUP('Données projet'!$B$13,Paramètres!$A$1:$I$89,5,0)</f>
        <v>-1.8621904018800707E-13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351.7266381615546</v>
      </c>
      <c r="CZ176" s="59">
        <f t="shared" si="150"/>
        <v>340.52483243761799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19.037043082648257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19.037043082648257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69.430870204579577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2.2737367544323206E-13</v>
      </c>
      <c r="DP176" s="17">
        <f>DO176*VLOOKUP('Données projet'!$B$14,Paramètres!$A$1:$I$89,3,0)*VLOOKUP('Données projet'!$B$14,Paramètres!$A$1:$I$89,5,0)</f>
        <v>1.9508661353029313E-13</v>
      </c>
      <c r="DQ176" s="13">
        <f t="shared" si="176"/>
        <v>2.711421636700695E-12</v>
      </c>
      <c r="DR176" s="20">
        <f t="shared" si="177"/>
        <v>5.0621685358189711E-12</v>
      </c>
      <c r="DS176" s="59">
        <f t="shared" si="125"/>
        <v>291.2465240834635</v>
      </c>
      <c r="DT176" s="59">
        <f ca="1">AVERAGE(OFFSET($DS$3,0,0,'Données projet'!$E$14+1,1))-AVERAGE(OFFSET($H$3,0,0,'Données projet'!$E$14+1,1))</f>
        <v>569.21675741362196</v>
      </c>
      <c r="DU176" s="59">
        <f t="shared" si="152"/>
        <v>321.12410801891679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93.918803756018562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93.918803756018562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69.430870204579577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-2.8421709430404007E-13</v>
      </c>
      <c r="EK176" s="17">
        <f>EJ176*VLOOKUP('Données projet'!$B$15,Paramètres!$A$1:$I$89,3,0)*VLOOKUP('Données projet'!$B$15,Paramètres!$A$1:$I$89,5,0)</f>
        <v>-2.2612312022829427E-13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416.63597645452791</v>
      </c>
      <c r="EP176" s="59">
        <f t="shared" si="154"/>
        <v>402.05920382353497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28.49231863366456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28.49231863366456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69.430870204579577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>
        <f>FE176*VLOOKUP('Données projet'!$B$16,Paramètres!$A$1:$I$89,3,0)*VLOOKUP('Données projet'!$B$16,Paramètres!$A$1:$I$89,5,0)</f>
        <v>0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395.57130469647603</v>
      </c>
      <c r="FK176" s="59">
        <f t="shared" si="156"/>
        <v>383.97542781562674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27.027874125295515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27.027874125295515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69.430870204579577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>
        <f>FZ176*VLOOKUP('Données projet'!$B$17,Paramètres!$A$1:$I$89,3,0)*VLOOKUP('Données projet'!$B$17,Paramètres!$A$1:$I$89,5,0)</f>
        <v>0</v>
      </c>
      <c r="GB176" s="13" t="e">
        <f t="shared" si="185"/>
        <v>#NUM!</v>
      </c>
      <c r="GC176" s="20" t="e">
        <f t="shared" si="186"/>
        <v>#NUM!</v>
      </c>
      <c r="GD176" s="59" t="e">
        <f t="shared" si="134"/>
        <v>#NUM!</v>
      </c>
      <c r="GE176" s="59">
        <f ca="1">AVERAGE(OFFSET($GD$3,0,0,'Données projet'!$E$17+1,1))-AVERAGE(OFFSET($H$3,0,0,'Données projet'!$E$17+1,1))</f>
        <v>301.74744407733351</v>
      </c>
      <c r="GF176" s="59">
        <f t="shared" si="158"/>
        <v>292.46787700966991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14.0382802743143</v>
      </c>
      <c r="GM176" s="21">
        <f>EXP(-LN(2)/25)*GM175+(1-EXP(-LN(2)/25))/(LN(2)/25)*Calculateur!GH176*Calculateur!GJ176*VLOOKUP('Données projet'!$B$17,Paramètres!$A$1:$I$89,3,0)*0.475*44/12</f>
        <v>0</v>
      </c>
      <c r="GN176" s="21">
        <f>EXP(-LN(2)/2)*GN175+(1-EXP(-LN(2)/2))/(LN(2)/2)*GH176*GK176*VLOOKUP('Données projet'!$B$17,Paramètres!$A$1:$I$89,3,0)*0.475*44/12</f>
        <v>0</v>
      </c>
      <c r="GO176" s="21">
        <f t="shared" si="187"/>
        <v>14.0382802743143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69.430870204579577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-2.8421709430404007E-13</v>
      </c>
      <c r="GV176" s="17">
        <f>GU176*VLOOKUP('Données projet'!$B$18,Paramètres!$A$1:$I$89,3,0)*VLOOKUP('Données projet'!$B$18,Paramètres!$A$1:$I$89,5,0)</f>
        <v>-1.6848389350343495E-13</v>
      </c>
      <c r="GW176" s="13" t="e">
        <f t="shared" si="188"/>
        <v>#NUM!</v>
      </c>
      <c r="GX176" s="20" t="e">
        <f t="shared" si="189"/>
        <v>#NUM!</v>
      </c>
      <c r="GY176" s="59" t="e">
        <f t="shared" si="137"/>
        <v>#NUM!</v>
      </c>
      <c r="GZ176" s="59">
        <f ca="1">AVERAGE(OFFSET($GY$3,0,0,'Données projet'!$E$18+1,1))-AVERAGE(OFFSET($H$3,0,0,'Données projet'!$E$18+1,1))</f>
        <v>322.78672881269978</v>
      </c>
      <c r="HA176" s="59">
        <f t="shared" si="160"/>
        <v>313.08736327626434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22.523641817857708</v>
      </c>
      <c r="HH176" s="21">
        <f>EXP(-LN(2)/25)*HH175+(1-EXP(-LN(2)/25))/(LN(2)/25)*Calculateur!HC176*Calculateur!HE176*VLOOKUP('Données projet'!$B$18,Paramètres!$A$1:$I$89,3,0)*0.475*44/12</f>
        <v>0</v>
      </c>
      <c r="HI176" s="21">
        <f>EXP(-LN(2)/2)*HI175+(1-EXP(-LN(2)/2))/(LN(2)/2)*HC176*HF176*VLOOKUP('Données projet'!$B$18,Paramètres!$A$1:$I$89,3,0)*0.475*44/12</f>
        <v>0</v>
      </c>
      <c r="HJ176" s="22">
        <f t="shared" si="190"/>
        <v>22.523641817857708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2.3499999999999996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8.6166666666666654</v>
      </c>
      <c r="H177" s="67">
        <f t="shared" si="110"/>
        <v>222.20000000000002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69.440743334146518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5.6843418860808015E-14</v>
      </c>
      <c r="O177" s="13">
        <f>N177*VLOOKUP('Données projet'!$B$9,Paramètres!$A$1:$I$89,3,0)*VLOOKUP('Données projet'!$B$9,Paramètres!$A$1:$I$89,5,0)</f>
        <v>5.1431925385259088E-14</v>
      </c>
      <c r="P177" s="13">
        <f t="shared" si="141"/>
        <v>8.3482866290946129E-13</v>
      </c>
      <c r="Q177" s="20">
        <f t="shared" si="162"/>
        <v>1.5435705246133045E-12</v>
      </c>
      <c r="R177" s="59">
        <f t="shared" si="109"/>
        <v>291.2827255585388</v>
      </c>
      <c r="S177" s="59">
        <f ca="1">AVERAGE(OFFSET($R$3,0,0,'Données projet'!$E$9+1,1))-AVERAGE(OFFSET($H$3,0,0,'Données projet'!$E$9+1,1))</f>
        <v>473.88815717313474</v>
      </c>
      <c r="T177" s="59">
        <f t="shared" si="142"/>
        <v>287.19790203552895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64.156079751520323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64.156079751520323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69.440743334146518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5.6843418860808015E-14</v>
      </c>
      <c r="AJ177" s="13">
        <f>AI177*VLOOKUP('Données projet'!$B$10,Paramètres!$A$1:$I$89,3,0)*VLOOKUP('Données projet'!$B$10,Paramètres!$A$1:$I$89,5,0)</f>
        <v>4.7884896048344674E-14</v>
      </c>
      <c r="AK177" s="13">
        <f t="shared" si="164"/>
        <v>7.8374629847779921E-13</v>
      </c>
      <c r="AL177" s="20">
        <f t="shared" si="165"/>
        <v>1.4484243304663672E-12</v>
      </c>
      <c r="AM177" s="59">
        <f t="shared" si="113"/>
        <v>291.28272555853869</v>
      </c>
      <c r="AN177" s="59">
        <f ca="1">AVERAGE(OFFSET($AM$3,0,0,'Données projet'!$E$10+1,1))-AVERAGE(OFFSET($H$3,0,0,'Données projet'!$E$10+1,1))</f>
        <v>445.19118535527258</v>
      </c>
      <c r="AO177" s="59">
        <f t="shared" si="144"/>
        <v>270.93483242839363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59.731522527277583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59.731522527277583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69.440743334146518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5.6843418860808015E-14</v>
      </c>
      <c r="BE177" s="13">
        <f>BD177*VLOOKUP('Données projet'!$B$11,Paramètres!$A$1:$I$89,3,0)*VLOOKUP('Données projet'!$B$11,Paramètres!$A$1:$I$89,5,0)</f>
        <v>5.7639226724859328E-14</v>
      </c>
      <c r="BF177" s="13">
        <f t="shared" si="167"/>
        <v>9.2325701996134334E-13</v>
      </c>
      <c r="BG177" s="20">
        <f t="shared" si="168"/>
        <v>1.708394296311803E-12</v>
      </c>
      <c r="BH177" s="59">
        <f t="shared" si="116"/>
        <v>291.28272555853897</v>
      </c>
      <c r="BI177" s="59">
        <f ca="1">AVERAGE(OFFSET($BH$3,0,0,'Données projet'!$E$11+1,1))-AVERAGE(OFFSET($H$3,0,0,'Données projet'!$E$11+1,1))</f>
        <v>524.01140973345832</v>
      </c>
      <c r="BJ177" s="59">
        <f t="shared" si="146"/>
        <v>315.59942237999621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71.899054893945205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71.899054893945205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69.440743334146518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-2.8421709430404007E-13</v>
      </c>
      <c r="BZ177" s="13">
        <f>BY177*VLOOKUP('Données projet'!$B$12,Paramètres!$A$1:$I$89,3,0)*VLOOKUP('Données projet'!$B$12,Paramètres!$A$1:$I$89,5,0)</f>
        <v>-1.9065282685915009E-13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358.95222991910504</v>
      </c>
      <c r="CE177" s="59">
        <f t="shared" si="148"/>
        <v>347.37506646970905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22.07228186665526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22.07228186665526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69.440743334146518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-2.8421709430404007E-13</v>
      </c>
      <c r="CU177" s="17">
        <f>CT177*VLOOKUP('Données projet'!$B$13,Paramètres!$A$1:$I$89,3,0)*VLOOKUP('Données projet'!$B$13,Paramètres!$A$1:$I$89,5,0)</f>
        <v>-1.8621904018800707E-13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351.7266381615546</v>
      </c>
      <c r="CZ177" s="59">
        <f t="shared" si="150"/>
        <v>340.52483243761799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18.663738279247269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18.663738279247269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69.440743334146518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2.2737367544323206E-13</v>
      </c>
      <c r="DP177" s="17">
        <f>DO177*VLOOKUP('Données projet'!$B$14,Paramètres!$A$1:$I$89,3,0)*VLOOKUP('Données projet'!$B$14,Paramètres!$A$1:$I$89,5,0)</f>
        <v>1.9508661353029313E-13</v>
      </c>
      <c r="DQ177" s="13">
        <f t="shared" si="176"/>
        <v>2.711421636700695E-12</v>
      </c>
      <c r="DR177" s="20">
        <f t="shared" si="177"/>
        <v>5.0621685358189711E-12</v>
      </c>
      <c r="DS177" s="59">
        <f t="shared" si="125"/>
        <v>291.28272555854232</v>
      </c>
      <c r="DT177" s="59">
        <f ca="1">AVERAGE(OFFSET($DS$3,0,0,'Données projet'!$E$14+1,1))-AVERAGE(OFFSET($H$3,0,0,'Données projet'!$E$14+1,1))</f>
        <v>569.21675741362196</v>
      </c>
      <c r="DU177" s="59">
        <f t="shared" si="152"/>
        <v>321.12410801891679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92.077113299176929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92.077113299176929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69.440743334146518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-2.8421709430404007E-13</v>
      </c>
      <c r="EK177" s="17">
        <f>EJ177*VLOOKUP('Données projet'!$B$15,Paramètres!$A$1:$I$89,3,0)*VLOOKUP('Données projet'!$B$15,Paramètres!$A$1:$I$89,5,0)</f>
        <v>-2.2612312022829427E-13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416.63597645452791</v>
      </c>
      <c r="EP177" s="59">
        <f t="shared" si="154"/>
        <v>402.05920382353497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27.933601643856772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27.933601643856772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69.440743334146518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>
        <f>FE177*VLOOKUP('Données projet'!$B$16,Paramètres!$A$1:$I$89,3,0)*VLOOKUP('Données projet'!$B$16,Paramètres!$A$1:$I$89,5,0)</f>
        <v>0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395.57130469647603</v>
      </c>
      <c r="FK177" s="59">
        <f t="shared" si="156"/>
        <v>383.97542781562674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26.497873999073892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26.497873999073892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69.440743334146518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>
        <f>FZ177*VLOOKUP('Données projet'!$B$17,Paramètres!$A$1:$I$89,3,0)*VLOOKUP('Données projet'!$B$17,Paramètres!$A$1:$I$89,5,0)</f>
        <v>0</v>
      </c>
      <c r="GB177" s="13" t="e">
        <f t="shared" si="185"/>
        <v>#NUM!</v>
      </c>
      <c r="GC177" s="20" t="e">
        <f t="shared" si="186"/>
        <v>#NUM!</v>
      </c>
      <c r="GD177" s="59" t="e">
        <f t="shared" si="134"/>
        <v>#NUM!</v>
      </c>
      <c r="GE177" s="59">
        <f ca="1">AVERAGE(OFFSET($GD$3,0,0,'Données projet'!$E$17+1,1))-AVERAGE(OFFSET($H$3,0,0,'Données projet'!$E$17+1,1))</f>
        <v>301.74744407733351</v>
      </c>
      <c r="GF177" s="59">
        <f t="shared" si="158"/>
        <v>292.46787700966991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13.762998160640487</v>
      </c>
      <c r="GM177" s="21">
        <f>EXP(-LN(2)/25)*GM176+(1-EXP(-LN(2)/25))/(LN(2)/25)*Calculateur!GH177*Calculateur!GJ177*VLOOKUP('Données projet'!$B$17,Paramètres!$A$1:$I$89,3,0)*0.475*44/12</f>
        <v>0</v>
      </c>
      <c r="GN177" s="21">
        <f>EXP(-LN(2)/2)*GN176+(1-EXP(-LN(2)/2))/(LN(2)/2)*GH177*GK177*VLOOKUP('Données projet'!$B$17,Paramètres!$A$1:$I$89,3,0)*0.475*44/12</f>
        <v>0</v>
      </c>
      <c r="GO177" s="21">
        <f t="shared" si="187"/>
        <v>13.762998160640487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69.440743334146518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-2.8421709430404007E-13</v>
      </c>
      <c r="GV177" s="17">
        <f>GU177*VLOOKUP('Données projet'!$B$18,Paramètres!$A$1:$I$89,3,0)*VLOOKUP('Données projet'!$B$18,Paramètres!$A$1:$I$89,5,0)</f>
        <v>-1.6848389350343495E-13</v>
      </c>
      <c r="GW177" s="13" t="e">
        <f t="shared" si="188"/>
        <v>#NUM!</v>
      </c>
      <c r="GX177" s="20" t="e">
        <f t="shared" si="189"/>
        <v>#NUM!</v>
      </c>
      <c r="GY177" s="59" t="e">
        <f t="shared" si="137"/>
        <v>#NUM!</v>
      </c>
      <c r="GZ177" s="59">
        <f ca="1">AVERAGE(OFFSET($GY$3,0,0,'Données projet'!$E$18+1,1))-AVERAGE(OFFSET($H$3,0,0,'Données projet'!$E$18+1,1))</f>
        <v>322.78672881269978</v>
      </c>
      <c r="HA177" s="59">
        <f t="shared" si="160"/>
        <v>313.08736327626434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22.081966939874505</v>
      </c>
      <c r="HH177" s="21">
        <f>EXP(-LN(2)/25)*HH176+(1-EXP(-LN(2)/25))/(LN(2)/25)*Calculateur!HC177*Calculateur!HE177*VLOOKUP('Données projet'!$B$18,Paramètres!$A$1:$I$89,3,0)*0.475*44/12</f>
        <v>0</v>
      </c>
      <c r="HI177" s="21">
        <f>EXP(-LN(2)/2)*HI176+(1-EXP(-LN(2)/2))/(LN(2)/2)*HC177*HF177*VLOOKUP('Données projet'!$B$18,Paramètres!$A$1:$I$89,3,0)*0.475*44/12</f>
        <v>0</v>
      </c>
      <c r="HJ177" s="22">
        <f t="shared" si="190"/>
        <v>22.081966939874505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2.3499999999999996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8.6166666666666654</v>
      </c>
      <c r="H178" s="67">
        <f t="shared" si="110"/>
        <v>222.20000000000002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69.450445186988475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5.6843418860808015E-14</v>
      </c>
      <c r="O178" s="13">
        <f>N178*VLOOKUP('Données projet'!$B$9,Paramètres!$A$1:$I$89,3,0)*VLOOKUP('Données projet'!$B$9,Paramètres!$A$1:$I$89,5,0)</f>
        <v>5.1431925385259088E-14</v>
      </c>
      <c r="P178" s="13">
        <f t="shared" si="141"/>
        <v>8.3482866290946129E-13</v>
      </c>
      <c r="Q178" s="20">
        <f t="shared" si="162"/>
        <v>1.5435705246133045E-12</v>
      </c>
      <c r="R178" s="59">
        <f t="shared" si="109"/>
        <v>291.31829901895929</v>
      </c>
      <c r="S178" s="59">
        <f ca="1">AVERAGE(OFFSET($R$3,0,0,'Données projet'!$E$9+1,1))-AVERAGE(OFFSET($H$3,0,0,'Données projet'!$E$9+1,1))</f>
        <v>473.88815717313474</v>
      </c>
      <c r="T178" s="59">
        <f t="shared" si="142"/>
        <v>287.19790203552895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62.898018158937759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62.898018158937759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69.450445186988475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5.6843418860808015E-14</v>
      </c>
      <c r="AJ178" s="13">
        <f>AI178*VLOOKUP('Données projet'!$B$10,Paramètres!$A$1:$I$89,3,0)*VLOOKUP('Données projet'!$B$10,Paramètres!$A$1:$I$89,5,0)</f>
        <v>4.7884896048344674E-14</v>
      </c>
      <c r="AK178" s="13">
        <f t="shared" si="164"/>
        <v>7.8374629847779921E-13</v>
      </c>
      <c r="AL178" s="20">
        <f t="shared" si="165"/>
        <v>1.4484243304663672E-12</v>
      </c>
      <c r="AM178" s="59">
        <f t="shared" si="113"/>
        <v>291.31829901895918</v>
      </c>
      <c r="AN178" s="59">
        <f ca="1">AVERAGE(OFFSET($AM$3,0,0,'Données projet'!$E$10+1,1))-AVERAGE(OFFSET($H$3,0,0,'Données projet'!$E$10+1,1))</f>
        <v>445.19118535527258</v>
      </c>
      <c r="AO178" s="59">
        <f t="shared" si="144"/>
        <v>270.93483242839363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58.560223803148986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58.560223803148986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69.450445186988475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5.6843418860808015E-14</v>
      </c>
      <c r="BE178" s="13">
        <f>BD178*VLOOKUP('Données projet'!$B$11,Paramètres!$A$1:$I$89,3,0)*VLOOKUP('Données projet'!$B$11,Paramètres!$A$1:$I$89,5,0)</f>
        <v>5.7639226724859328E-14</v>
      </c>
      <c r="BF178" s="13">
        <f t="shared" si="167"/>
        <v>9.2325701996134334E-13</v>
      </c>
      <c r="BG178" s="20">
        <f t="shared" si="168"/>
        <v>1.708394296311803E-12</v>
      </c>
      <c r="BH178" s="59">
        <f t="shared" si="116"/>
        <v>291.31829901895946</v>
      </c>
      <c r="BI178" s="59">
        <f ca="1">AVERAGE(OFFSET($BH$3,0,0,'Données projet'!$E$11+1,1))-AVERAGE(OFFSET($H$3,0,0,'Données projet'!$E$11+1,1))</f>
        <v>524.01140973345832</v>
      </c>
      <c r="BJ178" s="59">
        <f t="shared" si="146"/>
        <v>315.59942237999621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70.489158281568194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70.489158281568194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69.450445186988475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-2.8421709430404007E-13</v>
      </c>
      <c r="BZ178" s="13">
        <f>BY178*VLOOKUP('Données projet'!$B$12,Paramètres!$A$1:$I$89,3,0)*VLOOKUP('Données projet'!$B$12,Paramètres!$A$1:$I$89,5,0)</f>
        <v>-1.9065282685915009E-13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358.95222991910504</v>
      </c>
      <c r="CE178" s="59">
        <f t="shared" si="148"/>
        <v>347.37506646970905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21.639457882012753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21.639457882012753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69.450445186988475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-2.8421709430404007E-13</v>
      </c>
      <c r="CU178" s="17">
        <f>CT178*VLOOKUP('Données projet'!$B$13,Paramètres!$A$1:$I$89,3,0)*VLOOKUP('Données projet'!$B$13,Paramètres!$A$1:$I$89,5,0)</f>
        <v>-1.8621904018800707E-13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351.7266381615546</v>
      </c>
      <c r="CZ178" s="59">
        <f t="shared" si="150"/>
        <v>340.52483243761799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18.297753755347529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18.297753755347529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69.450445186988475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2.2737367544323206E-13</v>
      </c>
      <c r="DP178" s="17">
        <f>DO178*VLOOKUP('Données projet'!$B$14,Paramètres!$A$1:$I$89,3,0)*VLOOKUP('Données projet'!$B$14,Paramètres!$A$1:$I$89,5,0)</f>
        <v>1.9508661353029313E-13</v>
      </c>
      <c r="DQ178" s="13">
        <f t="shared" si="176"/>
        <v>2.711421636700695E-12</v>
      </c>
      <c r="DR178" s="20">
        <f t="shared" si="177"/>
        <v>5.0621685358189711E-12</v>
      </c>
      <c r="DS178" s="59">
        <f t="shared" si="125"/>
        <v>291.31829901896282</v>
      </c>
      <c r="DT178" s="59">
        <f ca="1">AVERAGE(OFFSET($DS$3,0,0,'Données projet'!$E$14+1,1))-AVERAGE(OFFSET($H$3,0,0,'Données projet'!$E$14+1,1))</f>
        <v>569.21675741362196</v>
      </c>
      <c r="DU178" s="59">
        <f t="shared" si="152"/>
        <v>321.12410801891679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90.271537268873701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90.271537268873701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69.450445186988475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-2.8421709430404007E-13</v>
      </c>
      <c r="EK178" s="17">
        <f>EJ178*VLOOKUP('Données projet'!$B$15,Paramètres!$A$1:$I$89,3,0)*VLOOKUP('Données projet'!$B$15,Paramètres!$A$1:$I$89,5,0)</f>
        <v>-2.2612312022829427E-13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416.63597645452791</v>
      </c>
      <c r="EP178" s="59">
        <f t="shared" si="154"/>
        <v>402.05920382353497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27.385840753435399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27.385840753435399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69.450445186988475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>
        <f>FE178*VLOOKUP('Données projet'!$B$16,Paramètres!$A$1:$I$89,3,0)*VLOOKUP('Données projet'!$B$16,Paramètres!$A$1:$I$89,5,0)</f>
        <v>0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395.57130469647603</v>
      </c>
      <c r="FK178" s="59">
        <f t="shared" si="156"/>
        <v>383.97542781562674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25.978266852059317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25.978266852059317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69.450445186988475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>
        <f>FZ178*VLOOKUP('Données projet'!$B$17,Paramètres!$A$1:$I$89,3,0)*VLOOKUP('Données projet'!$B$17,Paramètres!$A$1:$I$89,5,0)</f>
        <v>0</v>
      </c>
      <c r="GB178" s="13" t="e">
        <f t="shared" si="185"/>
        <v>#NUM!</v>
      </c>
      <c r="GC178" s="20" t="e">
        <f t="shared" si="186"/>
        <v>#NUM!</v>
      </c>
      <c r="GD178" s="59" t="e">
        <f t="shared" si="134"/>
        <v>#NUM!</v>
      </c>
      <c r="GE178" s="59">
        <f ca="1">AVERAGE(OFFSET($GD$3,0,0,'Données projet'!$E$17+1,1))-AVERAGE(OFFSET($H$3,0,0,'Données projet'!$E$17+1,1))</f>
        <v>301.74744407733351</v>
      </c>
      <c r="GF178" s="59">
        <f t="shared" si="158"/>
        <v>292.46787700966991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13.493114161310308</v>
      </c>
      <c r="GM178" s="21">
        <f>EXP(-LN(2)/25)*GM177+(1-EXP(-LN(2)/25))/(LN(2)/25)*Calculateur!GH178*Calculateur!GJ178*VLOOKUP('Données projet'!$B$17,Paramètres!$A$1:$I$89,3,0)*0.475*44/12</f>
        <v>0</v>
      </c>
      <c r="GN178" s="21">
        <f>EXP(-LN(2)/2)*GN177+(1-EXP(-LN(2)/2))/(LN(2)/2)*GH178*GK178*VLOOKUP('Données projet'!$B$17,Paramètres!$A$1:$I$89,3,0)*0.475*44/12</f>
        <v>0</v>
      </c>
      <c r="GO178" s="21">
        <f t="shared" si="187"/>
        <v>13.493114161310308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69.450445186988475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-2.8421709430404007E-13</v>
      </c>
      <c r="GV178" s="17">
        <f>GU178*VLOOKUP('Données projet'!$B$18,Paramètres!$A$1:$I$89,3,0)*VLOOKUP('Données projet'!$B$18,Paramètres!$A$1:$I$89,5,0)</f>
        <v>-1.6848389350343495E-13</v>
      </c>
      <c r="GW178" s="13" t="e">
        <f t="shared" si="188"/>
        <v>#NUM!</v>
      </c>
      <c r="GX178" s="20" t="e">
        <f t="shared" si="189"/>
        <v>#NUM!</v>
      </c>
      <c r="GY178" s="59" t="e">
        <f t="shared" si="137"/>
        <v>#NUM!</v>
      </c>
      <c r="GZ178" s="59">
        <f ca="1">AVERAGE(OFFSET($GY$3,0,0,'Données projet'!$E$18+1,1))-AVERAGE(OFFSET($H$3,0,0,'Données projet'!$E$18+1,1))</f>
        <v>322.78672881269978</v>
      </c>
      <c r="HA178" s="59">
        <f t="shared" si="160"/>
        <v>313.08736327626434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21.648953036853477</v>
      </c>
      <c r="HH178" s="21">
        <f>EXP(-LN(2)/25)*HH177+(1-EXP(-LN(2)/25))/(LN(2)/25)*Calculateur!HC178*Calculateur!HE178*VLOOKUP('Données projet'!$B$18,Paramètres!$A$1:$I$89,3,0)*0.475*44/12</f>
        <v>0</v>
      </c>
      <c r="HI178" s="21">
        <f>EXP(-LN(2)/2)*HI177+(1-EXP(-LN(2)/2))/(LN(2)/2)*HC178*HF178*VLOOKUP('Données projet'!$B$18,Paramètres!$A$1:$I$89,3,0)*0.475*44/12</f>
        <v>0</v>
      </c>
      <c r="HJ178" s="22">
        <f t="shared" si="190"/>
        <v>21.648953036853477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2.3499999999999996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8.6166666666666654</v>
      </c>
      <c r="H179" s="67">
        <f t="shared" si="110"/>
        <v>222.20000000000002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69.45997873437372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5.6843418860808015E-14</v>
      </c>
      <c r="O179" s="13">
        <f>N179*VLOOKUP('Données projet'!$B$9,Paramètres!$A$1:$I$89,3,0)*VLOOKUP('Données projet'!$B$9,Paramètres!$A$1:$I$89,5,0)</f>
        <v>5.1431925385259088E-14</v>
      </c>
      <c r="P179" s="13">
        <f t="shared" si="141"/>
        <v>8.3482866290946129E-13</v>
      </c>
      <c r="Q179" s="20">
        <f t="shared" si="162"/>
        <v>1.5435705246133045E-12</v>
      </c>
      <c r="R179" s="59">
        <f t="shared" si="109"/>
        <v>291.35325535937181</v>
      </c>
      <c r="S179" s="59">
        <f ca="1">AVERAGE(OFFSET($R$3,0,0,'Données projet'!$E$9+1,1))-AVERAGE(OFFSET($H$3,0,0,'Données projet'!$E$9+1,1))</f>
        <v>473.88815717313474</v>
      </c>
      <c r="T179" s="59">
        <f t="shared" si="142"/>
        <v>287.19790203552895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61.664626386843935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61.664626386843935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69.45997873437372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5.6843418860808015E-14</v>
      </c>
      <c r="AJ179" s="13">
        <f>AI179*VLOOKUP('Données projet'!$B$10,Paramètres!$A$1:$I$89,3,0)*VLOOKUP('Données projet'!$B$10,Paramètres!$A$1:$I$89,5,0)</f>
        <v>4.7884896048344674E-14</v>
      </c>
      <c r="AK179" s="13">
        <f t="shared" si="164"/>
        <v>7.8374629847779921E-13</v>
      </c>
      <c r="AL179" s="20">
        <f t="shared" si="165"/>
        <v>1.4484243304663672E-12</v>
      </c>
      <c r="AM179" s="59">
        <f t="shared" si="113"/>
        <v>291.3532553593717</v>
      </c>
      <c r="AN179" s="59">
        <f ca="1">AVERAGE(OFFSET($AM$3,0,0,'Données projet'!$E$10+1,1))-AVERAGE(OFFSET($H$3,0,0,'Données projet'!$E$10+1,1))</f>
        <v>445.19118535527258</v>
      </c>
      <c r="AO179" s="59">
        <f t="shared" si="144"/>
        <v>270.93483242839363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57.411893532578873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57.411893532578873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69.45997873437372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5.6843418860808015E-14</v>
      </c>
      <c r="BE179" s="13">
        <f>BD179*VLOOKUP('Données projet'!$B$11,Paramètres!$A$1:$I$89,3,0)*VLOOKUP('Données projet'!$B$11,Paramètres!$A$1:$I$89,5,0)</f>
        <v>5.7639226724859328E-14</v>
      </c>
      <c r="BF179" s="13">
        <f t="shared" si="167"/>
        <v>9.2325701996134334E-13</v>
      </c>
      <c r="BG179" s="20">
        <f t="shared" si="168"/>
        <v>1.708394296311803E-12</v>
      </c>
      <c r="BH179" s="59">
        <f t="shared" si="116"/>
        <v>291.35325535937199</v>
      </c>
      <c r="BI179" s="59">
        <f ca="1">AVERAGE(OFFSET($BH$3,0,0,'Données projet'!$E$11+1,1))-AVERAGE(OFFSET($H$3,0,0,'Données projet'!$E$11+1,1))</f>
        <v>524.01140973345832</v>
      </c>
      <c r="BJ179" s="59">
        <f t="shared" si="146"/>
        <v>315.59942237999621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69.106908881807868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69.106908881807868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69.45997873437372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-2.8421709430404007E-13</v>
      </c>
      <c r="BZ179" s="13">
        <f>BY179*VLOOKUP('Données projet'!$B$12,Paramètres!$A$1:$I$89,3,0)*VLOOKUP('Données projet'!$B$12,Paramètres!$A$1:$I$89,5,0)</f>
        <v>-1.9065282685915009E-13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358.95222991910504</v>
      </c>
      <c r="CE179" s="59">
        <f t="shared" si="148"/>
        <v>347.37506646970905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21.215121311712522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21.215121311712522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69.45997873437372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-2.8421709430404007E-13</v>
      </c>
      <c r="CU179" s="17">
        <f>CT179*VLOOKUP('Données projet'!$B$13,Paramètres!$A$1:$I$89,3,0)*VLOOKUP('Données projet'!$B$13,Paramètres!$A$1:$I$89,5,0)</f>
        <v>-1.8621904018800707E-13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351.7266381615546</v>
      </c>
      <c r="CZ179" s="59">
        <f t="shared" si="150"/>
        <v>340.52483243761799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17.938945964732945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17.938945964732945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69.45997873437372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2.2737367544323206E-13</v>
      </c>
      <c r="DP179" s="17">
        <f>DO179*VLOOKUP('Données projet'!$B$14,Paramètres!$A$1:$I$89,3,0)*VLOOKUP('Données projet'!$B$14,Paramètres!$A$1:$I$89,5,0)</f>
        <v>1.9508661353029313E-13</v>
      </c>
      <c r="DQ179" s="13">
        <f t="shared" si="176"/>
        <v>2.711421636700695E-12</v>
      </c>
      <c r="DR179" s="20">
        <f t="shared" si="177"/>
        <v>5.0621685358189711E-12</v>
      </c>
      <c r="DS179" s="59">
        <f t="shared" si="125"/>
        <v>291.35325535937534</v>
      </c>
      <c r="DT179" s="59">
        <f ca="1">AVERAGE(OFFSET($DS$3,0,0,'Données projet'!$E$14+1,1))-AVERAGE(OFFSET($H$3,0,0,'Données projet'!$E$14+1,1))</f>
        <v>569.21675741362196</v>
      </c>
      <c r="DU179" s="59">
        <f t="shared" si="152"/>
        <v>321.12410801891679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88.501367483232073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88.501367483232073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69.45997873437372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-2.8421709430404007E-13</v>
      </c>
      <c r="EK179" s="17">
        <f>EJ179*VLOOKUP('Données projet'!$B$15,Paramètres!$A$1:$I$89,3,0)*VLOOKUP('Données projet'!$B$15,Paramètres!$A$1:$I$89,5,0)</f>
        <v>-2.2612312022829427E-13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416.63597645452791</v>
      </c>
      <c r="EP179" s="59">
        <f t="shared" si="154"/>
        <v>402.05920382353497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26.848821119974037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26.848821119974037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69.45997873437372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>
        <f>FE179*VLOOKUP('Données projet'!$B$16,Paramètres!$A$1:$I$89,3,0)*VLOOKUP('Données projet'!$B$16,Paramètres!$A$1:$I$89,5,0)</f>
        <v>0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395.57130469647603</v>
      </c>
      <c r="FK179" s="59">
        <f t="shared" si="156"/>
        <v>383.97542781562674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25.468848884268631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25.468848884268631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69.45997873437372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>
        <f>FZ179*VLOOKUP('Données projet'!$B$17,Paramètres!$A$1:$I$89,3,0)*VLOOKUP('Données projet'!$B$17,Paramètres!$A$1:$I$89,5,0)</f>
        <v>0</v>
      </c>
      <c r="GB179" s="13" t="e">
        <f t="shared" si="185"/>
        <v>#NUM!</v>
      </c>
      <c r="GC179" s="20" t="e">
        <f t="shared" si="186"/>
        <v>#NUM!</v>
      </c>
      <c r="GD179" s="59" t="e">
        <f t="shared" si="134"/>
        <v>#NUM!</v>
      </c>
      <c r="GE179" s="59">
        <f ca="1">AVERAGE(OFFSET($GD$3,0,0,'Données projet'!$E$17+1,1))-AVERAGE(OFFSET($H$3,0,0,'Données projet'!$E$17+1,1))</f>
        <v>301.74744407733351</v>
      </c>
      <c r="GF179" s="59">
        <f t="shared" si="158"/>
        <v>292.46787700966991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13.228522422594008</v>
      </c>
      <c r="GM179" s="21">
        <f>EXP(-LN(2)/25)*GM178+(1-EXP(-LN(2)/25))/(LN(2)/25)*Calculateur!GH179*Calculateur!GJ179*VLOOKUP('Données projet'!$B$17,Paramètres!$A$1:$I$89,3,0)*0.475*44/12</f>
        <v>0</v>
      </c>
      <c r="GN179" s="21">
        <f>EXP(-LN(2)/2)*GN178+(1-EXP(-LN(2)/2))/(LN(2)/2)*GH179*GK179*VLOOKUP('Données projet'!$B$17,Paramètres!$A$1:$I$89,3,0)*0.475*44/12</f>
        <v>0</v>
      </c>
      <c r="GO179" s="21">
        <f t="shared" si="187"/>
        <v>13.228522422594008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69.45997873437372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-2.8421709430404007E-13</v>
      </c>
      <c r="GV179" s="17">
        <f>GU179*VLOOKUP('Données projet'!$B$18,Paramètres!$A$1:$I$89,3,0)*VLOOKUP('Données projet'!$B$18,Paramètres!$A$1:$I$89,5,0)</f>
        <v>-1.6848389350343495E-13</v>
      </c>
      <c r="GW179" s="13" t="e">
        <f t="shared" si="188"/>
        <v>#NUM!</v>
      </c>
      <c r="GX179" s="20" t="e">
        <f t="shared" si="189"/>
        <v>#NUM!</v>
      </c>
      <c r="GY179" s="59" t="e">
        <f t="shared" si="137"/>
        <v>#NUM!</v>
      </c>
      <c r="GZ179" s="59">
        <f ca="1">AVERAGE(OFFSET($GY$3,0,0,'Données projet'!$E$18+1,1))-AVERAGE(OFFSET($H$3,0,0,'Données projet'!$E$18+1,1))</f>
        <v>322.78672881269978</v>
      </c>
      <c r="HA179" s="59">
        <f t="shared" si="160"/>
        <v>313.08736327626434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21.22443027235829</v>
      </c>
      <c r="HH179" s="21">
        <f>EXP(-LN(2)/25)*HH178+(1-EXP(-LN(2)/25))/(LN(2)/25)*Calculateur!HC179*Calculateur!HE179*VLOOKUP('Données projet'!$B$18,Paramètres!$A$1:$I$89,3,0)*0.475*44/12</f>
        <v>0</v>
      </c>
      <c r="HI179" s="21">
        <f>EXP(-LN(2)/2)*HI178+(1-EXP(-LN(2)/2))/(LN(2)/2)*HC179*HF179*VLOOKUP('Données projet'!$B$18,Paramètres!$A$1:$I$89,3,0)*0.475*44/12</f>
        <v>0</v>
      </c>
      <c r="HJ179" s="22">
        <f t="shared" si="190"/>
        <v>21.22443027235829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2.3499999999999996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8.6166666666666654</v>
      </c>
      <c r="H180" s="67">
        <f t="shared" si="110"/>
        <v>222.20000000000002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69.469346896025655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5.6843418860808015E-14</v>
      </c>
      <c r="O180" s="13">
        <f>N180*VLOOKUP('Données projet'!$B$9,Paramètres!$A$1:$I$89,3,0)*VLOOKUP('Données projet'!$B$9,Paramètres!$A$1:$I$89,5,0)</f>
        <v>5.1431925385259088E-14</v>
      </c>
      <c r="P180" s="13">
        <f t="shared" si="141"/>
        <v>8.3482866290946129E-13</v>
      </c>
      <c r="Q180" s="20">
        <f t="shared" si="162"/>
        <v>1.5435705246133045E-12</v>
      </c>
      <c r="R180" s="59">
        <f t="shared" si="109"/>
        <v>291.38760528542895</v>
      </c>
      <c r="S180" s="59">
        <f ca="1">AVERAGE(OFFSET($R$3,0,0,'Données projet'!$E$9+1,1))-AVERAGE(OFFSET($H$3,0,0,'Données projet'!$E$9+1,1))</f>
        <v>473.88815717313474</v>
      </c>
      <c r="T180" s="59">
        <f t="shared" si="142"/>
        <v>287.19790203552895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60.455420675106176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60.455420675106176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69.469346896025655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5.6843418860808015E-14</v>
      </c>
      <c r="AJ180" s="13">
        <f>AI180*VLOOKUP('Données projet'!$B$10,Paramètres!$A$1:$I$89,3,0)*VLOOKUP('Données projet'!$B$10,Paramètres!$A$1:$I$89,5,0)</f>
        <v>4.7884896048344674E-14</v>
      </c>
      <c r="AK180" s="13">
        <f t="shared" si="164"/>
        <v>7.8374629847779921E-13</v>
      </c>
      <c r="AL180" s="20">
        <f t="shared" si="165"/>
        <v>1.4484243304663672E-12</v>
      </c>
      <c r="AM180" s="59">
        <f t="shared" si="113"/>
        <v>291.38760528542883</v>
      </c>
      <c r="AN180" s="59">
        <f ca="1">AVERAGE(OFFSET($AM$3,0,0,'Données projet'!$E$10+1,1))-AVERAGE(OFFSET($H$3,0,0,'Données projet'!$E$10+1,1))</f>
        <v>445.19118535527258</v>
      </c>
      <c r="AO180" s="59">
        <f t="shared" si="144"/>
        <v>270.93483242839363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56.286081318202335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56.286081318202335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69.469346896025655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5.6843418860808015E-14</v>
      </c>
      <c r="BE180" s="13">
        <f>BD180*VLOOKUP('Données projet'!$B$11,Paramètres!$A$1:$I$89,3,0)*VLOOKUP('Données projet'!$B$11,Paramètres!$A$1:$I$89,5,0)</f>
        <v>5.7639226724859328E-14</v>
      </c>
      <c r="BF180" s="13">
        <f t="shared" si="167"/>
        <v>9.2325701996134334E-13</v>
      </c>
      <c r="BG180" s="20">
        <f t="shared" si="168"/>
        <v>1.708394296311803E-12</v>
      </c>
      <c r="BH180" s="59">
        <f t="shared" si="116"/>
        <v>291.38760528542912</v>
      </c>
      <c r="BI180" s="59">
        <f ca="1">AVERAGE(OFFSET($BH$3,0,0,'Données projet'!$E$11+1,1))-AVERAGE(OFFSET($H$3,0,0,'Données projet'!$E$11+1,1))</f>
        <v>524.01140973345832</v>
      </c>
      <c r="BJ180" s="59">
        <f t="shared" si="146"/>
        <v>315.59942237999621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67.751764549687962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67.751764549687962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69.469346896025655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-2.8421709430404007E-13</v>
      </c>
      <c r="BZ180" s="13">
        <f>BY180*VLOOKUP('Données projet'!$B$12,Paramètres!$A$1:$I$89,3,0)*VLOOKUP('Données projet'!$B$12,Paramètres!$A$1:$I$89,5,0)</f>
        <v>-1.9065282685915009E-13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358.95222991910504</v>
      </c>
      <c r="CE180" s="59">
        <f t="shared" si="148"/>
        <v>347.37506646970905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20.799105722736126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20.799105722736126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69.469346896025655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-2.8421709430404007E-13</v>
      </c>
      <c r="CU180" s="17">
        <f>CT180*VLOOKUP('Données projet'!$B$13,Paramètres!$A$1:$I$89,3,0)*VLOOKUP('Données projet'!$B$13,Paramètres!$A$1:$I$89,5,0)</f>
        <v>-1.8621904018800707E-13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351.7266381615546</v>
      </c>
      <c r="CZ180" s="59">
        <f t="shared" si="150"/>
        <v>340.52483243761799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17.58717417604117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17.58717417604117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69.469346896025655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2.2737367544323206E-13</v>
      </c>
      <c r="DP180" s="17">
        <f>DO180*VLOOKUP('Données projet'!$B$14,Paramètres!$A$1:$I$89,3,0)*VLOOKUP('Données projet'!$B$14,Paramètres!$A$1:$I$89,5,0)</f>
        <v>1.9508661353029313E-13</v>
      </c>
      <c r="DQ180" s="13">
        <f t="shared" si="176"/>
        <v>2.711421636700695E-12</v>
      </c>
      <c r="DR180" s="20">
        <f t="shared" si="177"/>
        <v>5.0621685358189711E-12</v>
      </c>
      <c r="DS180" s="59">
        <f t="shared" si="125"/>
        <v>291.38760528543247</v>
      </c>
      <c r="DT180" s="59">
        <f ca="1">AVERAGE(OFFSET($DS$3,0,0,'Données projet'!$E$14+1,1))-AVERAGE(OFFSET($H$3,0,0,'Données projet'!$E$14+1,1))</f>
        <v>569.21675741362196</v>
      </c>
      <c r="DU180" s="59">
        <f t="shared" si="152"/>
        <v>321.12410801891679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86.765909647389918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86.765909647389918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69.469346896025655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-2.8421709430404007E-13</v>
      </c>
      <c r="EK180" s="17">
        <f>EJ180*VLOOKUP('Données projet'!$B$15,Paramètres!$A$1:$I$89,3,0)*VLOOKUP('Données projet'!$B$15,Paramètres!$A$1:$I$89,5,0)</f>
        <v>-2.2612312022829427E-13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416.63597645452791</v>
      </c>
      <c r="EP180" s="59">
        <f t="shared" si="154"/>
        <v>402.05920382353497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26.322332113975218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26.322332113975218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69.469346896025655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>
        <f>FE180*VLOOKUP('Données projet'!$B$16,Paramètres!$A$1:$I$89,3,0)*VLOOKUP('Données projet'!$B$16,Paramètres!$A$1:$I$89,5,0)</f>
        <v>0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395.57130469647603</v>
      </c>
      <c r="FK180" s="59">
        <f t="shared" si="156"/>
        <v>383.97542781562674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24.969420292112041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24.969420292112041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69.469346896025655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>
        <f>FZ180*VLOOKUP('Données projet'!$B$17,Paramètres!$A$1:$I$89,3,0)*VLOOKUP('Données projet'!$B$17,Paramètres!$A$1:$I$89,5,0)</f>
        <v>0</v>
      </c>
      <c r="GB180" s="13" t="e">
        <f t="shared" si="185"/>
        <v>#NUM!</v>
      </c>
      <c r="GC180" s="20" t="e">
        <f t="shared" si="186"/>
        <v>#NUM!</v>
      </c>
      <c r="GD180" s="59" t="e">
        <f t="shared" si="134"/>
        <v>#NUM!</v>
      </c>
      <c r="GE180" s="59">
        <f ca="1">AVERAGE(OFFSET($GD$3,0,0,'Données projet'!$E$17+1,1))-AVERAGE(OFFSET($H$3,0,0,'Données projet'!$E$17+1,1))</f>
        <v>301.74744407733351</v>
      </c>
      <c r="GF180" s="59">
        <f t="shared" si="158"/>
        <v>292.46787700966991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12.969119166488909</v>
      </c>
      <c r="GM180" s="21">
        <f>EXP(-LN(2)/25)*GM179+(1-EXP(-LN(2)/25))/(LN(2)/25)*Calculateur!GH180*Calculateur!GJ180*VLOOKUP('Données projet'!$B$17,Paramètres!$A$1:$I$89,3,0)*0.475*44/12</f>
        <v>0</v>
      </c>
      <c r="GN180" s="21">
        <f>EXP(-LN(2)/2)*GN179+(1-EXP(-LN(2)/2))/(LN(2)/2)*GH180*GK180*VLOOKUP('Données projet'!$B$17,Paramètres!$A$1:$I$89,3,0)*0.475*44/12</f>
        <v>0</v>
      </c>
      <c r="GO180" s="21">
        <f t="shared" si="187"/>
        <v>12.969119166488909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69.469346896025655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-2.8421709430404007E-13</v>
      </c>
      <c r="GV180" s="17">
        <f>GU180*VLOOKUP('Données projet'!$B$18,Paramètres!$A$1:$I$89,3,0)*VLOOKUP('Données projet'!$B$18,Paramètres!$A$1:$I$89,5,0)</f>
        <v>-1.6848389350343495E-13</v>
      </c>
      <c r="GW180" s="13" t="e">
        <f t="shared" si="188"/>
        <v>#NUM!</v>
      </c>
      <c r="GX180" s="20" t="e">
        <f t="shared" si="189"/>
        <v>#NUM!</v>
      </c>
      <c r="GY180" s="59" t="e">
        <f t="shared" si="137"/>
        <v>#NUM!</v>
      </c>
      <c r="GZ180" s="59">
        <f ca="1">AVERAGE(OFFSET($GY$3,0,0,'Données projet'!$E$18+1,1))-AVERAGE(OFFSET($H$3,0,0,'Données projet'!$E$18+1,1))</f>
        <v>322.78672881269978</v>
      </c>
      <c r="HA180" s="59">
        <f t="shared" si="160"/>
        <v>313.08736327626434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20.808232140341538</v>
      </c>
      <c r="HH180" s="21">
        <f>EXP(-LN(2)/25)*HH179+(1-EXP(-LN(2)/25))/(LN(2)/25)*Calculateur!HC180*Calculateur!HE180*VLOOKUP('Données projet'!$B$18,Paramètres!$A$1:$I$89,3,0)*0.475*44/12</f>
        <v>0</v>
      </c>
      <c r="HI180" s="21">
        <f>EXP(-LN(2)/2)*HI179+(1-EXP(-LN(2)/2))/(LN(2)/2)*HC180*HF180*VLOOKUP('Données projet'!$B$18,Paramètres!$A$1:$I$89,3,0)*0.475*44/12</f>
        <v>0</v>
      </c>
      <c r="HJ180" s="22">
        <f t="shared" si="190"/>
        <v>20.808232140341538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2.3499999999999996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8.6166666666666654</v>
      </c>
      <c r="H181" s="67">
        <f t="shared" si="110"/>
        <v>222.20000000000002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69.478552541016995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5.6843418860808015E-14</v>
      </c>
      <c r="O181" s="13">
        <f>N181*VLOOKUP('Données projet'!$B$9,Paramètres!$A$1:$I$89,3,0)*VLOOKUP('Données projet'!$B$9,Paramètres!$A$1:$I$89,5,0)</f>
        <v>5.1431925385259088E-14</v>
      </c>
      <c r="P181" s="13">
        <f t="shared" si="141"/>
        <v>8.3482866290946129E-13</v>
      </c>
      <c r="Q181" s="20">
        <f t="shared" si="162"/>
        <v>1.5435705246133045E-12</v>
      </c>
      <c r="R181" s="59">
        <f t="shared" si="109"/>
        <v>291.42135931706383</v>
      </c>
      <c r="S181" s="59">
        <f ca="1">AVERAGE(OFFSET($R$3,0,0,'Données projet'!$E$9+1,1))-AVERAGE(OFFSET($H$3,0,0,'Données projet'!$E$9+1,1))</f>
        <v>473.88815717313474</v>
      </c>
      <c r="T181" s="59">
        <f t="shared" si="142"/>
        <v>287.19790203552895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59.269926749832933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59.269926749832933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69.478552541016995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5.6843418860808015E-14</v>
      </c>
      <c r="AJ181" s="13">
        <f>AI181*VLOOKUP('Données projet'!$B$10,Paramètres!$A$1:$I$89,3,0)*VLOOKUP('Données projet'!$B$10,Paramètres!$A$1:$I$89,5,0)</f>
        <v>4.7884896048344674E-14</v>
      </c>
      <c r="AK181" s="13">
        <f t="shared" si="164"/>
        <v>7.8374629847779921E-13</v>
      </c>
      <c r="AL181" s="20">
        <f t="shared" si="165"/>
        <v>1.4484243304663672E-12</v>
      </c>
      <c r="AM181" s="59">
        <f t="shared" si="113"/>
        <v>291.42135931706372</v>
      </c>
      <c r="AN181" s="59">
        <f ca="1">AVERAGE(OFFSET($AM$3,0,0,'Données projet'!$E$10+1,1))-AVERAGE(OFFSET($H$3,0,0,'Données projet'!$E$10+1,1))</f>
        <v>445.19118535527258</v>
      </c>
      <c r="AO181" s="59">
        <f t="shared" si="144"/>
        <v>270.93483242839363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55.182345594672071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55.182345594672071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69.478552541016995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5.6843418860808015E-14</v>
      </c>
      <c r="BE181" s="13">
        <f>BD181*VLOOKUP('Données projet'!$B$11,Paramètres!$A$1:$I$89,3,0)*VLOOKUP('Données projet'!$B$11,Paramètres!$A$1:$I$89,5,0)</f>
        <v>5.7639226724859328E-14</v>
      </c>
      <c r="BF181" s="13">
        <f t="shared" si="167"/>
        <v>9.2325701996134334E-13</v>
      </c>
      <c r="BG181" s="20">
        <f t="shared" si="168"/>
        <v>1.708394296311803E-12</v>
      </c>
      <c r="BH181" s="59">
        <f t="shared" si="116"/>
        <v>291.421359317064</v>
      </c>
      <c r="BI181" s="59">
        <f ca="1">AVERAGE(OFFSET($BH$3,0,0,'Données projet'!$E$11+1,1))-AVERAGE(OFFSET($H$3,0,0,'Données projet'!$E$11+1,1))</f>
        <v>524.01140973345832</v>
      </c>
      <c r="BJ181" s="59">
        <f t="shared" si="146"/>
        <v>315.59942237999621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66.423193771364495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66.423193771364495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69.478552541016995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-2.8421709430404007E-13</v>
      </c>
      <c r="BZ181" s="13">
        <f>BY181*VLOOKUP('Données projet'!$B$12,Paramètres!$A$1:$I$89,3,0)*VLOOKUP('Données projet'!$B$12,Paramètres!$A$1:$I$89,5,0)</f>
        <v>-1.9065282685915009E-13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358.95222991910504</v>
      </c>
      <c r="CE181" s="59">
        <f t="shared" si="148"/>
        <v>347.37506646970905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20.391247945715104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20.391247945715104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69.478552541016995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-2.8421709430404007E-13</v>
      </c>
      <c r="CU181" s="17">
        <f>CT181*VLOOKUP('Données projet'!$B$13,Paramètres!$A$1:$I$89,3,0)*VLOOKUP('Données projet'!$B$13,Paramètres!$A$1:$I$89,5,0)</f>
        <v>-1.8621904018800707E-13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351.7266381615546</v>
      </c>
      <c r="CZ181" s="59">
        <f t="shared" si="150"/>
        <v>340.52483243761799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17.242300417566035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17.242300417566035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69.478552541016995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2.2737367544323206E-13</v>
      </c>
      <c r="DP181" s="17">
        <f>DO181*VLOOKUP('Données projet'!$B$14,Paramètres!$A$1:$I$89,3,0)*VLOOKUP('Données projet'!$B$14,Paramètres!$A$1:$I$89,5,0)</f>
        <v>1.9508661353029313E-13</v>
      </c>
      <c r="DQ181" s="13">
        <f t="shared" si="176"/>
        <v>2.711421636700695E-12</v>
      </c>
      <c r="DR181" s="20">
        <f t="shared" si="177"/>
        <v>5.0621685358189711E-12</v>
      </c>
      <c r="DS181" s="59">
        <f t="shared" si="125"/>
        <v>291.42135931706736</v>
      </c>
      <c r="DT181" s="59">
        <f ca="1">AVERAGE(OFFSET($DS$3,0,0,'Données projet'!$E$14+1,1))-AVERAGE(OFFSET($H$3,0,0,'Données projet'!$E$14+1,1))</f>
        <v>569.21675741362196</v>
      </c>
      <c r="DU181" s="59">
        <f t="shared" si="152"/>
        <v>321.12410801891679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85.06448308118388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85.06448308118388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69.478552541016995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-2.8421709430404007E-13</v>
      </c>
      <c r="EK181" s="17">
        <f>EJ181*VLOOKUP('Données projet'!$B$15,Paramètres!$A$1:$I$89,3,0)*VLOOKUP('Données projet'!$B$15,Paramètres!$A$1:$I$89,5,0)</f>
        <v>-2.2612312022829427E-13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416.63597645452791</v>
      </c>
      <c r="EP181" s="59">
        <f t="shared" si="154"/>
        <v>402.05920382353497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25.806167236257451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25.806167236257451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69.478552541016995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>
        <f>FE181*VLOOKUP('Données projet'!$B$16,Paramètres!$A$1:$I$89,3,0)*VLOOKUP('Données projet'!$B$16,Paramètres!$A$1:$I$89,5,0)</f>
        <v>0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395.57130469647603</v>
      </c>
      <c r="FK181" s="59">
        <f t="shared" si="156"/>
        <v>383.97542781562674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24.479785190026281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24.479785190026281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69.478552541016995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>
        <f>FZ181*VLOOKUP('Données projet'!$B$17,Paramètres!$A$1:$I$89,3,0)*VLOOKUP('Données projet'!$B$17,Paramètres!$A$1:$I$89,5,0)</f>
        <v>0</v>
      </c>
      <c r="GB181" s="13" t="e">
        <f t="shared" si="185"/>
        <v>#NUM!</v>
      </c>
      <c r="GC181" s="20" t="e">
        <f t="shared" si="186"/>
        <v>#NUM!</v>
      </c>
      <c r="GD181" s="59" t="e">
        <f t="shared" si="134"/>
        <v>#NUM!</v>
      </c>
      <c r="GE181" s="59">
        <f ca="1">AVERAGE(OFFSET($GD$3,0,0,'Données projet'!$E$17+1,1))-AVERAGE(OFFSET($H$3,0,0,'Données projet'!$E$17+1,1))</f>
        <v>301.74744407733351</v>
      </c>
      <c r="GF181" s="59">
        <f t="shared" si="158"/>
        <v>292.46787700966991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12.714802650015669</v>
      </c>
      <c r="GM181" s="21">
        <f>EXP(-LN(2)/25)*GM180+(1-EXP(-LN(2)/25))/(LN(2)/25)*Calculateur!GH181*Calculateur!GJ181*VLOOKUP('Données projet'!$B$17,Paramètres!$A$1:$I$89,3,0)*0.475*44/12</f>
        <v>0</v>
      </c>
      <c r="GN181" s="21">
        <f>EXP(-LN(2)/2)*GN180+(1-EXP(-LN(2)/2))/(LN(2)/2)*GH181*GK181*VLOOKUP('Données projet'!$B$17,Paramètres!$A$1:$I$89,3,0)*0.475*44/12</f>
        <v>0</v>
      </c>
      <c r="GO181" s="21">
        <f t="shared" si="187"/>
        <v>12.714802650015669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69.478552541016995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-2.8421709430404007E-13</v>
      </c>
      <c r="GV181" s="17">
        <f>GU181*VLOOKUP('Données projet'!$B$18,Paramètres!$A$1:$I$89,3,0)*VLOOKUP('Données projet'!$B$18,Paramètres!$A$1:$I$89,5,0)</f>
        <v>-1.6848389350343495E-13</v>
      </c>
      <c r="GW181" s="13" t="e">
        <f t="shared" si="188"/>
        <v>#NUM!</v>
      </c>
      <c r="GX181" s="20" t="e">
        <f t="shared" si="189"/>
        <v>#NUM!</v>
      </c>
      <c r="GY181" s="59" t="e">
        <f t="shared" si="137"/>
        <v>#NUM!</v>
      </c>
      <c r="GZ181" s="59">
        <f ca="1">AVERAGE(OFFSET($GY$3,0,0,'Données projet'!$E$18+1,1))-AVERAGE(OFFSET($H$3,0,0,'Données projet'!$E$18+1,1))</f>
        <v>322.78672881269978</v>
      </c>
      <c r="HA181" s="59">
        <f t="shared" si="160"/>
        <v>313.08736327626434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20.400195399837838</v>
      </c>
      <c r="HH181" s="21">
        <f>EXP(-LN(2)/25)*HH180+(1-EXP(-LN(2)/25))/(LN(2)/25)*Calculateur!HC181*Calculateur!HE181*VLOOKUP('Données projet'!$B$18,Paramètres!$A$1:$I$89,3,0)*0.475*44/12</f>
        <v>0</v>
      </c>
      <c r="HI181" s="21">
        <f>EXP(-LN(2)/2)*HI180+(1-EXP(-LN(2)/2))/(LN(2)/2)*HC181*HF181*VLOOKUP('Données projet'!$B$18,Paramètres!$A$1:$I$89,3,0)*0.475*44/12</f>
        <v>0</v>
      </c>
      <c r="HJ181" s="22">
        <f t="shared" si="190"/>
        <v>20.400195399837838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2.3499999999999996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8.6166666666666654</v>
      </c>
      <c r="H182" s="67">
        <f t="shared" si="110"/>
        <v>222.20000000000002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69.487598488648487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5.6843418860808015E-14</v>
      </c>
      <c r="O182" s="13">
        <f>N182*VLOOKUP('Données projet'!$B$9,Paramètres!$A$1:$I$89,3,0)*VLOOKUP('Données projet'!$B$9,Paramètres!$A$1:$I$89,5,0)</f>
        <v>5.1431925385259088E-14</v>
      </c>
      <c r="P182" s="13">
        <f t="shared" si="141"/>
        <v>8.3482866290946129E-13</v>
      </c>
      <c r="Q182" s="20">
        <f t="shared" si="162"/>
        <v>1.5435705246133045E-12</v>
      </c>
      <c r="R182" s="59">
        <f t="shared" si="109"/>
        <v>291.45452779171262</v>
      </c>
      <c r="S182" s="59">
        <f ca="1">AVERAGE(OFFSET($R$3,0,0,'Données projet'!$E$9+1,1))-AVERAGE(OFFSET($H$3,0,0,'Données projet'!$E$9+1,1))</f>
        <v>473.88815717313474</v>
      </c>
      <c r="T182" s="59">
        <f t="shared" si="142"/>
        <v>287.19790203552895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58.107679637354401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58.107679637354401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69.487598488648487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5.6843418860808015E-14</v>
      </c>
      <c r="AJ182" s="13">
        <f>AI182*VLOOKUP('Données projet'!$B$10,Paramètres!$A$1:$I$89,3,0)*VLOOKUP('Données projet'!$B$10,Paramètres!$A$1:$I$89,5,0)</f>
        <v>4.7884896048344674E-14</v>
      </c>
      <c r="AK182" s="13">
        <f t="shared" si="164"/>
        <v>7.8374629847779921E-13</v>
      </c>
      <c r="AL182" s="20">
        <f t="shared" si="165"/>
        <v>1.4484243304663672E-12</v>
      </c>
      <c r="AM182" s="59">
        <f t="shared" si="113"/>
        <v>291.45452779171251</v>
      </c>
      <c r="AN182" s="59">
        <f ca="1">AVERAGE(OFFSET($AM$3,0,0,'Données projet'!$E$10+1,1))-AVERAGE(OFFSET($H$3,0,0,'Données projet'!$E$10+1,1))</f>
        <v>445.19118535527258</v>
      </c>
      <c r="AO182" s="59">
        <f t="shared" si="144"/>
        <v>270.93483242839363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54.100253455467922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54.100253455467922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69.487598488648487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5.6843418860808015E-14</v>
      </c>
      <c r="BE182" s="13">
        <f>BD182*VLOOKUP('Données projet'!$B$11,Paramètres!$A$1:$I$89,3,0)*VLOOKUP('Données projet'!$B$11,Paramètres!$A$1:$I$89,5,0)</f>
        <v>5.7639226724859328E-14</v>
      </c>
      <c r="BF182" s="13">
        <f t="shared" si="167"/>
        <v>9.2325701996134334E-13</v>
      </c>
      <c r="BG182" s="20">
        <f t="shared" si="168"/>
        <v>1.708394296311803E-12</v>
      </c>
      <c r="BH182" s="59">
        <f t="shared" si="116"/>
        <v>291.45452779171279</v>
      </c>
      <c r="BI182" s="59">
        <f ca="1">AVERAGE(OFFSET($BH$3,0,0,'Données projet'!$E$11+1,1))-AVERAGE(OFFSET($H$3,0,0,'Données projet'!$E$11+1,1))</f>
        <v>524.01140973345832</v>
      </c>
      <c r="BJ182" s="59">
        <f t="shared" si="146"/>
        <v>315.59942237999621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65.1206754556558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65.1206754556558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69.487598488648487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-2.8421709430404007E-13</v>
      </c>
      <c r="BZ182" s="13">
        <f>BY182*VLOOKUP('Données projet'!$B$12,Paramètres!$A$1:$I$89,3,0)*VLOOKUP('Données projet'!$B$12,Paramètres!$A$1:$I$89,5,0)</f>
        <v>-1.9065282685915009E-13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358.95222991910504</v>
      </c>
      <c r="CE182" s="59">
        <f t="shared" si="148"/>
        <v>347.37506646970905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19.991388010932784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19.991388010932784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69.487598488648487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-2.8421709430404007E-13</v>
      </c>
      <c r="CU182" s="17">
        <f>CT182*VLOOKUP('Données projet'!$B$13,Paramètres!$A$1:$I$89,3,0)*VLOOKUP('Données projet'!$B$13,Paramètres!$A$1:$I$89,5,0)</f>
        <v>-1.8621904018800707E-13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351.7266381615546</v>
      </c>
      <c r="CZ182" s="59">
        <f t="shared" si="150"/>
        <v>340.52483243761799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16.904189423142377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16.904189423142377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69.487598488648487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2.2737367544323206E-13</v>
      </c>
      <c r="DP182" s="17">
        <f>DO182*VLOOKUP('Données projet'!$B$14,Paramètres!$A$1:$I$89,3,0)*VLOOKUP('Données projet'!$B$14,Paramètres!$A$1:$I$89,5,0)</f>
        <v>1.9508661353029313E-13</v>
      </c>
      <c r="DQ182" s="13">
        <f t="shared" si="176"/>
        <v>2.711421636700695E-12</v>
      </c>
      <c r="DR182" s="20">
        <f t="shared" si="177"/>
        <v>5.0621685358189711E-12</v>
      </c>
      <c r="DS182" s="59">
        <f t="shared" si="125"/>
        <v>291.45452779171615</v>
      </c>
      <c r="DT182" s="59">
        <f ca="1">AVERAGE(OFFSET($DS$3,0,0,'Données projet'!$E$14+1,1))-AVERAGE(OFFSET($H$3,0,0,'Données projet'!$E$14+1,1))</f>
        <v>569.21675741362196</v>
      </c>
      <c r="DU182" s="59">
        <f t="shared" si="152"/>
        <v>321.12410801891679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83.396420452173402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83.396420452173402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69.487598488648487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-2.8421709430404007E-13</v>
      </c>
      <c r="EK182" s="17">
        <f>EJ182*VLOOKUP('Données projet'!$B$15,Paramètres!$A$1:$I$89,3,0)*VLOOKUP('Données projet'!$B$15,Paramètres!$A$1:$I$89,5,0)</f>
        <v>-2.2612312022829427E-13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416.63597645452791</v>
      </c>
      <c r="EP182" s="59">
        <f t="shared" si="154"/>
        <v>402.05920382353497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25.300124036962242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25.300124036962242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69.487598488648487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>
        <f>FE182*VLOOKUP('Données projet'!$B$16,Paramètres!$A$1:$I$89,3,0)*VLOOKUP('Données projet'!$B$16,Paramètres!$A$1:$I$89,5,0)</f>
        <v>0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395.57130469647603</v>
      </c>
      <c r="FK182" s="59">
        <f t="shared" si="156"/>
        <v>383.97542781562674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23.999751533644499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23.999751533644499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69.487598488648487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>
        <f>FZ182*VLOOKUP('Données projet'!$B$17,Paramètres!$A$1:$I$89,3,0)*VLOOKUP('Données projet'!$B$17,Paramètres!$A$1:$I$89,5,0)</f>
        <v>0</v>
      </c>
      <c r="GB182" s="13" t="e">
        <f t="shared" si="185"/>
        <v>#NUM!</v>
      </c>
      <c r="GC182" s="20" t="e">
        <f t="shared" si="186"/>
        <v>#NUM!</v>
      </c>
      <c r="GD182" s="59" t="e">
        <f t="shared" si="134"/>
        <v>#NUM!</v>
      </c>
      <c r="GE182" s="59">
        <f ca="1">AVERAGE(OFFSET($GD$3,0,0,'Données projet'!$E$17+1,1))-AVERAGE(OFFSET($H$3,0,0,'Données projet'!$E$17+1,1))</f>
        <v>301.74744407733351</v>
      </c>
      <c r="GF182" s="59">
        <f t="shared" si="158"/>
        <v>292.46787700966991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12.465473125312709</v>
      </c>
      <c r="GM182" s="21">
        <f>EXP(-LN(2)/25)*GM181+(1-EXP(-LN(2)/25))/(LN(2)/25)*Calculateur!GH182*Calculateur!GJ182*VLOOKUP('Données projet'!$B$17,Paramètres!$A$1:$I$89,3,0)*0.475*44/12</f>
        <v>0</v>
      </c>
      <c r="GN182" s="21">
        <f>EXP(-LN(2)/2)*GN181+(1-EXP(-LN(2)/2))/(LN(2)/2)*GH182*GK182*VLOOKUP('Données projet'!$B$17,Paramètres!$A$1:$I$89,3,0)*0.475*44/12</f>
        <v>0</v>
      </c>
      <c r="GO182" s="21">
        <f t="shared" si="187"/>
        <v>12.465473125312709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69.487598488648487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-2.8421709430404007E-13</v>
      </c>
      <c r="GV182" s="17">
        <f>GU182*VLOOKUP('Données projet'!$B$18,Paramètres!$A$1:$I$89,3,0)*VLOOKUP('Données projet'!$B$18,Paramètres!$A$1:$I$89,5,0)</f>
        <v>-1.6848389350343495E-13</v>
      </c>
      <c r="GW182" s="13" t="e">
        <f t="shared" si="188"/>
        <v>#NUM!</v>
      </c>
      <c r="GX182" s="20" t="e">
        <f t="shared" si="189"/>
        <v>#NUM!</v>
      </c>
      <c r="GY182" s="59" t="e">
        <f t="shared" si="137"/>
        <v>#NUM!</v>
      </c>
      <c r="GZ182" s="59">
        <f ca="1">AVERAGE(OFFSET($GY$3,0,0,'Données projet'!$E$18+1,1))-AVERAGE(OFFSET($H$3,0,0,'Données projet'!$E$18+1,1))</f>
        <v>322.78672881269978</v>
      </c>
      <c r="HA182" s="59">
        <f t="shared" si="160"/>
        <v>313.08736327626434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20.000160010937577</v>
      </c>
      <c r="HH182" s="21">
        <f>EXP(-LN(2)/25)*HH181+(1-EXP(-LN(2)/25))/(LN(2)/25)*Calculateur!HC182*Calculateur!HE182*VLOOKUP('Données projet'!$B$18,Paramètres!$A$1:$I$89,3,0)*0.475*44/12</f>
        <v>0</v>
      </c>
      <c r="HI182" s="21">
        <f>EXP(-LN(2)/2)*HI181+(1-EXP(-LN(2)/2))/(LN(2)/2)*HC182*HF182*VLOOKUP('Données projet'!$B$18,Paramètres!$A$1:$I$89,3,0)*0.475*44/12</f>
        <v>0</v>
      </c>
      <c r="HJ182" s="22">
        <f t="shared" si="190"/>
        <v>20.000160010937577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2.3499999999999996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8.6166666666666654</v>
      </c>
      <c r="H183" s="67">
        <f t="shared" si="110"/>
        <v>222.20000000000002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69.496487509312274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5.6843418860808015E-14</v>
      </c>
      <c r="O183" s="13">
        <f>N183*VLOOKUP('Données projet'!$B$9,Paramètres!$A$1:$I$89,3,0)*VLOOKUP('Données projet'!$B$9,Paramètres!$A$1:$I$89,5,0)</f>
        <v>5.1431925385259088E-14</v>
      </c>
      <c r="P183" s="13">
        <f t="shared" si="141"/>
        <v>8.3482866290946129E-13</v>
      </c>
      <c r="Q183" s="20">
        <f t="shared" si="162"/>
        <v>1.5435705246133045E-12</v>
      </c>
      <c r="R183" s="59">
        <f t="shared" si="109"/>
        <v>291.48712086747986</v>
      </c>
      <c r="S183" s="59">
        <f ca="1">AVERAGE(OFFSET($R$3,0,0,'Données projet'!$E$9+1,1))-AVERAGE(OFFSET($H$3,0,0,'Données projet'!$E$9+1,1))</f>
        <v>473.88815717313474</v>
      </c>
      <c r="T183" s="59">
        <f t="shared" si="142"/>
        <v>287.19790203552895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56.968223481850835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56.968223481850835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69.496487509312274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5.6843418860808015E-14</v>
      </c>
      <c r="AJ183" s="13">
        <f>AI183*VLOOKUP('Données projet'!$B$10,Paramètres!$A$1:$I$89,3,0)*VLOOKUP('Données projet'!$B$10,Paramètres!$A$1:$I$89,5,0)</f>
        <v>4.7884896048344674E-14</v>
      </c>
      <c r="AK183" s="13">
        <f t="shared" si="164"/>
        <v>7.8374629847779921E-13</v>
      </c>
      <c r="AL183" s="20">
        <f t="shared" si="165"/>
        <v>1.4484243304663672E-12</v>
      </c>
      <c r="AM183" s="59">
        <f t="shared" si="113"/>
        <v>291.48712086747975</v>
      </c>
      <c r="AN183" s="59">
        <f ca="1">AVERAGE(OFFSET($AM$3,0,0,'Données projet'!$E$10+1,1))-AVERAGE(OFFSET($H$3,0,0,'Données projet'!$E$10+1,1))</f>
        <v>445.19118535527258</v>
      </c>
      <c r="AO183" s="59">
        <f t="shared" si="144"/>
        <v>270.93483242839363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53.039380483102534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53.039380483102534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69.496487509312274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5.6843418860808015E-14</v>
      </c>
      <c r="BE183" s="13">
        <f>BD183*VLOOKUP('Données projet'!$B$11,Paramètres!$A$1:$I$89,3,0)*VLOOKUP('Données projet'!$B$11,Paramètres!$A$1:$I$89,5,0)</f>
        <v>5.7639226724859328E-14</v>
      </c>
      <c r="BF183" s="13">
        <f t="shared" si="167"/>
        <v>9.2325701996134334E-13</v>
      </c>
      <c r="BG183" s="20">
        <f t="shared" si="168"/>
        <v>1.708394296311803E-12</v>
      </c>
      <c r="BH183" s="59">
        <f t="shared" si="116"/>
        <v>291.48712086748003</v>
      </c>
      <c r="BI183" s="59">
        <f ca="1">AVERAGE(OFFSET($BH$3,0,0,'Données projet'!$E$11+1,1))-AVERAGE(OFFSET($H$3,0,0,'Données projet'!$E$11+1,1))</f>
        <v>524.01140973345832</v>
      </c>
      <c r="BJ183" s="59">
        <f t="shared" si="146"/>
        <v>315.59942237999621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63.843698729660424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63.843698729660424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69.496487509312274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-2.8421709430404007E-13</v>
      </c>
      <c r="BZ183" s="13">
        <f>BY183*VLOOKUP('Données projet'!$B$12,Paramètres!$A$1:$I$89,3,0)*VLOOKUP('Données projet'!$B$12,Paramètres!$A$1:$I$89,5,0)</f>
        <v>-1.9065282685915009E-13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358.95222991910504</v>
      </c>
      <c r="CE183" s="59">
        <f t="shared" si="148"/>
        <v>347.37506646970905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19.599369085581067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19.599369085581067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69.496487509312274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-2.8421709430404007E-13</v>
      </c>
      <c r="CU183" s="17">
        <f>CT183*VLOOKUP('Données projet'!$B$13,Paramètres!$A$1:$I$89,3,0)*VLOOKUP('Données projet'!$B$13,Paramètres!$A$1:$I$89,5,0)</f>
        <v>-1.8621904018800707E-13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351.7266381615546</v>
      </c>
      <c r="CZ183" s="59">
        <f t="shared" si="150"/>
        <v>340.52483243761799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16.572708579092023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16.572708579092023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69.496487509312274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2.2737367544323206E-13</v>
      </c>
      <c r="DP183" s="17">
        <f>DO183*VLOOKUP('Données projet'!$B$14,Paramètres!$A$1:$I$89,3,0)*VLOOKUP('Données projet'!$B$14,Paramètres!$A$1:$I$89,5,0)</f>
        <v>1.9508661353029313E-13</v>
      </c>
      <c r="DQ183" s="13">
        <f t="shared" si="176"/>
        <v>2.711421636700695E-12</v>
      </c>
      <c r="DR183" s="20">
        <f t="shared" si="177"/>
        <v>5.0621685358189711E-12</v>
      </c>
      <c r="DS183" s="59">
        <f t="shared" si="125"/>
        <v>291.48712086748338</v>
      </c>
      <c r="DT183" s="59">
        <f ca="1">AVERAGE(OFFSET($DS$3,0,0,'Données projet'!$E$14+1,1))-AVERAGE(OFFSET($H$3,0,0,'Données projet'!$E$14+1,1))</f>
        <v>569.21675741362196</v>
      </c>
      <c r="DU183" s="59">
        <f t="shared" si="152"/>
        <v>321.12410801891679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81.761067513900073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81.761067513900073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69.496487509312274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-2.8421709430404007E-13</v>
      </c>
      <c r="EK183" s="17">
        <f>EJ183*VLOOKUP('Données projet'!$B$15,Paramètres!$A$1:$I$89,3,0)*VLOOKUP('Données projet'!$B$15,Paramètres!$A$1:$I$89,5,0)</f>
        <v>-2.2612312022829427E-13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416.63597645452791</v>
      </c>
      <c r="EP183" s="59">
        <f t="shared" si="154"/>
        <v>402.05920382353497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24.804004036149337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24.804004036149337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69.496487509312274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>
        <f>FE183*VLOOKUP('Données projet'!$B$16,Paramètres!$A$1:$I$89,3,0)*VLOOKUP('Données projet'!$B$16,Paramètres!$A$1:$I$89,5,0)</f>
        <v>0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395.57130469647603</v>
      </c>
      <c r="FK183" s="59">
        <f t="shared" si="156"/>
        <v>383.97542781562674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23.529131044472745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23.529131044472745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69.496487509312274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>
        <f>FZ183*VLOOKUP('Données projet'!$B$17,Paramètres!$A$1:$I$89,3,0)*VLOOKUP('Données projet'!$B$17,Paramètres!$A$1:$I$89,5,0)</f>
        <v>0</v>
      </c>
      <c r="GB183" s="13" t="e">
        <f t="shared" si="185"/>
        <v>#NUM!</v>
      </c>
      <c r="GC183" s="20" t="e">
        <f t="shared" si="186"/>
        <v>#NUM!</v>
      </c>
      <c r="GD183" s="59" t="e">
        <f t="shared" si="134"/>
        <v>#NUM!</v>
      </c>
      <c r="GE183" s="59">
        <f ca="1">AVERAGE(OFFSET($GD$3,0,0,'Données projet'!$E$17+1,1))-AVERAGE(OFFSET($H$3,0,0,'Données projet'!$E$17+1,1))</f>
        <v>301.74744407733351</v>
      </c>
      <c r="GF183" s="59">
        <f t="shared" si="158"/>
        <v>292.46787700966991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12.22103280051318</v>
      </c>
      <c r="GM183" s="21">
        <f>EXP(-LN(2)/25)*GM182+(1-EXP(-LN(2)/25))/(LN(2)/25)*Calculateur!GH183*Calculateur!GJ183*VLOOKUP('Données projet'!$B$17,Paramètres!$A$1:$I$89,3,0)*0.475*44/12</f>
        <v>0</v>
      </c>
      <c r="GN183" s="21">
        <f>EXP(-LN(2)/2)*GN182+(1-EXP(-LN(2)/2))/(LN(2)/2)*GH183*GK183*VLOOKUP('Données projet'!$B$17,Paramètres!$A$1:$I$89,3,0)*0.475*44/12</f>
        <v>0</v>
      </c>
      <c r="GO183" s="21">
        <f t="shared" si="187"/>
        <v>12.22103280051318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69.496487509312274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-2.8421709430404007E-13</v>
      </c>
      <c r="GV183" s="17">
        <f>GU183*VLOOKUP('Données projet'!$B$18,Paramètres!$A$1:$I$89,3,0)*VLOOKUP('Données projet'!$B$18,Paramètres!$A$1:$I$89,5,0)</f>
        <v>-1.6848389350343495E-13</v>
      </c>
      <c r="GW183" s="13" t="e">
        <f t="shared" si="188"/>
        <v>#NUM!</v>
      </c>
      <c r="GX183" s="20" t="e">
        <f t="shared" si="189"/>
        <v>#NUM!</v>
      </c>
      <c r="GY183" s="59" t="e">
        <f t="shared" si="137"/>
        <v>#NUM!</v>
      </c>
      <c r="GZ183" s="59">
        <f ca="1">AVERAGE(OFFSET($GY$3,0,0,'Données projet'!$E$18+1,1))-AVERAGE(OFFSET($H$3,0,0,'Données projet'!$E$18+1,1))</f>
        <v>322.78672881269978</v>
      </c>
      <c r="HA183" s="59">
        <f t="shared" si="160"/>
        <v>313.08736327626434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19.607969072016157</v>
      </c>
      <c r="HH183" s="21">
        <f>EXP(-LN(2)/25)*HH182+(1-EXP(-LN(2)/25))/(LN(2)/25)*Calculateur!HC183*Calculateur!HE183*VLOOKUP('Données projet'!$B$18,Paramètres!$A$1:$I$89,3,0)*0.475*44/12</f>
        <v>0</v>
      </c>
      <c r="HI183" s="21">
        <f>EXP(-LN(2)/2)*HI182+(1-EXP(-LN(2)/2))/(LN(2)/2)*HC183*HF183*VLOOKUP('Données projet'!$B$18,Paramètres!$A$1:$I$89,3,0)*0.475*44/12</f>
        <v>0</v>
      </c>
      <c r="HJ183" s="22">
        <f t="shared" si="190"/>
        <v>19.607969072016157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2.3499999999999996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8.6166666666666654</v>
      </c>
      <c r="H184" s="67">
        <f t="shared" si="110"/>
        <v>222.20000000000002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69.505222325340412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5.6843418860808015E-14</v>
      </c>
      <c r="O184" s="13">
        <f>N184*VLOOKUP('Données projet'!$B$9,Paramètres!$A$1:$I$89,3,0)*VLOOKUP('Données projet'!$B$9,Paramètres!$A$1:$I$89,5,0)</f>
        <v>5.1431925385259088E-14</v>
      </c>
      <c r="P184" s="13">
        <f t="shared" si="141"/>
        <v>8.3482866290946129E-13</v>
      </c>
      <c r="Q184" s="20">
        <f t="shared" si="162"/>
        <v>1.5435705246133045E-12</v>
      </c>
      <c r="R184" s="59">
        <f t="shared" si="109"/>
        <v>291.51914852624975</v>
      </c>
      <c r="S184" s="59">
        <f ca="1">AVERAGE(OFFSET($R$3,0,0,'Données projet'!$E$9+1,1))-AVERAGE(OFFSET($H$3,0,0,'Données projet'!$E$9+1,1))</f>
        <v>473.88815717313474</v>
      </c>
      <c r="T184" s="59">
        <f t="shared" si="142"/>
        <v>287.19790203552895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55.851111366557063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55.851111366557063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69.505222325340412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5.6843418860808015E-14</v>
      </c>
      <c r="AJ184" s="13">
        <f>AI184*VLOOKUP('Données projet'!$B$10,Paramètres!$A$1:$I$89,3,0)*VLOOKUP('Données projet'!$B$10,Paramètres!$A$1:$I$89,5,0)</f>
        <v>4.7884896048344674E-14</v>
      </c>
      <c r="AK184" s="13">
        <f t="shared" si="164"/>
        <v>7.8374629847779921E-13</v>
      </c>
      <c r="AL184" s="20">
        <f t="shared" si="165"/>
        <v>1.4484243304663672E-12</v>
      </c>
      <c r="AM184" s="59">
        <f t="shared" si="113"/>
        <v>291.51914852624964</v>
      </c>
      <c r="AN184" s="59">
        <f ca="1">AVERAGE(OFFSET($AM$3,0,0,'Données projet'!$E$10+1,1))-AVERAGE(OFFSET($H$3,0,0,'Données projet'!$E$10+1,1))</f>
        <v>445.19118535527258</v>
      </c>
      <c r="AO184" s="59">
        <f t="shared" si="144"/>
        <v>270.93483242839363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51.999310582656605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51.999310582656605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69.505222325340412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5.6843418860808015E-14</v>
      </c>
      <c r="BE184" s="13">
        <f>BD184*VLOOKUP('Données projet'!$B$11,Paramètres!$A$1:$I$89,3,0)*VLOOKUP('Données projet'!$B$11,Paramètres!$A$1:$I$89,5,0)</f>
        <v>5.7639226724859328E-14</v>
      </c>
      <c r="BF184" s="13">
        <f t="shared" si="167"/>
        <v>9.2325701996134334E-13</v>
      </c>
      <c r="BG184" s="20">
        <f t="shared" si="168"/>
        <v>1.708394296311803E-12</v>
      </c>
      <c r="BH184" s="59">
        <f t="shared" si="116"/>
        <v>291.51914852624992</v>
      </c>
      <c r="BI184" s="59">
        <f ca="1">AVERAGE(OFFSET($BH$3,0,0,'Données projet'!$E$11+1,1))-AVERAGE(OFFSET($H$3,0,0,'Données projet'!$E$11+1,1))</f>
        <v>524.01140973345832</v>
      </c>
      <c r="BJ184" s="59">
        <f t="shared" si="146"/>
        <v>315.59942237999621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62.591762738382926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62.591762738382926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69.505222325340412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-2.8421709430404007E-13</v>
      </c>
      <c r="BZ184" s="13">
        <f>BY184*VLOOKUP('Données projet'!$B$12,Paramètres!$A$1:$I$89,3,0)*VLOOKUP('Données projet'!$B$12,Paramètres!$A$1:$I$89,5,0)</f>
        <v>-1.9065282685915009E-13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358.95222991910504</v>
      </c>
      <c r="CE184" s="59">
        <f t="shared" si="148"/>
        <v>347.37506646970905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19.215037412247561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19.215037412247561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69.505222325340412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-2.8421709430404007E-13</v>
      </c>
      <c r="CU184" s="17">
        <f>CT184*VLOOKUP('Données projet'!$B$13,Paramètres!$A$1:$I$89,3,0)*VLOOKUP('Données projet'!$B$13,Paramètres!$A$1:$I$89,5,0)</f>
        <v>-1.8621904018800707E-13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351.7266381615546</v>
      </c>
      <c r="CZ184" s="59">
        <f t="shared" si="150"/>
        <v>340.52483243761799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16.247727872210145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16.247727872210145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69.505222325340412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2.2737367544323206E-13</v>
      </c>
      <c r="DP184" s="17">
        <f>DO184*VLOOKUP('Données projet'!$B$14,Paramètres!$A$1:$I$89,3,0)*VLOOKUP('Données projet'!$B$14,Paramètres!$A$1:$I$89,5,0)</f>
        <v>1.9508661353029313E-13</v>
      </c>
      <c r="DQ184" s="13">
        <f t="shared" si="176"/>
        <v>2.711421636700695E-12</v>
      </c>
      <c r="DR184" s="20">
        <f t="shared" si="177"/>
        <v>5.0621685358189711E-12</v>
      </c>
      <c r="DS184" s="59">
        <f t="shared" si="125"/>
        <v>291.51914852625328</v>
      </c>
      <c r="DT184" s="59">
        <f ca="1">AVERAGE(OFFSET($DS$3,0,0,'Données projet'!$E$14+1,1))-AVERAGE(OFFSET($H$3,0,0,'Données projet'!$E$14+1,1))</f>
        <v>569.21675741362196</v>
      </c>
      <c r="DU184" s="59">
        <f t="shared" si="152"/>
        <v>321.12410801891679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80.157782849279485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80.157782849279485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69.505222325340412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-2.8421709430404007E-13</v>
      </c>
      <c r="EK184" s="17">
        <f>EJ184*VLOOKUP('Données projet'!$B$15,Paramètres!$A$1:$I$89,3,0)*VLOOKUP('Données projet'!$B$15,Paramètres!$A$1:$I$89,5,0)</f>
        <v>-2.2612312022829427E-13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416.63597645452791</v>
      </c>
      <c r="EP184" s="59">
        <f t="shared" si="154"/>
        <v>402.05920382353497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24.317612645949051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24.317612645949051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69.505222325340412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>
        <f>FE184*VLOOKUP('Données projet'!$B$16,Paramètres!$A$1:$I$89,3,0)*VLOOKUP('Données projet'!$B$16,Paramètres!$A$1:$I$89,5,0)</f>
        <v>0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395.57130469647603</v>
      </c>
      <c r="FK184" s="59">
        <f t="shared" si="156"/>
        <v>383.97542781562674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23.067739136043492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23.067739136043492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69.505222325340412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>
        <f>FZ184*VLOOKUP('Données projet'!$B$17,Paramètres!$A$1:$I$89,3,0)*VLOOKUP('Données projet'!$B$17,Paramètres!$A$1:$I$89,5,0)</f>
        <v>0</v>
      </c>
      <c r="GB184" s="13" t="e">
        <f t="shared" si="185"/>
        <v>#NUM!</v>
      </c>
      <c r="GC184" s="20" t="e">
        <f t="shared" si="186"/>
        <v>#NUM!</v>
      </c>
      <c r="GD184" s="59" t="e">
        <f t="shared" si="134"/>
        <v>#NUM!</v>
      </c>
      <c r="GE184" s="59">
        <f ca="1">AVERAGE(OFFSET($GD$3,0,0,'Données projet'!$E$17+1,1))-AVERAGE(OFFSET($H$3,0,0,'Données projet'!$E$17+1,1))</f>
        <v>301.74744407733351</v>
      </c>
      <c r="GF184" s="59">
        <f t="shared" si="158"/>
        <v>292.46787700966991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11.981385801389095</v>
      </c>
      <c r="GM184" s="21">
        <f>EXP(-LN(2)/25)*GM183+(1-EXP(-LN(2)/25))/(LN(2)/25)*Calculateur!GH184*Calculateur!GJ184*VLOOKUP('Données projet'!$B$17,Paramètres!$A$1:$I$89,3,0)*0.475*44/12</f>
        <v>0</v>
      </c>
      <c r="GN184" s="21">
        <f>EXP(-LN(2)/2)*GN183+(1-EXP(-LN(2)/2))/(LN(2)/2)*GH184*GK184*VLOOKUP('Données projet'!$B$17,Paramètres!$A$1:$I$89,3,0)*0.475*44/12</f>
        <v>0</v>
      </c>
      <c r="GO184" s="21">
        <f t="shared" si="187"/>
        <v>11.981385801389095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69.505222325340412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-2.8421709430404007E-13</v>
      </c>
      <c r="GV184" s="17">
        <f>GU184*VLOOKUP('Données projet'!$B$18,Paramètres!$A$1:$I$89,3,0)*VLOOKUP('Données projet'!$B$18,Paramètres!$A$1:$I$89,5,0)</f>
        <v>-1.6848389350343495E-13</v>
      </c>
      <c r="GW184" s="13" t="e">
        <f t="shared" si="188"/>
        <v>#NUM!</v>
      </c>
      <c r="GX184" s="20" t="e">
        <f t="shared" si="189"/>
        <v>#NUM!</v>
      </c>
      <c r="GY184" s="59" t="e">
        <f t="shared" si="137"/>
        <v>#NUM!</v>
      </c>
      <c r="GZ184" s="59">
        <f ca="1">AVERAGE(OFFSET($GY$3,0,0,'Données projet'!$E$18+1,1))-AVERAGE(OFFSET($H$3,0,0,'Données projet'!$E$18+1,1))</f>
        <v>322.78672881269978</v>
      </c>
      <c r="HA184" s="59">
        <f t="shared" si="160"/>
        <v>313.08736327626434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19.223468758194134</v>
      </c>
      <c r="HH184" s="21">
        <f>EXP(-LN(2)/25)*HH183+(1-EXP(-LN(2)/25))/(LN(2)/25)*Calculateur!HC184*Calculateur!HE184*VLOOKUP('Données projet'!$B$18,Paramètres!$A$1:$I$89,3,0)*0.475*44/12</f>
        <v>0</v>
      </c>
      <c r="HI184" s="21">
        <f>EXP(-LN(2)/2)*HI183+(1-EXP(-LN(2)/2))/(LN(2)/2)*HC184*HF184*VLOOKUP('Données projet'!$B$18,Paramètres!$A$1:$I$89,3,0)*0.475*44/12</f>
        <v>0</v>
      </c>
      <c r="HJ184" s="22">
        <f t="shared" si="190"/>
        <v>19.223468758194134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2.3499999999999996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8.6166666666666654</v>
      </c>
      <c r="H185" s="67">
        <f t="shared" si="110"/>
        <v>222.20000000000002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69.513805611838592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5.6843418860808015E-14</v>
      </c>
      <c r="O185" s="13">
        <f>N185*VLOOKUP('Données projet'!$B$9,Paramètres!$A$1:$I$89,3,0)*VLOOKUP('Données projet'!$B$9,Paramètres!$A$1:$I$89,5,0)</f>
        <v>5.1431925385259088E-14</v>
      </c>
      <c r="P185" s="13">
        <f t="shared" si="141"/>
        <v>8.3482866290946129E-13</v>
      </c>
      <c r="Q185" s="20">
        <f t="shared" si="162"/>
        <v>1.5435705246133045E-12</v>
      </c>
      <c r="R185" s="59">
        <f t="shared" si="109"/>
        <v>291.55062057674303</v>
      </c>
      <c r="S185" s="59">
        <f ca="1">AVERAGE(OFFSET($R$3,0,0,'Données projet'!$E$9+1,1))-AVERAGE(OFFSET($H$3,0,0,'Données projet'!$E$9+1,1))</f>
        <v>473.88815717313474</v>
      </c>
      <c r="T185" s="59">
        <f t="shared" si="142"/>
        <v>287.19790203552895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54.755905138473096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54.755905138473096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69.513805611838592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5.6843418860808015E-14</v>
      </c>
      <c r="AJ185" s="13">
        <f>AI185*VLOOKUP('Données projet'!$B$10,Paramètres!$A$1:$I$89,3,0)*VLOOKUP('Données projet'!$B$10,Paramètres!$A$1:$I$89,5,0)</f>
        <v>4.7884896048344674E-14</v>
      </c>
      <c r="AK185" s="13">
        <f t="shared" si="164"/>
        <v>7.8374629847779921E-13</v>
      </c>
      <c r="AL185" s="20">
        <f t="shared" si="165"/>
        <v>1.4484243304663672E-12</v>
      </c>
      <c r="AM185" s="59">
        <f t="shared" si="113"/>
        <v>291.55062057674292</v>
      </c>
      <c r="AN185" s="59">
        <f ca="1">AVERAGE(OFFSET($AM$3,0,0,'Données projet'!$E$10+1,1))-AVERAGE(OFFSET($H$3,0,0,'Données projet'!$E$10+1,1))</f>
        <v>445.19118535527258</v>
      </c>
      <c r="AO185" s="59">
        <f t="shared" si="144"/>
        <v>270.93483242839363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50.979635818578423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50.979635818578423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69.513805611838592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5.6843418860808015E-14</v>
      </c>
      <c r="BE185" s="13">
        <f>BD185*VLOOKUP('Données projet'!$B$11,Paramètres!$A$1:$I$89,3,0)*VLOOKUP('Données projet'!$B$11,Paramètres!$A$1:$I$89,5,0)</f>
        <v>5.7639226724859328E-14</v>
      </c>
      <c r="BF185" s="13">
        <f t="shared" si="167"/>
        <v>9.2325701996134334E-13</v>
      </c>
      <c r="BG185" s="20">
        <f t="shared" si="168"/>
        <v>1.708394296311803E-12</v>
      </c>
      <c r="BH185" s="59">
        <f t="shared" si="116"/>
        <v>291.5506205767432</v>
      </c>
      <c r="BI185" s="59">
        <f ca="1">AVERAGE(OFFSET($BH$3,0,0,'Données projet'!$E$11+1,1))-AVERAGE(OFFSET($H$3,0,0,'Données projet'!$E$11+1,1))</f>
        <v>524.01140973345832</v>
      </c>
      <c r="BJ185" s="59">
        <f t="shared" si="146"/>
        <v>315.59942237999621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61.364376448288823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61.364376448288823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69.513805611838592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-2.8421709430404007E-13</v>
      </c>
      <c r="BZ185" s="13">
        <f>BY185*VLOOKUP('Données projet'!$B$12,Paramètres!$A$1:$I$89,3,0)*VLOOKUP('Données projet'!$B$12,Paramètres!$A$1:$I$89,5,0)</f>
        <v>-1.9065282685915009E-13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358.95222991910504</v>
      </c>
      <c r="CE185" s="59">
        <f t="shared" si="148"/>
        <v>347.37506646970905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18.838242248608953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18.838242248608953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69.513805611838592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-2.8421709430404007E-13</v>
      </c>
      <c r="CU185" s="17">
        <f>CT185*VLOOKUP('Données projet'!$B$13,Paramètres!$A$1:$I$89,3,0)*VLOOKUP('Données projet'!$B$13,Paramètres!$A$1:$I$89,5,0)</f>
        <v>-1.8621904018800707E-13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351.7266381615546</v>
      </c>
      <c r="CZ185" s="59">
        <f t="shared" si="150"/>
        <v>340.52483243761799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15.929119838771562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15.929119838771562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69.513805611838592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2.2737367544323206E-13</v>
      </c>
      <c r="DP185" s="17">
        <f>DO185*VLOOKUP('Données projet'!$B$14,Paramètres!$A$1:$I$89,3,0)*VLOOKUP('Données projet'!$B$14,Paramètres!$A$1:$I$89,5,0)</f>
        <v>1.9508661353029313E-13</v>
      </c>
      <c r="DQ185" s="13">
        <f t="shared" si="176"/>
        <v>2.711421636700695E-12</v>
      </c>
      <c r="DR185" s="20">
        <f t="shared" si="177"/>
        <v>5.0621685358189711E-12</v>
      </c>
      <c r="DS185" s="59">
        <f t="shared" si="125"/>
        <v>291.55062057674655</v>
      </c>
      <c r="DT185" s="59">
        <f ca="1">AVERAGE(OFFSET($DS$3,0,0,'Données projet'!$E$14+1,1))-AVERAGE(OFFSET($H$3,0,0,'Données projet'!$E$14+1,1))</f>
        <v>569.21675741362196</v>
      </c>
      <c r="DU185" s="59">
        <f t="shared" si="152"/>
        <v>321.12410801891679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78.585937619025032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78.585937619025032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69.513805611838592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-2.8421709430404007E-13</v>
      </c>
      <c r="EK185" s="17">
        <f>EJ185*VLOOKUP('Données projet'!$B$15,Paramètres!$A$1:$I$89,3,0)*VLOOKUP('Données projet'!$B$15,Paramètres!$A$1:$I$89,5,0)</f>
        <v>-2.2612312022829427E-13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416.63597645452791</v>
      </c>
      <c r="EP185" s="59">
        <f t="shared" si="154"/>
        <v>402.05920382353497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23.84075909424114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23.84075909424114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69.513805611838592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>
        <f>FE185*VLOOKUP('Données projet'!$B$16,Paramètres!$A$1:$I$89,3,0)*VLOOKUP('Données projet'!$B$16,Paramètres!$A$1:$I$89,5,0)</f>
        <v>0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395.57130469647603</v>
      </c>
      <c r="FK185" s="59">
        <f t="shared" si="156"/>
        <v>383.97542781562674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22.615394841517261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22.615394841517261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69.513805611838592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>
        <f>FZ185*VLOOKUP('Données projet'!$B$17,Paramètres!$A$1:$I$89,3,0)*VLOOKUP('Données projet'!$B$17,Paramètres!$A$1:$I$89,5,0)</f>
        <v>0</v>
      </c>
      <c r="GB185" s="13" t="e">
        <f t="shared" si="185"/>
        <v>#NUM!</v>
      </c>
      <c r="GC185" s="20" t="e">
        <f t="shared" si="186"/>
        <v>#NUM!</v>
      </c>
      <c r="GD185" s="59" t="e">
        <f t="shared" si="134"/>
        <v>#NUM!</v>
      </c>
      <c r="GE185" s="59">
        <f ca="1">AVERAGE(OFFSET($GD$3,0,0,'Données projet'!$E$17+1,1))-AVERAGE(OFFSET($H$3,0,0,'Données projet'!$E$17+1,1))</f>
        <v>301.74744407733351</v>
      </c>
      <c r="GF185" s="59">
        <f t="shared" si="158"/>
        <v>292.46787700966991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11.746438133747596</v>
      </c>
      <c r="GM185" s="21">
        <f>EXP(-LN(2)/25)*GM184+(1-EXP(-LN(2)/25))/(LN(2)/25)*Calculateur!GH185*Calculateur!GJ185*VLOOKUP('Données projet'!$B$17,Paramètres!$A$1:$I$89,3,0)*0.475*44/12</f>
        <v>0</v>
      </c>
      <c r="GN185" s="21">
        <f>EXP(-LN(2)/2)*GN184+(1-EXP(-LN(2)/2))/(LN(2)/2)*GH185*GK185*VLOOKUP('Données projet'!$B$17,Paramètres!$A$1:$I$89,3,0)*0.475*44/12</f>
        <v>0</v>
      </c>
      <c r="GO185" s="21">
        <f t="shared" si="187"/>
        <v>11.746438133747596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69.513805611838592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-2.8421709430404007E-13</v>
      </c>
      <c r="GV185" s="17">
        <f>GU185*VLOOKUP('Données projet'!$B$18,Paramètres!$A$1:$I$89,3,0)*VLOOKUP('Données projet'!$B$18,Paramètres!$A$1:$I$89,5,0)</f>
        <v>-1.6848389350343495E-13</v>
      </c>
      <c r="GW185" s="13" t="e">
        <f t="shared" si="188"/>
        <v>#NUM!</v>
      </c>
      <c r="GX185" s="20" t="e">
        <f t="shared" si="189"/>
        <v>#NUM!</v>
      </c>
      <c r="GY185" s="59" t="e">
        <f t="shared" si="137"/>
        <v>#NUM!</v>
      </c>
      <c r="GZ185" s="59">
        <f ca="1">AVERAGE(OFFSET($GY$3,0,0,'Données projet'!$E$18+1,1))-AVERAGE(OFFSET($H$3,0,0,'Données projet'!$E$18+1,1))</f>
        <v>322.78672881269978</v>
      </c>
      <c r="HA185" s="59">
        <f t="shared" si="160"/>
        <v>313.08736327626434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18.846508261004125</v>
      </c>
      <c r="HH185" s="21">
        <f>EXP(-LN(2)/25)*HH184+(1-EXP(-LN(2)/25))/(LN(2)/25)*Calculateur!HC185*Calculateur!HE185*VLOOKUP('Données projet'!$B$18,Paramètres!$A$1:$I$89,3,0)*0.475*44/12</f>
        <v>0</v>
      </c>
      <c r="HI185" s="21">
        <f>EXP(-LN(2)/2)*HI184+(1-EXP(-LN(2)/2))/(LN(2)/2)*HC185*HF185*VLOOKUP('Données projet'!$B$18,Paramètres!$A$1:$I$89,3,0)*0.475*44/12</f>
        <v>0</v>
      </c>
      <c r="HJ185" s="22">
        <f t="shared" si="190"/>
        <v>18.846508261004125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2.3499999999999996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8.6166666666666654</v>
      </c>
      <c r="H186" s="67">
        <f t="shared" si="110"/>
        <v>222.20000000000002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69.52223999750538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5.6843418860808015E-14</v>
      </c>
      <c r="O186" s="13">
        <f>N186*VLOOKUP('Données projet'!$B$9,Paramètres!$A$1:$I$89,3,0)*VLOOKUP('Données projet'!$B$9,Paramètres!$A$1:$I$89,5,0)</f>
        <v>5.1431925385259088E-14</v>
      </c>
      <c r="P186" s="13">
        <f t="shared" si="141"/>
        <v>8.3482866290946129E-13</v>
      </c>
      <c r="Q186" s="20">
        <f t="shared" si="162"/>
        <v>1.5435705246133045E-12</v>
      </c>
      <c r="R186" s="59">
        <f t="shared" si="109"/>
        <v>291.58154665752124</v>
      </c>
      <c r="S186" s="59">
        <f ca="1">AVERAGE(OFFSET($R$3,0,0,'Données projet'!$E$9+1,1))-AVERAGE(OFFSET($H$3,0,0,'Données projet'!$E$9+1,1))</f>
        <v>473.88815717313474</v>
      </c>
      <c r="T186" s="59">
        <f t="shared" si="142"/>
        <v>287.19790203552895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53.682175236512016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53.682175236512016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69.52223999750538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5.6843418860808015E-14</v>
      </c>
      <c r="AJ186" s="13">
        <f>AI186*VLOOKUP('Données projet'!$B$10,Paramètres!$A$1:$I$89,3,0)*VLOOKUP('Données projet'!$B$10,Paramètres!$A$1:$I$89,5,0)</f>
        <v>4.7884896048344674E-14</v>
      </c>
      <c r="AK186" s="13">
        <f t="shared" si="164"/>
        <v>7.8374629847779921E-13</v>
      </c>
      <c r="AL186" s="20">
        <f t="shared" si="165"/>
        <v>1.4484243304663672E-12</v>
      </c>
      <c r="AM186" s="59">
        <f t="shared" si="113"/>
        <v>291.58154665752113</v>
      </c>
      <c r="AN186" s="59">
        <f ca="1">AVERAGE(OFFSET($AM$3,0,0,'Données projet'!$E$10+1,1))-AVERAGE(OFFSET($H$3,0,0,'Données projet'!$E$10+1,1))</f>
        <v>445.19118535527258</v>
      </c>
      <c r="AO186" s="59">
        <f t="shared" si="144"/>
        <v>270.93483242839363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49.979956254683621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49.979956254683621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69.52223999750538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5.6843418860808015E-14</v>
      </c>
      <c r="BE186" s="13">
        <f>BD186*VLOOKUP('Données projet'!$B$11,Paramètres!$A$1:$I$89,3,0)*VLOOKUP('Données projet'!$B$11,Paramètres!$A$1:$I$89,5,0)</f>
        <v>5.7639226724859328E-14</v>
      </c>
      <c r="BF186" s="13">
        <f t="shared" si="167"/>
        <v>9.2325701996134334E-13</v>
      </c>
      <c r="BG186" s="20">
        <f t="shared" si="168"/>
        <v>1.708394296311803E-12</v>
      </c>
      <c r="BH186" s="59">
        <f t="shared" si="116"/>
        <v>291.58154665752141</v>
      </c>
      <c r="BI186" s="59">
        <f ca="1">AVERAGE(OFFSET($BH$3,0,0,'Données projet'!$E$11+1,1))-AVERAGE(OFFSET($H$3,0,0,'Données projet'!$E$11+1,1))</f>
        <v>524.01140973345832</v>
      </c>
      <c r="BJ186" s="59">
        <f t="shared" si="146"/>
        <v>315.59942237999621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60.16105845471175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60.16105845471175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69.52223999750538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-2.8421709430404007E-13</v>
      </c>
      <c r="BZ186" s="13">
        <f>BY186*VLOOKUP('Données projet'!$B$12,Paramètres!$A$1:$I$89,3,0)*VLOOKUP('Données projet'!$B$12,Paramètres!$A$1:$I$89,5,0)</f>
        <v>-1.9065282685915009E-13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358.95222991910504</v>
      </c>
      <c r="CE186" s="59">
        <f t="shared" si="148"/>
        <v>347.37506646970905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18.468835808306942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18.468835808306942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69.52223999750538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-2.8421709430404007E-13</v>
      </c>
      <c r="CU186" s="17">
        <f>CT186*VLOOKUP('Données projet'!$B$13,Paramètres!$A$1:$I$89,3,0)*VLOOKUP('Données projet'!$B$13,Paramètres!$A$1:$I$89,5,0)</f>
        <v>-1.8621904018800707E-13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351.7266381615546</v>
      </c>
      <c r="CZ186" s="59">
        <f t="shared" si="150"/>
        <v>340.52483243761799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15.616759514536998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15.616759514536998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69.52223999750538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2.2737367544323206E-13</v>
      </c>
      <c r="DP186" s="17">
        <f>DO186*VLOOKUP('Données projet'!$B$14,Paramètres!$A$1:$I$89,3,0)*VLOOKUP('Données projet'!$B$14,Paramètres!$A$1:$I$89,5,0)</f>
        <v>1.9508661353029313E-13</v>
      </c>
      <c r="DQ186" s="13">
        <f t="shared" si="176"/>
        <v>2.711421636700695E-12</v>
      </c>
      <c r="DR186" s="20">
        <f t="shared" si="177"/>
        <v>5.0621685358189711E-12</v>
      </c>
      <c r="DS186" s="59">
        <f t="shared" si="125"/>
        <v>291.58154665752477</v>
      </c>
      <c r="DT186" s="59">
        <f ca="1">AVERAGE(OFFSET($DS$3,0,0,'Données projet'!$E$14+1,1))-AVERAGE(OFFSET($H$3,0,0,'Données projet'!$E$14+1,1))</f>
        <v>569.21675741362196</v>
      </c>
      <c r="DU186" s="59">
        <f t="shared" si="152"/>
        <v>321.12410801891679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77.044915315004943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77.044915315004943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69.52223999750538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-2.8421709430404007E-13</v>
      </c>
      <c r="EK186" s="17">
        <f>EJ186*VLOOKUP('Données projet'!$B$15,Paramètres!$A$1:$I$89,3,0)*VLOOKUP('Données projet'!$B$15,Paramètres!$A$1:$I$89,5,0)</f>
        <v>-2.2612312022829427E-13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416.63597645452791</v>
      </c>
      <c r="EP186" s="59">
        <f t="shared" si="154"/>
        <v>402.05920382353497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23.373256349830271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23.373256349830271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69.52223999750538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>
        <f>FE186*VLOOKUP('Données projet'!$B$16,Paramètres!$A$1:$I$89,3,0)*VLOOKUP('Données projet'!$B$16,Paramètres!$A$1:$I$89,5,0)</f>
        <v>0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395.57130469647603</v>
      </c>
      <c r="FK186" s="59">
        <f t="shared" si="156"/>
        <v>383.97542781562674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22.171920742703914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22.171920742703914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69.52223999750538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>
        <f>FZ186*VLOOKUP('Données projet'!$B$17,Paramètres!$A$1:$I$89,3,0)*VLOOKUP('Données projet'!$B$17,Paramètres!$A$1:$I$89,5,0)</f>
        <v>0</v>
      </c>
      <c r="GB186" s="13" t="e">
        <f t="shared" si="185"/>
        <v>#NUM!</v>
      </c>
      <c r="GC186" s="20" t="e">
        <f t="shared" si="186"/>
        <v>#NUM!</v>
      </c>
      <c r="GD186" s="59" t="e">
        <f t="shared" si="134"/>
        <v>#NUM!</v>
      </c>
      <c r="GE186" s="59">
        <f ca="1">AVERAGE(OFFSET($GD$3,0,0,'Données projet'!$E$17+1,1))-AVERAGE(OFFSET($H$3,0,0,'Données projet'!$E$17+1,1))</f>
        <v>301.74744407733351</v>
      </c>
      <c r="GF186" s="59">
        <f t="shared" si="158"/>
        <v>292.46787700966991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11.516097646564619</v>
      </c>
      <c r="GM186" s="21">
        <f>EXP(-LN(2)/25)*GM185+(1-EXP(-LN(2)/25))/(LN(2)/25)*Calculateur!GH186*Calculateur!GJ186*VLOOKUP('Données projet'!$B$17,Paramètres!$A$1:$I$89,3,0)*0.475*44/12</f>
        <v>0</v>
      </c>
      <c r="GN186" s="21">
        <f>EXP(-LN(2)/2)*GN185+(1-EXP(-LN(2)/2))/(LN(2)/2)*GH186*GK186*VLOOKUP('Données projet'!$B$17,Paramètres!$A$1:$I$89,3,0)*0.475*44/12</f>
        <v>0</v>
      </c>
      <c r="GO186" s="21">
        <f t="shared" si="187"/>
        <v>11.516097646564619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69.52223999750538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-2.8421709430404007E-13</v>
      </c>
      <c r="GV186" s="17">
        <f>GU186*VLOOKUP('Données projet'!$B$18,Paramètres!$A$1:$I$89,3,0)*VLOOKUP('Données projet'!$B$18,Paramètres!$A$1:$I$89,5,0)</f>
        <v>-1.6848389350343495E-13</v>
      </c>
      <c r="GW186" s="13" t="e">
        <f t="shared" si="188"/>
        <v>#NUM!</v>
      </c>
      <c r="GX186" s="20" t="e">
        <f t="shared" si="189"/>
        <v>#NUM!</v>
      </c>
      <c r="GY186" s="59" t="e">
        <f t="shared" si="137"/>
        <v>#NUM!</v>
      </c>
      <c r="GZ186" s="59">
        <f ca="1">AVERAGE(OFFSET($GY$3,0,0,'Données projet'!$E$18+1,1))-AVERAGE(OFFSET($H$3,0,0,'Données projet'!$E$18+1,1))</f>
        <v>322.78672881269978</v>
      </c>
      <c r="HA186" s="59">
        <f t="shared" si="160"/>
        <v>313.08736327626434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18.476939729240812</v>
      </c>
      <c r="HH186" s="21">
        <f>EXP(-LN(2)/25)*HH185+(1-EXP(-LN(2)/25))/(LN(2)/25)*Calculateur!HC186*Calculateur!HE186*VLOOKUP('Données projet'!$B$18,Paramètres!$A$1:$I$89,3,0)*0.475*44/12</f>
        <v>0</v>
      </c>
      <c r="HI186" s="21">
        <f>EXP(-LN(2)/2)*HI185+(1-EXP(-LN(2)/2))/(LN(2)/2)*HC186*HF186*VLOOKUP('Données projet'!$B$18,Paramètres!$A$1:$I$89,3,0)*0.475*44/12</f>
        <v>0</v>
      </c>
      <c r="HJ186" s="22">
        <f t="shared" si="190"/>
        <v>18.476939729240812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2.3499999999999996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8.6166666666666654</v>
      </c>
      <c r="H187" s="67">
        <f t="shared" si="110"/>
        <v>222.20000000000002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69.530528065437323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5.6843418860808015E-14</v>
      </c>
      <c r="O187" s="13">
        <f>N187*VLOOKUP('Données projet'!$B$9,Paramètres!$A$1:$I$89,3,0)*VLOOKUP('Données projet'!$B$9,Paramètres!$A$1:$I$89,5,0)</f>
        <v>5.1431925385259088E-14</v>
      </c>
      <c r="P187" s="13">
        <f t="shared" si="141"/>
        <v>8.3482866290946129E-13</v>
      </c>
      <c r="Q187" s="20">
        <f t="shared" si="162"/>
        <v>1.5435705246133045E-12</v>
      </c>
      <c r="R187" s="59">
        <f t="shared" si="109"/>
        <v>291.61193623993836</v>
      </c>
      <c r="S187" s="59">
        <f ca="1">AVERAGE(OFFSET($R$3,0,0,'Données projet'!$E$9+1,1))-AVERAGE(OFFSET($H$3,0,0,'Données projet'!$E$9+1,1))</f>
        <v>473.88815717313474</v>
      </c>
      <c r="T187" s="59">
        <f t="shared" si="142"/>
        <v>287.19790203552895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52.629500523017818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52.629500523017818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69.530528065437323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5.6843418860808015E-14</v>
      </c>
      <c r="AJ187" s="13">
        <f>AI187*VLOOKUP('Données projet'!$B$10,Paramètres!$A$1:$I$89,3,0)*VLOOKUP('Données projet'!$B$10,Paramètres!$A$1:$I$89,5,0)</f>
        <v>4.7884896048344674E-14</v>
      </c>
      <c r="AK187" s="13">
        <f t="shared" si="164"/>
        <v>7.8374629847779921E-13</v>
      </c>
      <c r="AL187" s="20">
        <f t="shared" si="165"/>
        <v>1.4484243304663672E-12</v>
      </c>
      <c r="AM187" s="59">
        <f t="shared" si="113"/>
        <v>291.61193623993825</v>
      </c>
      <c r="AN187" s="59">
        <f ca="1">AVERAGE(OFFSET($AM$3,0,0,'Données projet'!$E$10+1,1))-AVERAGE(OFFSET($H$3,0,0,'Données projet'!$E$10+1,1))</f>
        <v>445.19118535527258</v>
      </c>
      <c r="AO187" s="59">
        <f t="shared" si="144"/>
        <v>270.93483242839363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48.999879797292472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48.999879797292472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69.530528065437323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5.6843418860808015E-14</v>
      </c>
      <c r="BE187" s="13">
        <f>BD187*VLOOKUP('Données projet'!$B$11,Paramètres!$A$1:$I$89,3,0)*VLOOKUP('Données projet'!$B$11,Paramètres!$A$1:$I$89,5,0)</f>
        <v>5.7639226724859328E-14</v>
      </c>
      <c r="BF187" s="13">
        <f t="shared" si="167"/>
        <v>9.2325701996134334E-13</v>
      </c>
      <c r="BG187" s="20">
        <f t="shared" si="168"/>
        <v>1.708394296311803E-12</v>
      </c>
      <c r="BH187" s="59">
        <f t="shared" si="116"/>
        <v>291.61193623993853</v>
      </c>
      <c r="BI187" s="59">
        <f ca="1">AVERAGE(OFFSET($BH$3,0,0,'Données projet'!$E$11+1,1))-AVERAGE(OFFSET($H$3,0,0,'Données projet'!$E$11+1,1))</f>
        <v>524.01140973345832</v>
      </c>
      <c r="BJ187" s="59">
        <f t="shared" si="146"/>
        <v>315.59942237999621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58.981336793037215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58.981336793037215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69.530528065437323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-2.8421709430404007E-13</v>
      </c>
      <c r="BZ187" s="13">
        <f>BY187*VLOOKUP('Données projet'!$B$12,Paramètres!$A$1:$I$89,3,0)*VLOOKUP('Données projet'!$B$12,Paramètres!$A$1:$I$89,5,0)</f>
        <v>-1.9065282685915009E-13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358.95222991910504</v>
      </c>
      <c r="CE187" s="59">
        <f t="shared" si="148"/>
        <v>347.37506646970905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18.106673202983572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18.106673202983572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69.530528065437323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-2.8421709430404007E-13</v>
      </c>
      <c r="CU187" s="17">
        <f>CT187*VLOOKUP('Données projet'!$B$13,Paramètres!$A$1:$I$89,3,0)*VLOOKUP('Données projet'!$B$13,Paramètres!$A$1:$I$89,5,0)</f>
        <v>-1.8621904018800707E-13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351.7266381615546</v>
      </c>
      <c r="CZ187" s="59">
        <f t="shared" si="150"/>
        <v>340.52483243761799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15.310524385739688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15.310524385739688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69.530528065437323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2.2737367544323206E-13</v>
      </c>
      <c r="DP187" s="17">
        <f>DO187*VLOOKUP('Données projet'!$B$14,Paramètres!$A$1:$I$89,3,0)*VLOOKUP('Données projet'!$B$14,Paramètres!$A$1:$I$89,5,0)</f>
        <v>1.9508661353029313E-13</v>
      </c>
      <c r="DQ187" s="13">
        <f t="shared" si="176"/>
        <v>2.711421636700695E-12</v>
      </c>
      <c r="DR187" s="20">
        <f t="shared" si="177"/>
        <v>5.0621685358189711E-12</v>
      </c>
      <c r="DS187" s="59">
        <f t="shared" si="125"/>
        <v>291.61193623994188</v>
      </c>
      <c r="DT187" s="59">
        <f ca="1">AVERAGE(OFFSET($DS$3,0,0,'Données projet'!$E$14+1,1))-AVERAGE(OFFSET($H$3,0,0,'Données projet'!$E$14+1,1))</f>
        <v>569.21675741362196</v>
      </c>
      <c r="DU187" s="59">
        <f t="shared" si="152"/>
        <v>321.12410801891679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75.534111518435893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75.534111518435893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69.530528065437323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-2.8421709430404007E-13</v>
      </c>
      <c r="EK187" s="17">
        <f>EJ187*VLOOKUP('Données projet'!$B$15,Paramètres!$A$1:$I$89,3,0)*VLOOKUP('Données projet'!$B$15,Paramètres!$A$1:$I$89,5,0)</f>
        <v>-2.2612312022829427E-13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416.63597645452791</v>
      </c>
      <c r="EP187" s="59">
        <f t="shared" si="154"/>
        <v>402.05920382353497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22.914921049088782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22.914921049088782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69.530528065437323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>
        <f>FE187*VLOOKUP('Données projet'!$B$16,Paramètres!$A$1:$I$89,3,0)*VLOOKUP('Données projet'!$B$16,Paramètres!$A$1:$I$89,5,0)</f>
        <v>0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395.57130469647603</v>
      </c>
      <c r="FK187" s="59">
        <f t="shared" si="156"/>
        <v>383.97542781562674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21.737142900475806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21.737142900475806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69.530528065437323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>
        <f>FZ187*VLOOKUP('Données projet'!$B$17,Paramètres!$A$1:$I$89,3,0)*VLOOKUP('Données projet'!$B$17,Paramètres!$A$1:$I$89,5,0)</f>
        <v>0</v>
      </c>
      <c r="GB187" s="13" t="e">
        <f t="shared" si="185"/>
        <v>#NUM!</v>
      </c>
      <c r="GC187" s="20" t="e">
        <f t="shared" si="186"/>
        <v>#NUM!</v>
      </c>
      <c r="GD187" s="59" t="e">
        <f t="shared" si="134"/>
        <v>#NUM!</v>
      </c>
      <c r="GE187" s="59">
        <f ca="1">AVERAGE(OFFSET($GD$3,0,0,'Données projet'!$E$17+1,1))-AVERAGE(OFFSET($H$3,0,0,'Données projet'!$E$17+1,1))</f>
        <v>301.74744407733351</v>
      </c>
      <c r="GF187" s="59">
        <f t="shared" si="158"/>
        <v>292.46787700966991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11.290273995841476</v>
      </c>
      <c r="GM187" s="21">
        <f>EXP(-LN(2)/25)*GM186+(1-EXP(-LN(2)/25))/(LN(2)/25)*Calculateur!GH187*Calculateur!GJ187*VLOOKUP('Données projet'!$B$17,Paramètres!$A$1:$I$89,3,0)*0.475*44/12</f>
        <v>0</v>
      </c>
      <c r="GN187" s="21">
        <f>EXP(-LN(2)/2)*GN186+(1-EXP(-LN(2)/2))/(LN(2)/2)*GH187*GK187*VLOOKUP('Données projet'!$B$17,Paramètres!$A$1:$I$89,3,0)*0.475*44/12</f>
        <v>0</v>
      </c>
      <c r="GO187" s="21">
        <f t="shared" si="187"/>
        <v>11.290273995841476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69.530528065437323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-2.8421709430404007E-13</v>
      </c>
      <c r="GV187" s="17">
        <f>GU187*VLOOKUP('Données projet'!$B$18,Paramètres!$A$1:$I$89,3,0)*VLOOKUP('Données projet'!$B$18,Paramètres!$A$1:$I$89,5,0)</f>
        <v>-1.6848389350343495E-13</v>
      </c>
      <c r="GW187" s="13" t="e">
        <f t="shared" si="188"/>
        <v>#NUM!</v>
      </c>
      <c r="GX187" s="20" t="e">
        <f t="shared" si="189"/>
        <v>#NUM!</v>
      </c>
      <c r="GY187" s="59" t="e">
        <f t="shared" si="137"/>
        <v>#NUM!</v>
      </c>
      <c r="GZ187" s="59">
        <f ca="1">AVERAGE(OFFSET($GY$3,0,0,'Données projet'!$E$18+1,1))-AVERAGE(OFFSET($H$3,0,0,'Données projet'!$E$18+1,1))</f>
        <v>322.78672881269978</v>
      </c>
      <c r="HA187" s="59">
        <f t="shared" si="160"/>
        <v>313.08736327626434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18.114618210970832</v>
      </c>
      <c r="HH187" s="21">
        <f>EXP(-LN(2)/25)*HH186+(1-EXP(-LN(2)/25))/(LN(2)/25)*Calculateur!HC187*Calculateur!HE187*VLOOKUP('Données projet'!$B$18,Paramètres!$A$1:$I$89,3,0)*0.475*44/12</f>
        <v>0</v>
      </c>
      <c r="HI187" s="21">
        <f>EXP(-LN(2)/2)*HI186+(1-EXP(-LN(2)/2))/(LN(2)/2)*HC187*HF187*VLOOKUP('Données projet'!$B$18,Paramètres!$A$1:$I$89,3,0)*0.475*44/12</f>
        <v>0</v>
      </c>
      <c r="HJ187" s="22">
        <f t="shared" si="190"/>
        <v>18.114618210970832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2.3499999999999996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8.6166666666666654</v>
      </c>
      <c r="H188" s="67">
        <f t="shared" si="110"/>
        <v>222.20000000000002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69.538672353919978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5.6843418860808015E-14</v>
      </c>
      <c r="O188" s="13">
        <f>N188*VLOOKUP('Données projet'!$B$9,Paramètres!$A$1:$I$89,3,0)*VLOOKUP('Données projet'!$B$9,Paramètres!$A$1:$I$89,5,0)</f>
        <v>5.1431925385259088E-14</v>
      </c>
      <c r="P188" s="13">
        <f t="shared" si="141"/>
        <v>8.3482866290946129E-13</v>
      </c>
      <c r="Q188" s="20">
        <f t="shared" si="162"/>
        <v>1.5435705246133045E-12</v>
      </c>
      <c r="R188" s="59">
        <f t="shared" si="109"/>
        <v>291.64179863104147</v>
      </c>
      <c r="S188" s="59">
        <f ca="1">AVERAGE(OFFSET($R$3,0,0,'Données projet'!$E$9+1,1))-AVERAGE(OFFSET($H$3,0,0,'Données projet'!$E$9+1,1))</f>
        <v>473.88815717313474</v>
      </c>
      <c r="T188" s="59">
        <f t="shared" si="142"/>
        <v>287.19790203552895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51.597468118587066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51.597468118587066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69.538672353919978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5.6843418860808015E-14</v>
      </c>
      <c r="AJ188" s="13">
        <f>AI188*VLOOKUP('Données projet'!$B$10,Paramètres!$A$1:$I$89,3,0)*VLOOKUP('Données projet'!$B$10,Paramètres!$A$1:$I$89,5,0)</f>
        <v>4.7884896048344674E-14</v>
      </c>
      <c r="AK188" s="13">
        <f t="shared" si="164"/>
        <v>7.8374629847779921E-13</v>
      </c>
      <c r="AL188" s="20">
        <f t="shared" si="165"/>
        <v>1.4484243304663672E-12</v>
      </c>
      <c r="AM188" s="59">
        <f t="shared" si="113"/>
        <v>291.64179863104135</v>
      </c>
      <c r="AN188" s="59">
        <f ca="1">AVERAGE(OFFSET($AM$3,0,0,'Données projet'!$E$10+1,1))-AVERAGE(OFFSET($H$3,0,0,'Données projet'!$E$10+1,1))</f>
        <v>445.19118535527258</v>
      </c>
      <c r="AO188" s="59">
        <f t="shared" si="144"/>
        <v>270.93483242839363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48.039022041443147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48.039022041443147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69.538672353919978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5.6843418860808015E-14</v>
      </c>
      <c r="BE188" s="13">
        <f>BD188*VLOOKUP('Données projet'!$B$11,Paramètres!$A$1:$I$89,3,0)*VLOOKUP('Données projet'!$B$11,Paramètres!$A$1:$I$89,5,0)</f>
        <v>5.7639226724859328E-14</v>
      </c>
      <c r="BF188" s="13">
        <f t="shared" si="167"/>
        <v>9.2325701996134334E-13</v>
      </c>
      <c r="BG188" s="20">
        <f t="shared" si="168"/>
        <v>1.708394296311803E-12</v>
      </c>
      <c r="BH188" s="59">
        <f t="shared" si="116"/>
        <v>291.64179863104164</v>
      </c>
      <c r="BI188" s="59">
        <f ca="1">AVERAGE(OFFSET($BH$3,0,0,'Données projet'!$E$11+1,1))-AVERAGE(OFFSET($H$3,0,0,'Données projet'!$E$11+1,1))</f>
        <v>524.01140973345832</v>
      </c>
      <c r="BJ188" s="59">
        <f t="shared" si="146"/>
        <v>315.59942237999621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57.824748753588956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57.824748753588956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69.538672353919978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-2.8421709430404007E-13</v>
      </c>
      <c r="BZ188" s="13">
        <f>BY188*VLOOKUP('Données projet'!$B$12,Paramètres!$A$1:$I$89,3,0)*VLOOKUP('Données projet'!$B$12,Paramètres!$A$1:$I$89,5,0)</f>
        <v>-1.9065282685915009E-13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358.95222991910504</v>
      </c>
      <c r="CE188" s="59">
        <f t="shared" si="148"/>
        <v>347.37506646970905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17.751612385453214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17.751612385453214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69.538672353919978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-2.8421709430404007E-13</v>
      </c>
      <c r="CU188" s="17">
        <f>CT188*VLOOKUP('Données projet'!$B$13,Paramètres!$A$1:$I$89,3,0)*VLOOKUP('Données projet'!$B$13,Paramètres!$A$1:$I$89,5,0)</f>
        <v>-1.8621904018800707E-13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351.7266381615546</v>
      </c>
      <c r="CZ188" s="59">
        <f t="shared" si="150"/>
        <v>340.52483243761799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15.010294341033108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15.010294341033108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69.538672353919978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2.2737367544323206E-13</v>
      </c>
      <c r="DP188" s="17">
        <f>DO188*VLOOKUP('Données projet'!$B$14,Paramètres!$A$1:$I$89,3,0)*VLOOKUP('Données projet'!$B$14,Paramètres!$A$1:$I$89,5,0)</f>
        <v>1.9508661353029313E-13</v>
      </c>
      <c r="DQ188" s="13">
        <f t="shared" si="176"/>
        <v>2.711421636700695E-12</v>
      </c>
      <c r="DR188" s="20">
        <f t="shared" si="177"/>
        <v>5.0621685358189711E-12</v>
      </c>
      <c r="DS188" s="59">
        <f t="shared" si="125"/>
        <v>291.64179863104499</v>
      </c>
      <c r="DT188" s="59">
        <f ca="1">AVERAGE(OFFSET($DS$3,0,0,'Données projet'!$E$14+1,1))-AVERAGE(OFFSET($H$3,0,0,'Données projet'!$E$14+1,1))</f>
        <v>569.21675741362196</v>
      </c>
      <c r="DU188" s="59">
        <f t="shared" si="152"/>
        <v>321.12410801891679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74.052933662818234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74.052933662818234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69.538672353919978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-2.8421709430404007E-13</v>
      </c>
      <c r="EK188" s="17">
        <f>EJ188*VLOOKUP('Données projet'!$B$15,Paramètres!$A$1:$I$89,3,0)*VLOOKUP('Données projet'!$B$15,Paramètres!$A$1:$I$89,5,0)</f>
        <v>-2.2612312022829427E-13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416.63597645452791</v>
      </c>
      <c r="EP188" s="59">
        <f t="shared" si="154"/>
        <v>402.05920382353497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22.465573424037906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22.465573424037906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69.538672353919978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>
        <f>FE188*VLOOKUP('Données projet'!$B$16,Paramètres!$A$1:$I$89,3,0)*VLOOKUP('Données projet'!$B$16,Paramètres!$A$1:$I$89,5,0)</f>
        <v>0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395.57130469647603</v>
      </c>
      <c r="FK188" s="59">
        <f t="shared" si="156"/>
        <v>383.97542781562674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21.310890786545492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21.310890786545492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69.538672353919978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>
        <f>FZ188*VLOOKUP('Données projet'!$B$17,Paramètres!$A$1:$I$89,3,0)*VLOOKUP('Données projet'!$B$17,Paramètres!$A$1:$I$89,5,0)</f>
        <v>0</v>
      </c>
      <c r="GB188" s="13" t="e">
        <f t="shared" si="185"/>
        <v>#NUM!</v>
      </c>
      <c r="GC188" s="20" t="e">
        <f t="shared" si="186"/>
        <v>#NUM!</v>
      </c>
      <c r="GD188" s="59" t="e">
        <f t="shared" si="134"/>
        <v>#NUM!</v>
      </c>
      <c r="GE188" s="59">
        <f ca="1">AVERAGE(OFFSET($GD$3,0,0,'Données projet'!$E$17+1,1))-AVERAGE(OFFSET($H$3,0,0,'Données projet'!$E$17+1,1))</f>
        <v>301.74744407733351</v>
      </c>
      <c r="GF188" s="59">
        <f t="shared" si="158"/>
        <v>292.46787700966991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11.068878609170188</v>
      </c>
      <c r="GM188" s="21">
        <f>EXP(-LN(2)/25)*GM187+(1-EXP(-LN(2)/25))/(LN(2)/25)*Calculateur!GH188*Calculateur!GJ188*VLOOKUP('Données projet'!$B$17,Paramètres!$A$1:$I$89,3,0)*0.475*44/12</f>
        <v>0</v>
      </c>
      <c r="GN188" s="21">
        <f>EXP(-LN(2)/2)*GN187+(1-EXP(-LN(2)/2))/(LN(2)/2)*GH188*GK188*VLOOKUP('Données projet'!$B$17,Paramètres!$A$1:$I$89,3,0)*0.475*44/12</f>
        <v>0</v>
      </c>
      <c r="GO188" s="21">
        <f t="shared" si="187"/>
        <v>11.068878609170188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69.538672353919978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-2.8421709430404007E-13</v>
      </c>
      <c r="GV188" s="17">
        <f>GU188*VLOOKUP('Données projet'!$B$18,Paramètres!$A$1:$I$89,3,0)*VLOOKUP('Données projet'!$B$18,Paramètres!$A$1:$I$89,5,0)</f>
        <v>-1.6848389350343495E-13</v>
      </c>
      <c r="GW188" s="13" t="e">
        <f t="shared" si="188"/>
        <v>#NUM!</v>
      </c>
      <c r="GX188" s="20" t="e">
        <f t="shared" si="189"/>
        <v>#NUM!</v>
      </c>
      <c r="GY188" s="59" t="e">
        <f t="shared" si="137"/>
        <v>#NUM!</v>
      </c>
      <c r="GZ188" s="59">
        <f ca="1">AVERAGE(OFFSET($GY$3,0,0,'Données projet'!$E$18+1,1))-AVERAGE(OFFSET($H$3,0,0,'Données projet'!$E$18+1,1))</f>
        <v>322.78672881269978</v>
      </c>
      <c r="HA188" s="59">
        <f t="shared" si="160"/>
        <v>313.08736327626434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17.759401596679822</v>
      </c>
      <c r="HH188" s="21">
        <f>EXP(-LN(2)/25)*HH187+(1-EXP(-LN(2)/25))/(LN(2)/25)*Calculateur!HC188*Calculateur!HE188*VLOOKUP('Données projet'!$B$18,Paramètres!$A$1:$I$89,3,0)*0.475*44/12</f>
        <v>0</v>
      </c>
      <c r="HI188" s="21">
        <f>EXP(-LN(2)/2)*HI187+(1-EXP(-LN(2)/2))/(LN(2)/2)*HC188*HF188*VLOOKUP('Données projet'!$B$18,Paramètres!$A$1:$I$89,3,0)*0.475*44/12</f>
        <v>0</v>
      </c>
      <c r="HJ188" s="22">
        <f t="shared" si="190"/>
        <v>17.759401596679822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2.3499999999999996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8.6166666666666654</v>
      </c>
      <c r="H189" s="67">
        <f t="shared" si="110"/>
        <v>222.20000000000002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69.546675357205359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5.6843418860808015E-14</v>
      </c>
      <c r="O189" s="13">
        <f>N189*VLOOKUP('Données projet'!$B$9,Paramètres!$A$1:$I$89,3,0)*VLOOKUP('Données projet'!$B$9,Paramètres!$A$1:$I$89,5,0)</f>
        <v>5.1431925385259088E-14</v>
      </c>
      <c r="P189" s="13">
        <f t="shared" si="141"/>
        <v>8.3482866290946129E-13</v>
      </c>
      <c r="Q189" s="20">
        <f t="shared" si="162"/>
        <v>1.5435705246133045E-12</v>
      </c>
      <c r="R189" s="59">
        <f t="shared" si="109"/>
        <v>291.67114297642115</v>
      </c>
      <c r="S189" s="59">
        <f ca="1">AVERAGE(OFFSET($R$3,0,0,'Données projet'!$E$9+1,1))-AVERAGE(OFFSET($H$3,0,0,'Données projet'!$E$9+1,1))</f>
        <v>473.88815717313474</v>
      </c>
      <c r="T189" s="59">
        <f t="shared" si="142"/>
        <v>287.19790203552895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50.585673240129587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50.585673240129587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69.546675357205359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5.6843418860808015E-14</v>
      </c>
      <c r="AJ189" s="13">
        <f>AI189*VLOOKUP('Données projet'!$B$10,Paramètres!$A$1:$I$89,3,0)*VLOOKUP('Données projet'!$B$10,Paramètres!$A$1:$I$89,5,0)</f>
        <v>4.7884896048344674E-14</v>
      </c>
      <c r="AK189" s="13">
        <f t="shared" si="164"/>
        <v>7.8374629847779921E-13</v>
      </c>
      <c r="AL189" s="20">
        <f t="shared" si="165"/>
        <v>1.4484243304663672E-12</v>
      </c>
      <c r="AM189" s="59">
        <f t="shared" si="113"/>
        <v>291.67114297642104</v>
      </c>
      <c r="AN189" s="59">
        <f ca="1">AVERAGE(OFFSET($AM$3,0,0,'Données projet'!$E$10+1,1))-AVERAGE(OFFSET($H$3,0,0,'Données projet'!$E$10+1,1))</f>
        <v>445.19118535527258</v>
      </c>
      <c r="AO189" s="59">
        <f t="shared" si="144"/>
        <v>270.93483242839363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47.097006120120668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47.097006120120668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69.546675357205359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5.6843418860808015E-14</v>
      </c>
      <c r="BE189" s="13">
        <f>BD189*VLOOKUP('Données projet'!$B$11,Paramètres!$A$1:$I$89,3,0)*VLOOKUP('Données projet'!$B$11,Paramètres!$A$1:$I$89,5,0)</f>
        <v>5.7639226724859328E-14</v>
      </c>
      <c r="BF189" s="13">
        <f t="shared" si="167"/>
        <v>9.2325701996134334E-13</v>
      </c>
      <c r="BG189" s="20">
        <f t="shared" si="168"/>
        <v>1.708394296311803E-12</v>
      </c>
      <c r="BH189" s="59">
        <f t="shared" si="116"/>
        <v>291.67114297642132</v>
      </c>
      <c r="BI189" s="59">
        <f ca="1">AVERAGE(OFFSET($BH$3,0,0,'Données projet'!$E$11+1,1))-AVERAGE(OFFSET($H$3,0,0,'Données projet'!$E$11+1,1))</f>
        <v>524.01140973345832</v>
      </c>
      <c r="BJ189" s="59">
        <f t="shared" si="146"/>
        <v>315.59942237999621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56.69084070014523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56.69084070014523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69.546675357205359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-2.8421709430404007E-13</v>
      </c>
      <c r="BZ189" s="13">
        <f>BY189*VLOOKUP('Données projet'!$B$12,Paramètres!$A$1:$I$89,3,0)*VLOOKUP('Données projet'!$B$12,Paramètres!$A$1:$I$89,5,0)</f>
        <v>-1.9065282685915009E-13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358.95222991910504</v>
      </c>
      <c r="CE189" s="59">
        <f t="shared" si="148"/>
        <v>347.37506646970905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17.403514093988914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17.403514093988914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69.546675357205359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-2.8421709430404007E-13</v>
      </c>
      <c r="CU189" s="17">
        <f>CT189*VLOOKUP('Données projet'!$B$13,Paramètres!$A$1:$I$89,3,0)*VLOOKUP('Données projet'!$B$13,Paramètres!$A$1:$I$89,5,0)</f>
        <v>-1.8621904018800707E-13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351.7266381615546</v>
      </c>
      <c r="CZ189" s="59">
        <f t="shared" si="150"/>
        <v>340.52483243761799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14.715951624380978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14.715951624380978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69.546675357205359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2.2737367544323206E-13</v>
      </c>
      <c r="DP189" s="17">
        <f>DO189*VLOOKUP('Données projet'!$B$14,Paramètres!$A$1:$I$89,3,0)*VLOOKUP('Données projet'!$B$14,Paramètres!$A$1:$I$89,5,0)</f>
        <v>1.9508661353029313E-13</v>
      </c>
      <c r="DQ189" s="13">
        <f t="shared" si="176"/>
        <v>2.711421636700695E-12</v>
      </c>
      <c r="DR189" s="20">
        <f t="shared" si="177"/>
        <v>5.0621685358189711E-12</v>
      </c>
      <c r="DS189" s="59">
        <f t="shared" si="125"/>
        <v>291.67114297642468</v>
      </c>
      <c r="DT189" s="59">
        <f ca="1">AVERAGE(OFFSET($DS$3,0,0,'Données projet'!$E$14+1,1))-AVERAGE(OFFSET($H$3,0,0,'Données projet'!$E$14+1,1))</f>
        <v>569.21675741362196</v>
      </c>
      <c r="DU189" s="59">
        <f t="shared" si="152"/>
        <v>321.12410801891679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72.600800801519952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72.600800801519952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69.546675357205359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-2.8421709430404007E-13</v>
      </c>
      <c r="EK189" s="17">
        <f>EJ189*VLOOKUP('Données projet'!$B$15,Paramètres!$A$1:$I$89,3,0)*VLOOKUP('Données projet'!$B$15,Paramètres!$A$1:$I$89,5,0)</f>
        <v>-2.2612312022829427E-13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416.63597645452791</v>
      </c>
      <c r="EP189" s="59">
        <f t="shared" si="154"/>
        <v>402.05920382353497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22.025037231839288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22.025037231839288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69.546675357205359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>
        <f>FE189*VLOOKUP('Données projet'!$B$16,Paramètres!$A$1:$I$89,3,0)*VLOOKUP('Données projet'!$B$16,Paramètres!$A$1:$I$89,5,0)</f>
        <v>0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395.57130469647603</v>
      </c>
      <c r="FK189" s="59">
        <f t="shared" si="156"/>
        <v>383.97542781562674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20.892997216581232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20.892997216581232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69.546675357205359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>
        <f>FZ189*VLOOKUP('Données projet'!$B$17,Paramètres!$A$1:$I$89,3,0)*VLOOKUP('Données projet'!$B$17,Paramètres!$A$1:$I$89,5,0)</f>
        <v>0</v>
      </c>
      <c r="GB189" s="13" t="e">
        <f t="shared" si="185"/>
        <v>#NUM!</v>
      </c>
      <c r="GC189" s="20" t="e">
        <f t="shared" si="186"/>
        <v>#NUM!</v>
      </c>
      <c r="GD189" s="59" t="e">
        <f t="shared" si="134"/>
        <v>#NUM!</v>
      </c>
      <c r="GE189" s="59">
        <f ca="1">AVERAGE(OFFSET($GD$3,0,0,'Données projet'!$E$17+1,1))-AVERAGE(OFFSET($H$3,0,0,'Données projet'!$E$17+1,1))</f>
        <v>301.74744407733351</v>
      </c>
      <c r="GF189" s="59">
        <f t="shared" si="158"/>
        <v>292.46787700966991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10.851824650993672</v>
      </c>
      <c r="GM189" s="21">
        <f>EXP(-LN(2)/25)*GM188+(1-EXP(-LN(2)/25))/(LN(2)/25)*Calculateur!GH189*Calculateur!GJ189*VLOOKUP('Données projet'!$B$17,Paramètres!$A$1:$I$89,3,0)*0.475*44/12</f>
        <v>0</v>
      </c>
      <c r="GN189" s="21">
        <f>EXP(-LN(2)/2)*GN188+(1-EXP(-LN(2)/2))/(LN(2)/2)*GH189*GK189*VLOOKUP('Données projet'!$B$17,Paramètres!$A$1:$I$89,3,0)*0.475*44/12</f>
        <v>0</v>
      </c>
      <c r="GO189" s="21">
        <f t="shared" si="187"/>
        <v>10.851824650993672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69.546675357205359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-2.8421709430404007E-13</v>
      </c>
      <c r="GV189" s="17">
        <f>GU189*VLOOKUP('Données projet'!$B$18,Paramètres!$A$1:$I$89,3,0)*VLOOKUP('Données projet'!$B$18,Paramètres!$A$1:$I$89,5,0)</f>
        <v>-1.6848389350343495E-13</v>
      </c>
      <c r="GW189" s="13" t="e">
        <f t="shared" si="188"/>
        <v>#NUM!</v>
      </c>
      <c r="GX189" s="20" t="e">
        <f t="shared" si="189"/>
        <v>#NUM!</v>
      </c>
      <c r="GY189" s="59" t="e">
        <f t="shared" si="137"/>
        <v>#NUM!</v>
      </c>
      <c r="GZ189" s="59">
        <f ca="1">AVERAGE(OFFSET($GY$3,0,0,'Données projet'!$E$18+1,1))-AVERAGE(OFFSET($H$3,0,0,'Données projet'!$E$18+1,1))</f>
        <v>322.78672881269978</v>
      </c>
      <c r="HA189" s="59">
        <f t="shared" si="160"/>
        <v>313.08736327626434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17.411150563534317</v>
      </c>
      <c r="HH189" s="21">
        <f>EXP(-LN(2)/25)*HH188+(1-EXP(-LN(2)/25))/(LN(2)/25)*Calculateur!HC189*Calculateur!HE189*VLOOKUP('Données projet'!$B$18,Paramètres!$A$1:$I$89,3,0)*0.475*44/12</f>
        <v>0</v>
      </c>
      <c r="HI189" s="21">
        <f>EXP(-LN(2)/2)*HI188+(1-EXP(-LN(2)/2))/(LN(2)/2)*HC189*HF189*VLOOKUP('Données projet'!$B$18,Paramètres!$A$1:$I$89,3,0)*0.475*44/12</f>
        <v>0</v>
      </c>
      <c r="HJ189" s="22">
        <f t="shared" si="190"/>
        <v>17.411150563534317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2.3499999999999996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8.6166666666666654</v>
      </c>
      <c r="H190" s="67">
        <f t="shared" si="110"/>
        <v>222.20000000000002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69.554539526275775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5.6843418860808015E-14</v>
      </c>
      <c r="O190" s="13">
        <f>N190*VLOOKUP('Données projet'!$B$9,Paramètres!$A$1:$I$89,3,0)*VLOOKUP('Données projet'!$B$9,Paramètres!$A$1:$I$89,5,0)</f>
        <v>5.1431925385259088E-14</v>
      </c>
      <c r="P190" s="13">
        <f t="shared" si="141"/>
        <v>8.3482866290946129E-13</v>
      </c>
      <c r="Q190" s="20">
        <f t="shared" si="162"/>
        <v>1.5435705246133045E-12</v>
      </c>
      <c r="R190" s="59">
        <f t="shared" si="109"/>
        <v>291.69997826301272</v>
      </c>
      <c r="S190" s="59">
        <f ca="1">AVERAGE(OFFSET($R$3,0,0,'Données projet'!$E$9+1,1))-AVERAGE(OFFSET($H$3,0,0,'Données projet'!$E$9+1,1))</f>
        <v>473.88815717313474</v>
      </c>
      <c r="T190" s="59">
        <f t="shared" si="142"/>
        <v>287.19790203552895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49.593719042104723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49.593719042104723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69.554539526275775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5.6843418860808015E-14</v>
      </c>
      <c r="AJ190" s="13">
        <f>AI190*VLOOKUP('Données projet'!$B$10,Paramètres!$A$1:$I$89,3,0)*VLOOKUP('Données projet'!$B$10,Paramètres!$A$1:$I$89,5,0)</f>
        <v>4.7884896048344674E-14</v>
      </c>
      <c r="AK190" s="13">
        <f t="shared" si="164"/>
        <v>7.8374629847779921E-13</v>
      </c>
      <c r="AL190" s="20">
        <f t="shared" si="165"/>
        <v>1.4484243304663672E-12</v>
      </c>
      <c r="AM190" s="59">
        <f t="shared" si="113"/>
        <v>291.69997826301261</v>
      </c>
      <c r="AN190" s="59">
        <f ca="1">AVERAGE(OFFSET($AM$3,0,0,'Données projet'!$E$10+1,1))-AVERAGE(OFFSET($H$3,0,0,'Données projet'!$E$10+1,1))</f>
        <v>445.19118535527258</v>
      </c>
      <c r="AO190" s="59">
        <f t="shared" si="144"/>
        <v>270.93483242839363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46.173462556442345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46.173462556442345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69.554539526275775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5.6843418860808015E-14</v>
      </c>
      <c r="BE190" s="13">
        <f>BD190*VLOOKUP('Données projet'!$B$11,Paramètres!$A$1:$I$89,3,0)*VLOOKUP('Données projet'!$B$11,Paramètres!$A$1:$I$89,5,0)</f>
        <v>5.7639226724859328E-14</v>
      </c>
      <c r="BF190" s="13">
        <f t="shared" si="167"/>
        <v>9.2325701996134334E-13</v>
      </c>
      <c r="BG190" s="20">
        <f t="shared" si="168"/>
        <v>1.708394296311803E-12</v>
      </c>
      <c r="BH190" s="59">
        <f t="shared" si="116"/>
        <v>291.69997826301289</v>
      </c>
      <c r="BI190" s="59">
        <f ca="1">AVERAGE(OFFSET($BH$3,0,0,'Données projet'!$E$11+1,1))-AVERAGE(OFFSET($H$3,0,0,'Données projet'!$E$11+1,1))</f>
        <v>524.01140973345832</v>
      </c>
      <c r="BJ190" s="59">
        <f t="shared" si="146"/>
        <v>315.59942237999621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55.579167892013913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55.579167892013913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69.554539526275775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-2.8421709430404007E-13</v>
      </c>
      <c r="BZ190" s="13">
        <f>BY190*VLOOKUP('Données projet'!$B$12,Paramètres!$A$1:$I$89,3,0)*VLOOKUP('Données projet'!$B$12,Paramètres!$A$1:$I$89,5,0)</f>
        <v>-1.9065282685915009E-13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358.95222991910504</v>
      </c>
      <c r="CE190" s="59">
        <f t="shared" si="148"/>
        <v>347.37506646970905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17.062241797701233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17.062241797701233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69.554539526275775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-2.8421709430404007E-13</v>
      </c>
      <c r="CU190" s="17">
        <f>CT190*VLOOKUP('Données projet'!$B$13,Paramètres!$A$1:$I$89,3,0)*VLOOKUP('Données projet'!$B$13,Paramètres!$A$1:$I$89,5,0)</f>
        <v>-1.8621904018800707E-13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351.7266381615546</v>
      </c>
      <c r="CZ190" s="59">
        <f t="shared" si="150"/>
        <v>340.52483243761799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14.427380788871066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14.427380788871066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69.554539526275775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2.2737367544323206E-13</v>
      </c>
      <c r="DP190" s="17">
        <f>DO190*VLOOKUP('Données projet'!$B$14,Paramètres!$A$1:$I$89,3,0)*VLOOKUP('Données projet'!$B$14,Paramètres!$A$1:$I$89,5,0)</f>
        <v>1.9508661353029313E-13</v>
      </c>
      <c r="DQ190" s="13">
        <f t="shared" si="176"/>
        <v>2.711421636700695E-12</v>
      </c>
      <c r="DR190" s="20">
        <f t="shared" si="177"/>
        <v>5.0621685358189711E-12</v>
      </c>
      <c r="DS190" s="59">
        <f t="shared" si="125"/>
        <v>291.69997826301625</v>
      </c>
      <c r="DT190" s="59">
        <f ca="1">AVERAGE(OFFSET($DS$3,0,0,'Données projet'!$E$14+1,1))-AVERAGE(OFFSET($H$3,0,0,'Données projet'!$E$14+1,1))</f>
        <v>569.21675741362196</v>
      </c>
      <c r="DU190" s="59">
        <f t="shared" si="152"/>
        <v>321.12410801891679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71.177143379918135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71.177143379918135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69.554539526275775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-2.8421709430404007E-13</v>
      </c>
      <c r="EK190" s="17">
        <f>EJ190*VLOOKUP('Données projet'!$B$15,Paramètres!$A$1:$I$89,3,0)*VLOOKUP('Données projet'!$B$15,Paramètres!$A$1:$I$89,5,0)</f>
        <v>-2.2612312022829427E-13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416.63597645452791</v>
      </c>
      <c r="EP190" s="59">
        <f t="shared" si="154"/>
        <v>402.05920382353497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21.59313968566914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21.59313968566914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69.554539526275775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>
        <f>FE190*VLOOKUP('Données projet'!$B$16,Paramètres!$A$1:$I$89,3,0)*VLOOKUP('Données projet'!$B$16,Paramètres!$A$1:$I$89,5,0)</f>
        <v>0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395.57130469647603</v>
      </c>
      <c r="FK190" s="59">
        <f t="shared" si="156"/>
        <v>383.97542781562674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20.483298284634063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20.483298284634063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69.554539526275775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>
        <f>FZ190*VLOOKUP('Données projet'!$B$17,Paramètres!$A$1:$I$89,3,0)*VLOOKUP('Données projet'!$B$17,Paramètres!$A$1:$I$89,5,0)</f>
        <v>0</v>
      </c>
      <c r="GB190" s="13" t="e">
        <f t="shared" si="185"/>
        <v>#NUM!</v>
      </c>
      <c r="GC190" s="20" t="e">
        <f t="shared" si="186"/>
        <v>#NUM!</v>
      </c>
      <c r="GD190" s="59" t="e">
        <f t="shared" si="134"/>
        <v>#NUM!</v>
      </c>
      <c r="GE190" s="59">
        <f ca="1">AVERAGE(OFFSET($GD$3,0,0,'Données projet'!$E$17+1,1))-AVERAGE(OFFSET($H$3,0,0,'Données projet'!$E$17+1,1))</f>
        <v>301.74744407733351</v>
      </c>
      <c r="GF190" s="59">
        <f t="shared" si="158"/>
        <v>292.46787700966991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10.639026988547155</v>
      </c>
      <c r="GM190" s="21">
        <f>EXP(-LN(2)/25)*GM189+(1-EXP(-LN(2)/25))/(LN(2)/25)*Calculateur!GH190*Calculateur!GJ190*VLOOKUP('Données projet'!$B$17,Paramètres!$A$1:$I$89,3,0)*0.475*44/12</f>
        <v>0</v>
      </c>
      <c r="GN190" s="21">
        <f>EXP(-LN(2)/2)*GN189+(1-EXP(-LN(2)/2))/(LN(2)/2)*GH190*GK190*VLOOKUP('Données projet'!$B$17,Paramètres!$A$1:$I$89,3,0)*0.475*44/12</f>
        <v>0</v>
      </c>
      <c r="GO190" s="21">
        <f t="shared" si="187"/>
        <v>10.639026988547155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69.554539526275775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-2.8421709430404007E-13</v>
      </c>
      <c r="GV190" s="17">
        <f>GU190*VLOOKUP('Données projet'!$B$18,Paramètres!$A$1:$I$89,3,0)*VLOOKUP('Données projet'!$B$18,Paramètres!$A$1:$I$89,5,0)</f>
        <v>-1.6848389350343495E-13</v>
      </c>
      <c r="GW190" s="13" t="e">
        <f t="shared" si="188"/>
        <v>#NUM!</v>
      </c>
      <c r="GX190" s="20" t="e">
        <f t="shared" si="189"/>
        <v>#NUM!</v>
      </c>
      <c r="GY190" s="59" t="e">
        <f t="shared" si="137"/>
        <v>#NUM!</v>
      </c>
      <c r="GZ190" s="59">
        <f ca="1">AVERAGE(OFFSET($GY$3,0,0,'Données projet'!$E$18+1,1))-AVERAGE(OFFSET($H$3,0,0,'Données projet'!$E$18+1,1))</f>
        <v>322.78672881269978</v>
      </c>
      <c r="HA190" s="59">
        <f t="shared" si="160"/>
        <v>313.08736327626434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17.069728520736639</v>
      </c>
      <c r="HH190" s="21">
        <f>EXP(-LN(2)/25)*HH189+(1-EXP(-LN(2)/25))/(LN(2)/25)*Calculateur!HC190*Calculateur!HE190*VLOOKUP('Données projet'!$B$18,Paramètres!$A$1:$I$89,3,0)*0.475*44/12</f>
        <v>0</v>
      </c>
      <c r="HI190" s="21">
        <f>EXP(-LN(2)/2)*HI189+(1-EXP(-LN(2)/2))/(LN(2)/2)*HC190*HF190*VLOOKUP('Données projet'!$B$18,Paramètres!$A$1:$I$89,3,0)*0.475*44/12</f>
        <v>0</v>
      </c>
      <c r="HJ190" s="22">
        <f t="shared" si="190"/>
        <v>17.069728520736639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2.3499999999999996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8.6166666666666654</v>
      </c>
      <c r="H191" s="67">
        <f t="shared" si="110"/>
        <v>222.20000000000002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69.562267269594457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5.6843418860808015E-14</v>
      </c>
      <c r="O191" s="13">
        <f>N191*VLOOKUP('Données projet'!$B$9,Paramètres!$A$1:$I$89,3,0)*VLOOKUP('Données projet'!$B$9,Paramètres!$A$1:$I$89,5,0)</f>
        <v>5.1431925385259088E-14</v>
      </c>
      <c r="P191" s="13">
        <f t="shared" si="141"/>
        <v>8.3482866290946129E-13</v>
      </c>
      <c r="Q191" s="20">
        <f t="shared" si="162"/>
        <v>1.5435705246133045E-12</v>
      </c>
      <c r="R191" s="59">
        <f t="shared" si="109"/>
        <v>291.72831332184785</v>
      </c>
      <c r="S191" s="59">
        <f ca="1">AVERAGE(OFFSET($R$3,0,0,'Données projet'!$E$9+1,1))-AVERAGE(OFFSET($H$3,0,0,'Données projet'!$E$9+1,1))</f>
        <v>473.88815717313474</v>
      </c>
      <c r="T191" s="59">
        <f t="shared" si="142"/>
        <v>287.19790203552895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48.621216460870805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48.621216460870805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69.562267269594457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5.6843418860808015E-14</v>
      </c>
      <c r="AJ191" s="13">
        <f>AI191*VLOOKUP('Données projet'!$B$10,Paramètres!$A$1:$I$89,3,0)*VLOOKUP('Données projet'!$B$10,Paramètres!$A$1:$I$89,5,0)</f>
        <v>4.7884896048344674E-14</v>
      </c>
      <c r="AK191" s="13">
        <f t="shared" si="164"/>
        <v>7.8374629847779921E-13</v>
      </c>
      <c r="AL191" s="20">
        <f t="shared" si="165"/>
        <v>1.4484243304663672E-12</v>
      </c>
      <c r="AM191" s="59">
        <f t="shared" si="113"/>
        <v>291.72831332184774</v>
      </c>
      <c r="AN191" s="59">
        <f ca="1">AVERAGE(OFFSET($AM$3,0,0,'Données projet'!$E$10+1,1))-AVERAGE(OFFSET($H$3,0,0,'Données projet'!$E$10+1,1))</f>
        <v>445.19118535527258</v>
      </c>
      <c r="AO191" s="59">
        <f t="shared" si="144"/>
        <v>270.93483242839363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45.268029118741801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45.268029118741801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69.562267269594457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5.6843418860808015E-14</v>
      </c>
      <c r="BE191" s="13">
        <f>BD191*VLOOKUP('Données projet'!$B$11,Paramètres!$A$1:$I$89,3,0)*VLOOKUP('Données projet'!$B$11,Paramètres!$A$1:$I$89,5,0)</f>
        <v>5.7639226724859328E-14</v>
      </c>
      <c r="BF191" s="13">
        <f t="shared" si="167"/>
        <v>9.2325701996134334E-13</v>
      </c>
      <c r="BG191" s="20">
        <f t="shared" si="168"/>
        <v>1.708394296311803E-12</v>
      </c>
      <c r="BH191" s="59">
        <f t="shared" si="116"/>
        <v>291.72831332184802</v>
      </c>
      <c r="BI191" s="59">
        <f ca="1">AVERAGE(OFFSET($BH$3,0,0,'Données projet'!$E$11+1,1))-AVERAGE(OFFSET($H$3,0,0,'Données projet'!$E$11+1,1))</f>
        <v>524.01140973345832</v>
      </c>
      <c r="BJ191" s="59">
        <f t="shared" si="146"/>
        <v>315.59942237999621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54.489294309596595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54.489294309596595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69.562267269594457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-2.8421709430404007E-13</v>
      </c>
      <c r="BZ191" s="13">
        <f>BY191*VLOOKUP('Données projet'!$B$12,Paramètres!$A$1:$I$89,3,0)*VLOOKUP('Données projet'!$B$12,Paramètres!$A$1:$I$89,5,0)</f>
        <v>-1.9065282685915009E-13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358.95222991910504</v>
      </c>
      <c r="CE191" s="59">
        <f t="shared" si="148"/>
        <v>347.37506646970905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16.72766164298821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16.72766164298821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69.562267269594457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-2.8421709430404007E-13</v>
      </c>
      <c r="CU191" s="17">
        <f>CT191*VLOOKUP('Données projet'!$B$13,Paramètres!$A$1:$I$89,3,0)*VLOOKUP('Données projet'!$B$13,Paramètres!$A$1:$I$89,5,0)</f>
        <v>-1.8621904018800707E-13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351.7266381615546</v>
      </c>
      <c r="CZ191" s="59">
        <f t="shared" si="150"/>
        <v>340.52483243761799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14.144468651434673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14.144468651434673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69.562267269594457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2.2737367544323206E-13</v>
      </c>
      <c r="DP191" s="17">
        <f>DO191*VLOOKUP('Données projet'!$B$14,Paramètres!$A$1:$I$89,3,0)*VLOOKUP('Données projet'!$B$14,Paramètres!$A$1:$I$89,5,0)</f>
        <v>1.9508661353029313E-13</v>
      </c>
      <c r="DQ191" s="13">
        <f t="shared" si="176"/>
        <v>2.711421636700695E-12</v>
      </c>
      <c r="DR191" s="20">
        <f t="shared" si="177"/>
        <v>5.0621685358189711E-12</v>
      </c>
      <c r="DS191" s="59">
        <f t="shared" si="125"/>
        <v>291.72831332185137</v>
      </c>
      <c r="DT191" s="59">
        <f ca="1">AVERAGE(OFFSET($DS$3,0,0,'Données projet'!$E$14+1,1))-AVERAGE(OFFSET($H$3,0,0,'Données projet'!$E$14+1,1))</f>
        <v>569.21675741362196</v>
      </c>
      <c r="DU191" s="59">
        <f t="shared" si="152"/>
        <v>321.12410801891679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69.781403012008653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69.781403012008653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69.562267269594457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-2.8421709430404007E-13</v>
      </c>
      <c r="EK191" s="17">
        <f>EJ191*VLOOKUP('Données projet'!$B$15,Paramètres!$A$1:$I$89,3,0)*VLOOKUP('Données projet'!$B$15,Paramètres!$A$1:$I$89,5,0)</f>
        <v>-2.2612312022829427E-13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416.63597645452791</v>
      </c>
      <c r="EP191" s="59">
        <f t="shared" si="154"/>
        <v>402.05920382353497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21.169711386947895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21.169711386947895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69.562267269594457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>
        <f>FE191*VLOOKUP('Données projet'!$B$16,Paramètres!$A$1:$I$89,3,0)*VLOOKUP('Données projet'!$B$16,Paramètres!$A$1:$I$89,5,0)</f>
        <v>0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395.57130469647603</v>
      </c>
      <c r="FK191" s="59">
        <f t="shared" si="156"/>
        <v>383.97542781562674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20.081633298850704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20.081633298850704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69.562267269594457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>
        <f>FZ191*VLOOKUP('Données projet'!$B$17,Paramètres!$A$1:$I$89,3,0)*VLOOKUP('Données projet'!$B$17,Paramètres!$A$1:$I$89,5,0)</f>
        <v>0</v>
      </c>
      <c r="GB191" s="13" t="e">
        <f t="shared" si="185"/>
        <v>#NUM!</v>
      </c>
      <c r="GC191" s="20" t="e">
        <f t="shared" si="186"/>
        <v>#NUM!</v>
      </c>
      <c r="GD191" s="59" t="e">
        <f t="shared" si="134"/>
        <v>#NUM!</v>
      </c>
      <c r="GE191" s="59">
        <f ca="1">AVERAGE(OFFSET($GD$3,0,0,'Données projet'!$E$17+1,1))-AVERAGE(OFFSET($H$3,0,0,'Données projet'!$E$17+1,1))</f>
        <v>301.74744407733351</v>
      </c>
      <c r="GF191" s="59">
        <f t="shared" si="158"/>
        <v>292.46787700966991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10.430402158467457</v>
      </c>
      <c r="GM191" s="21">
        <f>EXP(-LN(2)/25)*GM190+(1-EXP(-LN(2)/25))/(LN(2)/25)*Calculateur!GH191*Calculateur!GJ191*VLOOKUP('Données projet'!$B$17,Paramètres!$A$1:$I$89,3,0)*0.475*44/12</f>
        <v>0</v>
      </c>
      <c r="GN191" s="21">
        <f>EXP(-LN(2)/2)*GN190+(1-EXP(-LN(2)/2))/(LN(2)/2)*GH191*GK191*VLOOKUP('Données projet'!$B$17,Paramètres!$A$1:$I$89,3,0)*0.475*44/12</f>
        <v>0</v>
      </c>
      <c r="GO191" s="21">
        <f t="shared" si="187"/>
        <v>10.430402158467457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69.562267269594457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-2.8421709430404007E-13</v>
      </c>
      <c r="GV191" s="17">
        <f>GU191*VLOOKUP('Données projet'!$B$18,Paramètres!$A$1:$I$89,3,0)*VLOOKUP('Données projet'!$B$18,Paramètres!$A$1:$I$89,5,0)</f>
        <v>-1.6848389350343495E-13</v>
      </c>
      <c r="GW191" s="13" t="e">
        <f t="shared" si="188"/>
        <v>#NUM!</v>
      </c>
      <c r="GX191" s="20" t="e">
        <f t="shared" si="189"/>
        <v>#NUM!</v>
      </c>
      <c r="GY191" s="59" t="e">
        <f t="shared" si="137"/>
        <v>#NUM!</v>
      </c>
      <c r="GZ191" s="59">
        <f ca="1">AVERAGE(OFFSET($GY$3,0,0,'Données projet'!$E$18+1,1))-AVERAGE(OFFSET($H$3,0,0,'Données projet'!$E$18+1,1))</f>
        <v>322.78672881269978</v>
      </c>
      <c r="HA191" s="59">
        <f t="shared" si="160"/>
        <v>313.08736327626434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16.735001555951339</v>
      </c>
      <c r="HH191" s="21">
        <f>EXP(-LN(2)/25)*HH190+(1-EXP(-LN(2)/25))/(LN(2)/25)*Calculateur!HC191*Calculateur!HE191*VLOOKUP('Données projet'!$B$18,Paramètres!$A$1:$I$89,3,0)*0.475*44/12</f>
        <v>0</v>
      </c>
      <c r="HI191" s="21">
        <f>EXP(-LN(2)/2)*HI190+(1-EXP(-LN(2)/2))/(LN(2)/2)*HC191*HF191*VLOOKUP('Données projet'!$B$18,Paramètres!$A$1:$I$89,3,0)*0.475*44/12</f>
        <v>0</v>
      </c>
      <c r="HJ191" s="22">
        <f t="shared" si="190"/>
        <v>16.735001555951339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2.3499999999999996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8.6166666666666654</v>
      </c>
      <c r="H192" s="67">
        <f t="shared" si="110"/>
        <v>222.20000000000002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69.569860953843232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5.6843418860808015E-14</v>
      </c>
      <c r="O192" s="13">
        <f>N192*VLOOKUP('Données projet'!$B$9,Paramètres!$A$1:$I$89,3,0)*VLOOKUP('Données projet'!$B$9,Paramètres!$A$1:$I$89,5,0)</f>
        <v>5.1431925385259088E-14</v>
      </c>
      <c r="P192" s="13">
        <f t="shared" si="141"/>
        <v>8.3482866290946129E-13</v>
      </c>
      <c r="Q192" s="20">
        <f t="shared" si="162"/>
        <v>1.5435705246133045E-12</v>
      </c>
      <c r="R192" s="59">
        <f t="shared" si="109"/>
        <v>291.75615683076006</v>
      </c>
      <c r="S192" s="59">
        <f ca="1">AVERAGE(OFFSET($R$3,0,0,'Données projet'!$E$9+1,1))-AVERAGE(OFFSET($H$3,0,0,'Données projet'!$E$9+1,1))</f>
        <v>473.88815717313474</v>
      </c>
      <c r="T192" s="59">
        <f t="shared" si="142"/>
        <v>287.19790203552895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47.667784062086881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47.667784062086881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69.569860953843232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5.6843418860808015E-14</v>
      </c>
      <c r="AJ192" s="13">
        <f>AI192*VLOOKUP('Données projet'!$B$10,Paramètres!$A$1:$I$89,3,0)*VLOOKUP('Données projet'!$B$10,Paramètres!$A$1:$I$89,5,0)</f>
        <v>4.7884896048344674E-14</v>
      </c>
      <c r="AK192" s="13">
        <f t="shared" si="164"/>
        <v>7.8374629847779921E-13</v>
      </c>
      <c r="AL192" s="20">
        <f t="shared" si="165"/>
        <v>1.4484243304663672E-12</v>
      </c>
      <c r="AM192" s="59">
        <f t="shared" si="113"/>
        <v>291.75615683075995</v>
      </c>
      <c r="AN192" s="59">
        <f ca="1">AVERAGE(OFFSET($AM$3,0,0,'Données projet'!$E$10+1,1))-AVERAGE(OFFSET($H$3,0,0,'Données projet'!$E$10+1,1))</f>
        <v>445.19118535527258</v>
      </c>
      <c r="AO192" s="59">
        <f t="shared" si="144"/>
        <v>270.93483242839363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44.3803506784947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44.3803506784947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69.569860953843232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5.6843418860808015E-14</v>
      </c>
      <c r="BE192" s="13">
        <f>BD192*VLOOKUP('Données projet'!$B$11,Paramètres!$A$1:$I$89,3,0)*VLOOKUP('Données projet'!$B$11,Paramètres!$A$1:$I$89,5,0)</f>
        <v>5.7639226724859328E-14</v>
      </c>
      <c r="BF192" s="13">
        <f t="shared" si="167"/>
        <v>9.2325701996134334E-13</v>
      </c>
      <c r="BG192" s="20">
        <f t="shared" si="168"/>
        <v>1.708394296311803E-12</v>
      </c>
      <c r="BH192" s="59">
        <f t="shared" si="116"/>
        <v>291.75615683076023</v>
      </c>
      <c r="BI192" s="59">
        <f ca="1">AVERAGE(OFFSET($BH$3,0,0,'Données projet'!$E$11+1,1))-AVERAGE(OFFSET($H$3,0,0,'Données projet'!$E$11+1,1))</f>
        <v>524.01140973345832</v>
      </c>
      <c r="BJ192" s="59">
        <f t="shared" si="146"/>
        <v>315.59942237999621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53.420792483373233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53.420792483373233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69.569860953843232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-2.8421709430404007E-13</v>
      </c>
      <c r="BZ192" s="13">
        <f>BY192*VLOOKUP('Données projet'!$B$12,Paramètres!$A$1:$I$89,3,0)*VLOOKUP('Données projet'!$B$12,Paramètres!$A$1:$I$89,5,0)</f>
        <v>-1.9065282685915009E-13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358.95222991910504</v>
      </c>
      <c r="CE192" s="59">
        <f t="shared" si="148"/>
        <v>347.37506646970905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16.399642401035365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16.399642401035365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69.569860953843232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-2.8421709430404007E-13</v>
      </c>
      <c r="CU192" s="17">
        <f>CT192*VLOOKUP('Données projet'!$B$13,Paramètres!$A$1:$I$89,3,0)*VLOOKUP('Données projet'!$B$13,Paramètres!$A$1:$I$89,5,0)</f>
        <v>-1.8621904018800707E-13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351.7266381615546</v>
      </c>
      <c r="CZ192" s="59">
        <f t="shared" si="150"/>
        <v>340.52483243761799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13.867104248454044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13.867104248454044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69.569860953843232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2.2737367544323206E-13</v>
      </c>
      <c r="DP192" s="17">
        <f>DO192*VLOOKUP('Données projet'!$B$14,Paramètres!$A$1:$I$89,3,0)*VLOOKUP('Données projet'!$B$14,Paramètres!$A$1:$I$89,5,0)</f>
        <v>1.9508661353029313E-13</v>
      </c>
      <c r="DQ192" s="13">
        <f t="shared" si="176"/>
        <v>2.711421636700695E-12</v>
      </c>
      <c r="DR192" s="20">
        <f t="shared" si="177"/>
        <v>5.0621685358189711E-12</v>
      </c>
      <c r="DS192" s="59">
        <f t="shared" si="125"/>
        <v>291.75615683076359</v>
      </c>
      <c r="DT192" s="59">
        <f ca="1">AVERAGE(OFFSET($DS$3,0,0,'Données projet'!$E$14+1,1))-AVERAGE(OFFSET($H$3,0,0,'Données projet'!$E$14+1,1))</f>
        <v>569.21675741362196</v>
      </c>
      <c r="DU192" s="59">
        <f t="shared" si="152"/>
        <v>321.12410801891679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68.41303226139631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68.41303226139631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69.569860953843232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-2.8421709430404007E-13</v>
      </c>
      <c r="EK192" s="17">
        <f>EJ192*VLOOKUP('Données projet'!$B$15,Paramètres!$A$1:$I$89,3,0)*VLOOKUP('Données projet'!$B$15,Paramètres!$A$1:$I$89,5,0)</f>
        <v>-2.2612312022829427E-13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416.63597645452791</v>
      </c>
      <c r="EP192" s="59">
        <f t="shared" si="154"/>
        <v>402.05920382353497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20.754586258898815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20.754586258898815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69.569860953843232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>
        <f>FE192*VLOOKUP('Données projet'!$B$16,Paramètres!$A$1:$I$89,3,0)*VLOOKUP('Données projet'!$B$16,Paramètres!$A$1:$I$89,5,0)</f>
        <v>0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395.57130469647603</v>
      </c>
      <c r="FK192" s="59">
        <f t="shared" si="156"/>
        <v>383.97542781562674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19.687844718447106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19.687844718447106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69.569860953843232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>
        <f>FZ192*VLOOKUP('Données projet'!$B$17,Paramètres!$A$1:$I$89,3,0)*VLOOKUP('Données projet'!$B$17,Paramètres!$A$1:$I$89,5,0)</f>
        <v>0</v>
      </c>
      <c r="GB192" s="13" t="e">
        <f t="shared" si="185"/>
        <v>#NUM!</v>
      </c>
      <c r="GC192" s="20" t="e">
        <f t="shared" si="186"/>
        <v>#NUM!</v>
      </c>
      <c r="GD192" s="59" t="e">
        <f t="shared" si="134"/>
        <v>#NUM!</v>
      </c>
      <c r="GE192" s="59">
        <f ca="1">AVERAGE(OFFSET($GD$3,0,0,'Données projet'!$E$17+1,1))-AVERAGE(OFFSET($H$3,0,0,'Données projet'!$E$17+1,1))</f>
        <v>301.74744407733351</v>
      </c>
      <c r="GF192" s="59">
        <f t="shared" si="158"/>
        <v>292.46787700966991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10.22586833405704</v>
      </c>
      <c r="GM192" s="21">
        <f>EXP(-LN(2)/25)*GM191+(1-EXP(-LN(2)/25))/(LN(2)/25)*Calculateur!GH192*Calculateur!GJ192*VLOOKUP('Données projet'!$B$17,Paramètres!$A$1:$I$89,3,0)*0.475*44/12</f>
        <v>0</v>
      </c>
      <c r="GN192" s="21">
        <f>EXP(-LN(2)/2)*GN191+(1-EXP(-LN(2)/2))/(LN(2)/2)*GH192*GK192*VLOOKUP('Données projet'!$B$17,Paramètres!$A$1:$I$89,3,0)*0.475*44/12</f>
        <v>0</v>
      </c>
      <c r="GO192" s="21">
        <f t="shared" si="187"/>
        <v>10.22586833405704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69.569860953843232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-2.8421709430404007E-13</v>
      </c>
      <c r="GV192" s="17">
        <f>GU192*VLOOKUP('Données projet'!$B$18,Paramètres!$A$1:$I$89,3,0)*VLOOKUP('Données projet'!$B$18,Paramètres!$A$1:$I$89,5,0)</f>
        <v>-1.6848389350343495E-13</v>
      </c>
      <c r="GW192" s="13" t="e">
        <f t="shared" si="188"/>
        <v>#NUM!</v>
      </c>
      <c r="GX192" s="20" t="e">
        <f t="shared" si="189"/>
        <v>#NUM!</v>
      </c>
      <c r="GY192" s="59" t="e">
        <f t="shared" si="137"/>
        <v>#NUM!</v>
      </c>
      <c r="GZ192" s="59">
        <f ca="1">AVERAGE(OFFSET($GY$3,0,0,'Données projet'!$E$18+1,1))-AVERAGE(OFFSET($H$3,0,0,'Données projet'!$E$18+1,1))</f>
        <v>322.78672881269978</v>
      </c>
      <c r="HA192" s="59">
        <f t="shared" si="160"/>
        <v>313.08736327626434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16.40683838278219</v>
      </c>
      <c r="HH192" s="21">
        <f>EXP(-LN(2)/25)*HH191+(1-EXP(-LN(2)/25))/(LN(2)/25)*Calculateur!HC192*Calculateur!HE192*VLOOKUP('Données projet'!$B$18,Paramètres!$A$1:$I$89,3,0)*0.475*44/12</f>
        <v>0</v>
      </c>
      <c r="HI192" s="21">
        <f>EXP(-LN(2)/2)*HI191+(1-EXP(-LN(2)/2))/(LN(2)/2)*HC192*HF192*VLOOKUP('Données projet'!$B$18,Paramètres!$A$1:$I$89,3,0)*0.475*44/12</f>
        <v>0</v>
      </c>
      <c r="HJ192" s="22">
        <f t="shared" si="190"/>
        <v>16.40683838278219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2.3499999999999996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8.6166666666666654</v>
      </c>
      <c r="H193" s="67">
        <f t="shared" si="110"/>
        <v>222.20000000000002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69.57732290464719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5.6843418860808015E-14</v>
      </c>
      <c r="O193" s="13">
        <f>N193*VLOOKUP('Données projet'!$B$9,Paramètres!$A$1:$I$89,3,0)*VLOOKUP('Données projet'!$B$9,Paramètres!$A$1:$I$89,5,0)</f>
        <v>5.1431925385259088E-14</v>
      </c>
      <c r="P193" s="13">
        <f t="shared" si="141"/>
        <v>8.3482866290946129E-13</v>
      </c>
      <c r="Q193" s="20">
        <f t="shared" si="162"/>
        <v>1.5435705246133045E-12</v>
      </c>
      <c r="R193" s="59">
        <f t="shared" si="109"/>
        <v>291.78351731704123</v>
      </c>
      <c r="S193" s="59">
        <f ca="1">AVERAGE(OFFSET($R$3,0,0,'Données projet'!$E$9+1,1))-AVERAGE(OFFSET($H$3,0,0,'Données projet'!$E$9+1,1))</f>
        <v>473.88815717313474</v>
      </c>
      <c r="T193" s="59">
        <f t="shared" si="142"/>
        <v>287.19790203552895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46.733047891106771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46.733047891106771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69.57732290464719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5.6843418860808015E-14</v>
      </c>
      <c r="AJ193" s="13">
        <f>AI193*VLOOKUP('Données projet'!$B$10,Paramètres!$A$1:$I$89,3,0)*VLOOKUP('Données projet'!$B$10,Paramètres!$A$1:$I$89,5,0)</f>
        <v>4.7884896048344674E-14</v>
      </c>
      <c r="AK193" s="13">
        <f t="shared" si="164"/>
        <v>7.8374629847779921E-13</v>
      </c>
      <c r="AL193" s="20">
        <f t="shared" si="165"/>
        <v>1.4484243304663672E-12</v>
      </c>
      <c r="AM193" s="59">
        <f t="shared" si="113"/>
        <v>291.78351731704112</v>
      </c>
      <c r="AN193" s="59">
        <f ca="1">AVERAGE(OFFSET($AM$3,0,0,'Données projet'!$E$10+1,1))-AVERAGE(OFFSET($H$3,0,0,'Données projet'!$E$10+1,1))</f>
        <v>445.19118535527258</v>
      </c>
      <c r="AO193" s="59">
        <f t="shared" si="144"/>
        <v>270.93483242839363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43.510079071030461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43.510079071030461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69.57732290464719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5.6843418860808015E-14</v>
      </c>
      <c r="BE193" s="13">
        <f>BD193*VLOOKUP('Données projet'!$B$11,Paramètres!$A$1:$I$89,3,0)*VLOOKUP('Données projet'!$B$11,Paramètres!$A$1:$I$89,5,0)</f>
        <v>5.7639226724859328E-14</v>
      </c>
      <c r="BF193" s="13">
        <f t="shared" si="167"/>
        <v>9.2325701996134334E-13</v>
      </c>
      <c r="BG193" s="20">
        <f t="shared" si="168"/>
        <v>1.708394296311803E-12</v>
      </c>
      <c r="BH193" s="59">
        <f t="shared" si="116"/>
        <v>291.7835173170414</v>
      </c>
      <c r="BI193" s="59">
        <f ca="1">AVERAGE(OFFSET($BH$3,0,0,'Données projet'!$E$11+1,1))-AVERAGE(OFFSET($H$3,0,0,'Données projet'!$E$11+1,1))</f>
        <v>524.01140973345832</v>
      </c>
      <c r="BJ193" s="59">
        <f t="shared" si="146"/>
        <v>315.59942237999621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52.373243326240349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52.373243326240349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69.57732290464719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-2.8421709430404007E-13</v>
      </c>
      <c r="BZ193" s="13">
        <f>BY193*VLOOKUP('Données projet'!$B$12,Paramètres!$A$1:$I$89,3,0)*VLOOKUP('Données projet'!$B$12,Paramètres!$A$1:$I$89,5,0)</f>
        <v>-1.9065282685915009E-13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358.95222991910504</v>
      </c>
      <c r="CE193" s="59">
        <f t="shared" si="148"/>
        <v>347.37506646970905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16.078055416345233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16.078055416345233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69.57732290464719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-2.8421709430404007E-13</v>
      </c>
      <c r="CU193" s="17">
        <f>CT193*VLOOKUP('Données projet'!$B$13,Paramètres!$A$1:$I$89,3,0)*VLOOKUP('Données projet'!$B$13,Paramètres!$A$1:$I$89,5,0)</f>
        <v>-1.8621904018800707E-13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351.7266381615546</v>
      </c>
      <c r="CZ193" s="59">
        <f t="shared" si="150"/>
        <v>340.52483243761799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13.595178792240285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13.595178792240285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69.57732290464719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2.2737367544323206E-13</v>
      </c>
      <c r="DP193" s="17">
        <f>DO193*VLOOKUP('Données projet'!$B$14,Paramètres!$A$1:$I$89,3,0)*VLOOKUP('Données projet'!$B$14,Paramètres!$A$1:$I$89,5,0)</f>
        <v>1.9508661353029313E-13</v>
      </c>
      <c r="DQ193" s="13">
        <f t="shared" si="176"/>
        <v>2.711421636700695E-12</v>
      </c>
      <c r="DR193" s="20">
        <f t="shared" si="177"/>
        <v>5.0621685358189711E-12</v>
      </c>
      <c r="DS193" s="59">
        <f t="shared" si="125"/>
        <v>291.78351731704475</v>
      </c>
      <c r="DT193" s="59">
        <f ca="1">AVERAGE(OFFSET($DS$3,0,0,'Données projet'!$E$14+1,1))-AVERAGE(OFFSET($H$3,0,0,'Données projet'!$E$14+1,1))</f>
        <v>569.21675741362196</v>
      </c>
      <c r="DU193" s="59">
        <f t="shared" si="152"/>
        <v>321.12410801891679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67.071494426579733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67.071494426579733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69.57732290464719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-2.8421709430404007E-13</v>
      </c>
      <c r="EK193" s="17">
        <f>EJ193*VLOOKUP('Données projet'!$B$15,Paramètres!$A$1:$I$89,3,0)*VLOOKUP('Données projet'!$B$15,Paramètres!$A$1:$I$89,5,0)</f>
        <v>-2.2612312022829427E-13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416.63597645452791</v>
      </c>
      <c r="EP193" s="59">
        <f t="shared" si="154"/>
        <v>402.05920382353497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20.347601481409448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20.347601481409448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69.57732290464719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>
        <f>FE193*VLOOKUP('Données projet'!$B$16,Paramètres!$A$1:$I$89,3,0)*VLOOKUP('Données projet'!$B$16,Paramètres!$A$1:$I$89,5,0)</f>
        <v>0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395.57130469647603</v>
      </c>
      <c r="FK193" s="59">
        <f t="shared" si="156"/>
        <v>383.97542781562674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19.301778091917907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19.301778091917907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69.57732290464719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>
        <f>FZ193*VLOOKUP('Données projet'!$B$17,Paramètres!$A$1:$I$89,3,0)*VLOOKUP('Données projet'!$B$17,Paramètres!$A$1:$I$89,5,0)</f>
        <v>0</v>
      </c>
      <c r="GB193" s="13" t="e">
        <f t="shared" si="185"/>
        <v>#NUM!</v>
      </c>
      <c r="GC193" s="20" t="e">
        <f t="shared" si="186"/>
        <v>#NUM!</v>
      </c>
      <c r="GD193" s="59" t="e">
        <f t="shared" si="134"/>
        <v>#NUM!</v>
      </c>
      <c r="GE193" s="59">
        <f ca="1">AVERAGE(OFFSET($GD$3,0,0,'Données projet'!$E$17+1,1))-AVERAGE(OFFSET($H$3,0,0,'Données projet'!$E$17+1,1))</f>
        <v>301.74744407733351</v>
      </c>
      <c r="GF193" s="59">
        <f t="shared" si="158"/>
        <v>292.46787700966991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10.025345293189996</v>
      </c>
      <c r="GM193" s="21">
        <f>EXP(-LN(2)/25)*GM192+(1-EXP(-LN(2)/25))/(LN(2)/25)*Calculateur!GH193*Calculateur!GJ193*VLOOKUP('Données projet'!$B$17,Paramètres!$A$1:$I$89,3,0)*0.475*44/12</f>
        <v>0</v>
      </c>
      <c r="GN193" s="21">
        <f>EXP(-LN(2)/2)*GN192+(1-EXP(-LN(2)/2))/(LN(2)/2)*GH193*GK193*VLOOKUP('Données projet'!$B$17,Paramètres!$A$1:$I$89,3,0)*0.475*44/12</f>
        <v>0</v>
      </c>
      <c r="GO193" s="21">
        <f t="shared" si="187"/>
        <v>10.025345293189996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69.57732290464719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-2.8421709430404007E-13</v>
      </c>
      <c r="GV193" s="17">
        <f>GU193*VLOOKUP('Données projet'!$B$18,Paramètres!$A$1:$I$89,3,0)*VLOOKUP('Données projet'!$B$18,Paramètres!$A$1:$I$89,5,0)</f>
        <v>-1.6848389350343495E-13</v>
      </c>
      <c r="GW193" s="13" t="e">
        <f t="shared" si="188"/>
        <v>#NUM!</v>
      </c>
      <c r="GX193" s="20" t="e">
        <f t="shared" si="189"/>
        <v>#NUM!</v>
      </c>
      <c r="GY193" s="59" t="e">
        <f t="shared" si="137"/>
        <v>#NUM!</v>
      </c>
      <c r="GZ193" s="59">
        <f ca="1">AVERAGE(OFFSET($GY$3,0,0,'Données projet'!$E$18+1,1))-AVERAGE(OFFSET($H$3,0,0,'Données projet'!$E$18+1,1))</f>
        <v>322.78672881269978</v>
      </c>
      <c r="HA193" s="59">
        <f t="shared" si="160"/>
        <v>313.08736327626434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16.085110289279118</v>
      </c>
      <c r="HH193" s="21">
        <f>EXP(-LN(2)/25)*HH192+(1-EXP(-LN(2)/25))/(LN(2)/25)*Calculateur!HC193*Calculateur!HE193*VLOOKUP('Données projet'!$B$18,Paramètres!$A$1:$I$89,3,0)*0.475*44/12</f>
        <v>0</v>
      </c>
      <c r="HI193" s="21">
        <f>EXP(-LN(2)/2)*HI192+(1-EXP(-LN(2)/2))/(LN(2)/2)*HC193*HF193*VLOOKUP('Données projet'!$B$18,Paramètres!$A$1:$I$89,3,0)*0.475*44/12</f>
        <v>0</v>
      </c>
      <c r="HJ193" s="22">
        <f t="shared" si="190"/>
        <v>16.085110289279118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2.3499999999999996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8.6166666666666654</v>
      </c>
      <c r="H194" s="67">
        <f t="shared" si="110"/>
        <v>222.20000000000002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69.584655407287158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5.6843418860808015E-14</v>
      </c>
      <c r="O194" s="13">
        <f>N194*VLOOKUP('Données projet'!$B$9,Paramètres!$A$1:$I$89,3,0)*VLOOKUP('Données projet'!$B$9,Paramètres!$A$1:$I$89,5,0)</f>
        <v>5.1431925385259088E-14</v>
      </c>
      <c r="P194" s="13">
        <f t="shared" si="141"/>
        <v>8.3482866290946129E-13</v>
      </c>
      <c r="Q194" s="20">
        <f t="shared" si="162"/>
        <v>1.5435705246133045E-12</v>
      </c>
      <c r="R194" s="59">
        <f t="shared" si="109"/>
        <v>291.81040316005442</v>
      </c>
      <c r="S194" s="59">
        <f ca="1">AVERAGE(OFFSET($R$3,0,0,'Données projet'!$E$9+1,1))-AVERAGE(OFFSET($H$3,0,0,'Données projet'!$E$9+1,1))</f>
        <v>473.88815717313474</v>
      </c>
      <c r="T194" s="59">
        <f t="shared" si="142"/>
        <v>287.19790203552895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45.816641326306808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45.816641326306808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69.584655407287158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5.6843418860808015E-14</v>
      </c>
      <c r="AJ194" s="13">
        <f>AI194*VLOOKUP('Données projet'!$B$10,Paramètres!$A$1:$I$89,3,0)*VLOOKUP('Données projet'!$B$10,Paramètres!$A$1:$I$89,5,0)</f>
        <v>4.7884896048344674E-14</v>
      </c>
      <c r="AK194" s="13">
        <f t="shared" si="164"/>
        <v>7.8374629847779921E-13</v>
      </c>
      <c r="AL194" s="20">
        <f t="shared" si="165"/>
        <v>1.4484243304663672E-12</v>
      </c>
      <c r="AM194" s="59">
        <f t="shared" si="113"/>
        <v>291.81040316005431</v>
      </c>
      <c r="AN194" s="59">
        <f ca="1">AVERAGE(OFFSET($AM$3,0,0,'Données projet'!$E$10+1,1))-AVERAGE(OFFSET($H$3,0,0,'Données projet'!$E$10+1,1))</f>
        <v>445.19118535527258</v>
      </c>
      <c r="AO194" s="59">
        <f t="shared" si="144"/>
        <v>270.93483242839363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42.656872958975327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42.656872958975327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69.584655407287158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5.6843418860808015E-14</v>
      </c>
      <c r="BE194" s="13">
        <f>BD194*VLOOKUP('Données projet'!$B$11,Paramètres!$A$1:$I$89,3,0)*VLOOKUP('Données projet'!$B$11,Paramètres!$A$1:$I$89,5,0)</f>
        <v>5.7639226724859328E-14</v>
      </c>
      <c r="BF194" s="13">
        <f t="shared" si="167"/>
        <v>9.2325701996134334E-13</v>
      </c>
      <c r="BG194" s="20">
        <f t="shared" si="168"/>
        <v>1.708394296311803E-12</v>
      </c>
      <c r="BH194" s="59">
        <f t="shared" si="116"/>
        <v>291.81040316005459</v>
      </c>
      <c r="BI194" s="59">
        <f ca="1">AVERAGE(OFFSET($BH$3,0,0,'Données projet'!$E$11+1,1))-AVERAGE(OFFSET($H$3,0,0,'Données projet'!$E$11+1,1))</f>
        <v>524.01140973345832</v>
      </c>
      <c r="BJ194" s="59">
        <f t="shared" si="146"/>
        <v>315.59942237999621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51.346235969136941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51.346235969136941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69.584655407287158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-2.8421709430404007E-13</v>
      </c>
      <c r="BZ194" s="13">
        <f>BY194*VLOOKUP('Données projet'!$B$12,Paramètres!$A$1:$I$89,3,0)*VLOOKUP('Données projet'!$B$12,Paramètres!$A$1:$I$89,5,0)</f>
        <v>-1.9065282685915009E-13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358.95222991910504</v>
      </c>
      <c r="CE194" s="59">
        <f t="shared" si="148"/>
        <v>347.37506646970905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15.762774556276181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15.762774556276181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69.584655407287158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-2.8421709430404007E-13</v>
      </c>
      <c r="CU194" s="17">
        <f>CT194*VLOOKUP('Données projet'!$B$13,Paramètres!$A$1:$I$89,3,0)*VLOOKUP('Données projet'!$B$13,Paramètres!$A$1:$I$89,5,0)</f>
        <v>-1.8621904018800707E-13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351.7266381615546</v>
      </c>
      <c r="CZ194" s="59">
        <f t="shared" si="150"/>
        <v>340.52483243761799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13.328585628364726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13.328585628364726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69.584655407287158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2.2737367544323206E-13</v>
      </c>
      <c r="DP194" s="17">
        <f>DO194*VLOOKUP('Données projet'!$B$14,Paramètres!$A$1:$I$89,3,0)*VLOOKUP('Données projet'!$B$14,Paramètres!$A$1:$I$89,5,0)</f>
        <v>1.9508661353029313E-13</v>
      </c>
      <c r="DQ194" s="13">
        <f t="shared" si="176"/>
        <v>2.711421636700695E-12</v>
      </c>
      <c r="DR194" s="20">
        <f t="shared" si="177"/>
        <v>5.0621685358189711E-12</v>
      </c>
      <c r="DS194" s="59">
        <f t="shared" si="125"/>
        <v>291.81040316005794</v>
      </c>
      <c r="DT194" s="59">
        <f ca="1">AVERAGE(OFFSET($DS$3,0,0,'Données projet'!$E$14+1,1))-AVERAGE(OFFSET($H$3,0,0,'Données projet'!$E$14+1,1))</f>
        <v>569.21675741362196</v>
      </c>
      <c r="DU194" s="59">
        <f t="shared" si="152"/>
        <v>321.12410801891679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65.756263330446615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65.756263330446615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69.584655407287158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-2.8421709430404007E-13</v>
      </c>
      <c r="EK194" s="17">
        <f>EJ194*VLOOKUP('Données projet'!$B$15,Paramètres!$A$1:$I$89,3,0)*VLOOKUP('Données projet'!$B$15,Paramètres!$A$1:$I$89,5,0)</f>
        <v>-2.2612312022829427E-13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416.63597645452791</v>
      </c>
      <c r="EP194" s="59">
        <f t="shared" si="154"/>
        <v>402.05920382353497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19.948597427170448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19.948597427170448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69.584655407287158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>
        <f>FE194*VLOOKUP('Données projet'!$B$16,Paramètres!$A$1:$I$89,3,0)*VLOOKUP('Données projet'!$B$16,Paramètres!$A$1:$I$89,5,0)</f>
        <v>0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395.57130469647603</v>
      </c>
      <c r="FK194" s="59">
        <f t="shared" si="156"/>
        <v>383.97542781562674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18.923281996457554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18.923281996457554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69.584655407287158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>
        <f>FZ194*VLOOKUP('Données projet'!$B$17,Paramètres!$A$1:$I$89,3,0)*VLOOKUP('Données projet'!$B$17,Paramètres!$A$1:$I$89,5,0)</f>
        <v>0</v>
      </c>
      <c r="GB194" s="13" t="e">
        <f t="shared" si="185"/>
        <v>#NUM!</v>
      </c>
      <c r="GC194" s="20" t="e">
        <f t="shared" si="186"/>
        <v>#NUM!</v>
      </c>
      <c r="GD194" s="59" t="e">
        <f t="shared" si="134"/>
        <v>#NUM!</v>
      </c>
      <c r="GE194" s="59">
        <f ca="1">AVERAGE(OFFSET($GD$3,0,0,'Données projet'!$E$17+1,1))-AVERAGE(OFFSET($H$3,0,0,'Données projet'!$E$17+1,1))</f>
        <v>301.74744407733351</v>
      </c>
      <c r="GF194" s="59">
        <f t="shared" si="158"/>
        <v>292.46787700966991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9.8287543868473772</v>
      </c>
      <c r="GM194" s="21">
        <f>EXP(-LN(2)/25)*GM193+(1-EXP(-LN(2)/25))/(LN(2)/25)*Calculateur!GH194*Calculateur!GJ194*VLOOKUP('Données projet'!$B$17,Paramètres!$A$1:$I$89,3,0)*0.475*44/12</f>
        <v>0</v>
      </c>
      <c r="GN194" s="21">
        <f>EXP(-LN(2)/2)*GN193+(1-EXP(-LN(2)/2))/(LN(2)/2)*GH194*GK194*VLOOKUP('Données projet'!$B$17,Paramètres!$A$1:$I$89,3,0)*0.475*44/12</f>
        <v>0</v>
      </c>
      <c r="GO194" s="21">
        <f t="shared" si="187"/>
        <v>9.8287543868473772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69.584655407287158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-2.8421709430404007E-13</v>
      </c>
      <c r="GV194" s="17">
        <f>GU194*VLOOKUP('Données projet'!$B$18,Paramètres!$A$1:$I$89,3,0)*VLOOKUP('Données projet'!$B$18,Paramètres!$A$1:$I$89,5,0)</f>
        <v>-1.6848389350343495E-13</v>
      </c>
      <c r="GW194" s="13" t="e">
        <f t="shared" si="188"/>
        <v>#NUM!</v>
      </c>
      <c r="GX194" s="20" t="e">
        <f t="shared" si="189"/>
        <v>#NUM!</v>
      </c>
      <c r="GY194" s="59" t="e">
        <f t="shared" si="137"/>
        <v>#NUM!</v>
      </c>
      <c r="GZ194" s="59">
        <f ca="1">AVERAGE(OFFSET($GY$3,0,0,'Données projet'!$E$18+1,1))-AVERAGE(OFFSET($H$3,0,0,'Données projet'!$E$18+1,1))</f>
        <v>322.78672881269978</v>
      </c>
      <c r="HA194" s="59">
        <f t="shared" si="160"/>
        <v>313.08736327626434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15.769691087454881</v>
      </c>
      <c r="HH194" s="21">
        <f>EXP(-LN(2)/25)*HH193+(1-EXP(-LN(2)/25))/(LN(2)/25)*Calculateur!HC194*Calculateur!HE194*VLOOKUP('Données projet'!$B$18,Paramètres!$A$1:$I$89,3,0)*0.475*44/12</f>
        <v>0</v>
      </c>
      <c r="HI194" s="21">
        <f>EXP(-LN(2)/2)*HI193+(1-EXP(-LN(2)/2))/(LN(2)/2)*HC194*HF194*VLOOKUP('Données projet'!$B$18,Paramètres!$A$1:$I$89,3,0)*0.475*44/12</f>
        <v>0</v>
      </c>
      <c r="HJ194" s="22">
        <f t="shared" si="190"/>
        <v>15.769691087454881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2.3499999999999996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8.6166666666666654</v>
      </c>
      <c r="H195" s="67">
        <f t="shared" si="110"/>
        <v>222.20000000000002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69.59186070739932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5.6843418860808015E-14</v>
      </c>
      <c r="O195" s="13">
        <f>N195*VLOOKUP('Données projet'!$B$9,Paramètres!$A$1:$I$89,3,0)*VLOOKUP('Données projet'!$B$9,Paramètres!$A$1:$I$89,5,0)</f>
        <v>5.1431925385259088E-14</v>
      </c>
      <c r="P195" s="13">
        <f t="shared" si="141"/>
        <v>8.3482866290946129E-13</v>
      </c>
      <c r="Q195" s="20">
        <f t="shared" si="162"/>
        <v>1.5435705246133045E-12</v>
      </c>
      <c r="R195" s="59">
        <f t="shared" ref="R195:R203" si="191">Q195+(I195+J195)*44/12</f>
        <v>291.83682259379907</v>
      </c>
      <c r="S195" s="59">
        <f ca="1">AVERAGE(OFFSET($R$3,0,0,'Données projet'!$E$9+1,1))-AVERAGE(OFFSET($H$3,0,0,'Données projet'!$E$9+1,1))</f>
        <v>473.88815717313474</v>
      </c>
      <c r="T195" s="59">
        <f t="shared" si="142"/>
        <v>287.19790203552895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44.918204935289765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44.918204935289765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69.59186070739932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5.6843418860808015E-14</v>
      </c>
      <c r="AJ195" s="13">
        <f>AI195*VLOOKUP('Données projet'!$B$10,Paramètres!$A$1:$I$89,3,0)*VLOOKUP('Données projet'!$B$10,Paramètres!$A$1:$I$89,5,0)</f>
        <v>4.7884896048344674E-14</v>
      </c>
      <c r="AK195" s="13">
        <f t="shared" si="164"/>
        <v>7.8374629847779921E-13</v>
      </c>
      <c r="AL195" s="20">
        <f t="shared" si="165"/>
        <v>1.4484243304663672E-12</v>
      </c>
      <c r="AM195" s="59">
        <f t="shared" si="113"/>
        <v>291.83682259379896</v>
      </c>
      <c r="AN195" s="59">
        <f ca="1">AVERAGE(OFFSET($AM$3,0,0,'Données projet'!$E$10+1,1))-AVERAGE(OFFSET($H$3,0,0,'Données projet'!$E$10+1,1))</f>
        <v>445.19118535527258</v>
      </c>
      <c r="AO195" s="59">
        <f t="shared" si="144"/>
        <v>270.93483242839363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41.820397698373249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41.820397698373249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69.59186070739932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5.6843418860808015E-14</v>
      </c>
      <c r="BE195" s="13">
        <f>BD195*VLOOKUP('Données projet'!$B$11,Paramètres!$A$1:$I$89,3,0)*VLOOKUP('Données projet'!$B$11,Paramètres!$A$1:$I$89,5,0)</f>
        <v>5.7639226724859328E-14</v>
      </c>
      <c r="BF195" s="13">
        <f t="shared" si="167"/>
        <v>9.2325701996134334E-13</v>
      </c>
      <c r="BG195" s="20">
        <f t="shared" si="168"/>
        <v>1.708394296311803E-12</v>
      </c>
      <c r="BH195" s="59">
        <f t="shared" si="116"/>
        <v>291.83682259379924</v>
      </c>
      <c r="BI195" s="59">
        <f ca="1">AVERAGE(OFFSET($BH$3,0,0,'Données projet'!$E$11+1,1))-AVERAGE(OFFSET($H$3,0,0,'Données projet'!$E$11+1,1))</f>
        <v>524.01140973345832</v>
      </c>
      <c r="BJ195" s="59">
        <f t="shared" si="146"/>
        <v>315.59942237999621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50.339367599893698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50.339367599893698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69.59186070739932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-2.8421709430404007E-13</v>
      </c>
      <c r="BZ195" s="13">
        <f>BY195*VLOOKUP('Données projet'!$B$12,Paramètres!$A$1:$I$89,3,0)*VLOOKUP('Données projet'!$B$12,Paramètres!$A$1:$I$89,5,0)</f>
        <v>-1.9065282685915009E-13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358.95222991910504</v>
      </c>
      <c r="CE195" s="59">
        <f t="shared" si="148"/>
        <v>347.37506646970905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15.453676161570748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15.453676161570748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69.59186070739932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-2.8421709430404007E-13</v>
      </c>
      <c r="CU195" s="17">
        <f>CT195*VLOOKUP('Données projet'!$B$13,Paramètres!$A$1:$I$89,3,0)*VLOOKUP('Données projet'!$B$13,Paramètres!$A$1:$I$89,5,0)</f>
        <v>-1.8621904018800707E-13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351.7266381615546</v>
      </c>
      <c r="CZ195" s="59">
        <f t="shared" si="150"/>
        <v>340.52483243761799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13.067220193826993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13.067220193826993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69.59186070739932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2.2737367544323206E-13</v>
      </c>
      <c r="DP195" s="17">
        <f>DO195*VLOOKUP('Données projet'!$B$14,Paramètres!$A$1:$I$89,3,0)*VLOOKUP('Données projet'!$B$14,Paramètres!$A$1:$I$89,5,0)</f>
        <v>1.9508661353029313E-13</v>
      </c>
      <c r="DQ195" s="13">
        <f t="shared" si="176"/>
        <v>2.711421636700695E-12</v>
      </c>
      <c r="DR195" s="20">
        <f t="shared" si="177"/>
        <v>5.0621685358189711E-12</v>
      </c>
      <c r="DS195" s="59">
        <f t="shared" si="125"/>
        <v>291.83682259380259</v>
      </c>
      <c r="DT195" s="59">
        <f ca="1">AVERAGE(OFFSET($DS$3,0,0,'Données projet'!$E$14+1,1))-AVERAGE(OFFSET($H$3,0,0,'Données projet'!$E$14+1,1))</f>
        <v>569.21675741362196</v>
      </c>
      <c r="DU195" s="59">
        <f t="shared" si="152"/>
        <v>321.12410801891679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64.466823113896922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64.466823113896922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69.59186070739932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-2.8421709430404007E-13</v>
      </c>
      <c r="EK195" s="17">
        <f>EJ195*VLOOKUP('Données projet'!$B$15,Paramètres!$A$1:$I$89,3,0)*VLOOKUP('Données projet'!$B$15,Paramètres!$A$1:$I$89,5,0)</f>
        <v>-2.2612312022829427E-13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416.63597645452791</v>
      </c>
      <c r="EP195" s="59">
        <f t="shared" si="154"/>
        <v>402.05920382353497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19.557417599066632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19.557417599066632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69.59186070739932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>
        <f>FE195*VLOOKUP('Données projet'!$B$16,Paramètres!$A$1:$I$89,3,0)*VLOOKUP('Données projet'!$B$16,Paramètres!$A$1:$I$89,5,0)</f>
        <v>0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395.57130469647603</v>
      </c>
      <c r="FK195" s="59">
        <f t="shared" si="156"/>
        <v>383.97542781562674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18.552207978569356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18.552207978569356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69.59186070739932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>
        <f>FZ195*VLOOKUP('Données projet'!$B$17,Paramètres!$A$1:$I$89,3,0)*VLOOKUP('Données projet'!$B$17,Paramètres!$A$1:$I$89,5,0)</f>
        <v>0</v>
      </c>
      <c r="GB195" s="13" t="e">
        <f t="shared" si="185"/>
        <v>#NUM!</v>
      </c>
      <c r="GC195" s="20" t="e">
        <f t="shared" si="186"/>
        <v>#NUM!</v>
      </c>
      <c r="GD195" s="59" t="e">
        <f t="shared" si="134"/>
        <v>#NUM!</v>
      </c>
      <c r="GE195" s="59">
        <f ca="1">AVERAGE(OFFSET($GD$3,0,0,'Données projet'!$E$17+1,1))-AVERAGE(OFFSET($H$3,0,0,'Données projet'!$E$17+1,1))</f>
        <v>301.74744407733351</v>
      </c>
      <c r="GF195" s="59">
        <f t="shared" si="158"/>
        <v>292.46787700966991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9.6360185082695242</v>
      </c>
      <c r="GM195" s="21">
        <f>EXP(-LN(2)/25)*GM194+(1-EXP(-LN(2)/25))/(LN(2)/25)*Calculateur!GH195*Calculateur!GJ195*VLOOKUP('Données projet'!$B$17,Paramètres!$A$1:$I$89,3,0)*0.475*44/12</f>
        <v>0</v>
      </c>
      <c r="GN195" s="21">
        <f>EXP(-LN(2)/2)*GN194+(1-EXP(-LN(2)/2))/(LN(2)/2)*GH195*GK195*VLOOKUP('Données projet'!$B$17,Paramètres!$A$1:$I$89,3,0)*0.475*44/12</f>
        <v>0</v>
      </c>
      <c r="GO195" s="21">
        <f t="shared" si="187"/>
        <v>9.6360185082695242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69.59186070739932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-2.8421709430404007E-13</v>
      </c>
      <c r="GV195" s="17">
        <f>GU195*VLOOKUP('Données projet'!$B$18,Paramètres!$A$1:$I$89,3,0)*VLOOKUP('Données projet'!$B$18,Paramètres!$A$1:$I$89,5,0)</f>
        <v>-1.6848389350343495E-13</v>
      </c>
      <c r="GW195" s="13" t="e">
        <f t="shared" si="188"/>
        <v>#NUM!</v>
      </c>
      <c r="GX195" s="20" t="e">
        <f t="shared" si="189"/>
        <v>#NUM!</v>
      </c>
      <c r="GY195" s="59" t="e">
        <f t="shared" si="137"/>
        <v>#NUM!</v>
      </c>
      <c r="GZ195" s="59">
        <f ca="1">AVERAGE(OFFSET($GY$3,0,0,'Données projet'!$E$18+1,1))-AVERAGE(OFFSET($H$3,0,0,'Données projet'!$E$18+1,1))</f>
        <v>322.78672881269978</v>
      </c>
      <c r="HA195" s="59">
        <f t="shared" si="160"/>
        <v>313.08736327626434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15.460457063791699</v>
      </c>
      <c r="HH195" s="21">
        <f>EXP(-LN(2)/25)*HH194+(1-EXP(-LN(2)/25))/(LN(2)/25)*Calculateur!HC195*Calculateur!HE195*VLOOKUP('Données projet'!$B$18,Paramètres!$A$1:$I$89,3,0)*0.475*44/12</f>
        <v>0</v>
      </c>
      <c r="HI195" s="21">
        <f>EXP(-LN(2)/2)*HI194+(1-EXP(-LN(2)/2))/(LN(2)/2)*HC195*HF195*VLOOKUP('Données projet'!$B$18,Paramètres!$A$1:$I$89,3,0)*0.475*44/12</f>
        <v>0</v>
      </c>
      <c r="HJ195" s="22">
        <f t="shared" si="190"/>
        <v>15.460457063791699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2.3499999999999996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8.6166666666666654</v>
      </c>
      <c r="H196" s="67">
        <f t="shared" ref="H196:H203" si="192">(B196+E196+F196)*44/12+(C196+D196)*0.475*44/12</f>
        <v>222.20000000000002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69.598941011663186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5.6843418860808015E-14</v>
      </c>
      <c r="O196" s="13">
        <f>N196*VLOOKUP('Données projet'!$B$9,Paramètres!$A$1:$I$89,3,0)*VLOOKUP('Données projet'!$B$9,Paramètres!$A$1:$I$89,5,0)</f>
        <v>5.1431925385259088E-14</v>
      </c>
      <c r="P196" s="13">
        <f t="shared" si="141"/>
        <v>8.3482866290946129E-13</v>
      </c>
      <c r="Q196" s="20">
        <f t="shared" si="162"/>
        <v>1.5435705246133045E-12</v>
      </c>
      <c r="R196" s="59">
        <f t="shared" si="191"/>
        <v>291.86278370943319</v>
      </c>
      <c r="S196" s="59">
        <f ca="1">AVERAGE(OFFSET($R$3,0,0,'Données projet'!$E$9+1,1))-AVERAGE(OFFSET($H$3,0,0,'Données projet'!$E$9+1,1))</f>
        <v>473.88815717313474</v>
      </c>
      <c r="T196" s="59">
        <f t="shared" si="142"/>
        <v>287.19790203552895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44.037386333908472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44.037386333908472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69.598941011663186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5.6843418860808015E-14</v>
      </c>
      <c r="AJ196" s="13">
        <f>AI196*VLOOKUP('Données projet'!$B$10,Paramètres!$A$1:$I$89,3,0)*VLOOKUP('Données projet'!$B$10,Paramètres!$A$1:$I$89,5,0)</f>
        <v>4.7884896048344674E-14</v>
      </c>
      <c r="AK196" s="13">
        <f t="shared" si="164"/>
        <v>7.8374629847779921E-13</v>
      </c>
      <c r="AL196" s="20">
        <f t="shared" si="165"/>
        <v>1.4484243304663672E-12</v>
      </c>
      <c r="AM196" s="59">
        <f t="shared" ref="AM196:AM203" si="193">AL196+(AD196+AE196)*44/12</f>
        <v>291.86278370943307</v>
      </c>
      <c r="AN196" s="59">
        <f ca="1">AVERAGE(OFFSET($AM$3,0,0,'Données projet'!$E$10+1,1))-AVERAGE(OFFSET($H$3,0,0,'Données projet'!$E$10+1,1))</f>
        <v>445.19118535527258</v>
      </c>
      <c r="AO196" s="59">
        <f t="shared" si="144"/>
        <v>270.93483242839363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41.000325207432049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41.000325207432049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69.598941011663186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5.6843418860808015E-14</v>
      </c>
      <c r="BE196" s="13">
        <f>BD196*VLOOKUP('Données projet'!$B$11,Paramètres!$A$1:$I$89,3,0)*VLOOKUP('Données projet'!$B$11,Paramètres!$A$1:$I$89,5,0)</f>
        <v>5.7639226724859328E-14</v>
      </c>
      <c r="BF196" s="13">
        <f t="shared" si="167"/>
        <v>9.2325701996134334E-13</v>
      </c>
      <c r="BG196" s="20">
        <f t="shared" si="168"/>
        <v>1.708394296311803E-12</v>
      </c>
      <c r="BH196" s="59">
        <f t="shared" ref="BH196:BH203" si="194">BG196+(AY196+AZ196)*44/12</f>
        <v>291.86278370943336</v>
      </c>
      <c r="BI196" s="59">
        <f ca="1">AVERAGE(OFFSET($BH$3,0,0,'Données projet'!$E$11+1,1))-AVERAGE(OFFSET($H$3,0,0,'Données projet'!$E$11+1,1))</f>
        <v>524.01140973345832</v>
      </c>
      <c r="BJ196" s="59">
        <f t="shared" si="146"/>
        <v>315.59942237999621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49.352243305242254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49.352243305242254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69.598941011663186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-2.8421709430404007E-13</v>
      </c>
      <c r="BZ196" s="13">
        <f>BY196*VLOOKUP('Données projet'!$B$12,Paramètres!$A$1:$I$89,3,0)*VLOOKUP('Données projet'!$B$12,Paramètres!$A$1:$I$89,5,0)</f>
        <v>-1.9065282685915009E-13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358.95222991910504</v>
      </c>
      <c r="CE196" s="59">
        <f t="shared" si="148"/>
        <v>347.37506646970905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15.150638997854083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15.150638997854083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69.598941011663186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-2.8421709430404007E-13</v>
      </c>
      <c r="CU196" s="17">
        <f>CT196*VLOOKUP('Données projet'!$B$13,Paramètres!$A$1:$I$89,3,0)*VLOOKUP('Données projet'!$B$13,Paramètres!$A$1:$I$89,5,0)</f>
        <v>-1.8621904018800707E-13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351.7266381615546</v>
      </c>
      <c r="CZ196" s="59">
        <f t="shared" si="150"/>
        <v>340.52483243761799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12.81097997604337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12.81097997604337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69.598941011663186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2.2737367544323206E-13</v>
      </c>
      <c r="DP196" s="17">
        <f>DO196*VLOOKUP('Données projet'!$B$14,Paramètres!$A$1:$I$89,3,0)*VLOOKUP('Données projet'!$B$14,Paramètres!$A$1:$I$89,5,0)</f>
        <v>1.9508661353029313E-13</v>
      </c>
      <c r="DQ196" s="13">
        <f t="shared" si="176"/>
        <v>2.711421636700695E-12</v>
      </c>
      <c r="DR196" s="20">
        <f t="shared" si="177"/>
        <v>5.0621685358189711E-12</v>
      </c>
      <c r="DS196" s="59">
        <f t="shared" ref="DS196:DS203" si="197">DR196+(DJ196+DK196)*44/12</f>
        <v>291.86278370943671</v>
      </c>
      <c r="DT196" s="59">
        <f ca="1">AVERAGE(OFFSET($DS$3,0,0,'Données projet'!$E$14+1,1))-AVERAGE(OFFSET($H$3,0,0,'Données projet'!$E$14+1,1))</f>
        <v>569.21675741362196</v>
      </c>
      <c r="DU196" s="59">
        <f t="shared" si="152"/>
        <v>321.12410801891679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63.202668033512886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63.202668033512886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69.598941011663186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-2.8421709430404007E-13</v>
      </c>
      <c r="EK196" s="17">
        <f>EJ196*VLOOKUP('Données projet'!$B$15,Paramètres!$A$1:$I$89,3,0)*VLOOKUP('Données projet'!$B$15,Paramètres!$A$1:$I$89,5,0)</f>
        <v>-2.2612312022829427E-13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416.63597645452791</v>
      </c>
      <c r="EP196" s="59">
        <f t="shared" si="154"/>
        <v>402.05920382353497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19.173908568795795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19.173908568795795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69.598941011663186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>
        <f>FE196*VLOOKUP('Données projet'!$B$16,Paramètres!$A$1:$I$89,3,0)*VLOOKUP('Données projet'!$B$16,Paramètres!$A$1:$I$89,5,0)</f>
        <v>0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395.57130469647603</v>
      </c>
      <c r="FK196" s="59">
        <f t="shared" si="156"/>
        <v>383.97542781562674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18.188410495839143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18.188410495839143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69.598941011663186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>
        <f>FZ196*VLOOKUP('Données projet'!$B$17,Paramètres!$A$1:$I$89,3,0)*VLOOKUP('Données projet'!$B$17,Paramètres!$A$1:$I$89,5,0)</f>
        <v>0</v>
      </c>
      <c r="GB196" s="13" t="e">
        <f t="shared" si="185"/>
        <v>#NUM!</v>
      </c>
      <c r="GC196" s="20" t="e">
        <f t="shared" si="186"/>
        <v>#NUM!</v>
      </c>
      <c r="GD196" s="59" t="e">
        <f t="shared" ref="GD196:GD203" si="200">GC196+(FU196+FV196)*44/12</f>
        <v>#NUM!</v>
      </c>
      <c r="GE196" s="59">
        <f ca="1">AVERAGE(OFFSET($GD$3,0,0,'Données projet'!$E$17+1,1))-AVERAGE(OFFSET($H$3,0,0,'Données projet'!$E$17+1,1))</f>
        <v>301.74744407733351</v>
      </c>
      <c r="GF196" s="59">
        <f t="shared" si="158"/>
        <v>292.46787700966991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9.4470620627133055</v>
      </c>
      <c r="GM196" s="21">
        <f>EXP(-LN(2)/25)*GM195+(1-EXP(-LN(2)/25))/(LN(2)/25)*Calculateur!GH196*Calculateur!GJ196*VLOOKUP('Données projet'!$B$17,Paramètres!$A$1:$I$89,3,0)*0.475*44/12</f>
        <v>0</v>
      </c>
      <c r="GN196" s="21">
        <f>EXP(-LN(2)/2)*GN195+(1-EXP(-LN(2)/2))/(LN(2)/2)*GH196*GK196*VLOOKUP('Données projet'!$B$17,Paramètres!$A$1:$I$89,3,0)*0.475*44/12</f>
        <v>0</v>
      </c>
      <c r="GO196" s="21">
        <f t="shared" si="187"/>
        <v>9.4470620627133055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69.598941011663186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-2.8421709430404007E-13</v>
      </c>
      <c r="GV196" s="17">
        <f>GU196*VLOOKUP('Données projet'!$B$18,Paramètres!$A$1:$I$89,3,0)*VLOOKUP('Données projet'!$B$18,Paramètres!$A$1:$I$89,5,0)</f>
        <v>-1.6848389350343495E-13</v>
      </c>
      <c r="GW196" s="13" t="e">
        <f t="shared" si="188"/>
        <v>#NUM!</v>
      </c>
      <c r="GX196" s="20" t="e">
        <f t="shared" si="189"/>
        <v>#NUM!</v>
      </c>
      <c r="GY196" s="59" t="e">
        <f t="shared" ref="GY196:GY203" si="201">GX196+(GP196+GQ196)*44/12</f>
        <v>#NUM!</v>
      </c>
      <c r="GZ196" s="59">
        <f ca="1">AVERAGE(OFFSET($GY$3,0,0,'Données projet'!$E$18+1,1))-AVERAGE(OFFSET($H$3,0,0,'Données projet'!$E$18+1,1))</f>
        <v>322.78672881269978</v>
      </c>
      <c r="HA196" s="59">
        <f t="shared" si="160"/>
        <v>313.08736327626434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15.157286930718422</v>
      </c>
      <c r="HH196" s="21">
        <f>EXP(-LN(2)/25)*HH195+(1-EXP(-LN(2)/25))/(LN(2)/25)*Calculateur!HC196*Calculateur!HE196*VLOOKUP('Données projet'!$B$18,Paramètres!$A$1:$I$89,3,0)*0.475*44/12</f>
        <v>0</v>
      </c>
      <c r="HI196" s="21">
        <f>EXP(-LN(2)/2)*HI195+(1-EXP(-LN(2)/2))/(LN(2)/2)*HC196*HF196*VLOOKUP('Données projet'!$B$18,Paramètres!$A$1:$I$89,3,0)*0.475*44/12</f>
        <v>0</v>
      </c>
      <c r="HJ196" s="22">
        <f t="shared" si="190"/>
        <v>15.157286930718422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2.3499999999999996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8.6166666666666654</v>
      </c>
      <c r="H197" s="67">
        <f t="shared" si="192"/>
        <v>222.20000000000002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69.605898488477251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5.6843418860808015E-14</v>
      </c>
      <c r="O197" s="13">
        <f>N197*VLOOKUP('Données projet'!$B$9,Paramètres!$A$1:$I$89,3,0)*VLOOKUP('Données projet'!$B$9,Paramètres!$A$1:$I$89,5,0)</f>
        <v>5.1431925385259088E-14</v>
      </c>
      <c r="P197" s="13">
        <f t="shared" ref="P197:P203" si="203">EXP(-1.0587+0.8836*LN(O197)+0.284)</f>
        <v>8.3482866290946129E-13</v>
      </c>
      <c r="Q197" s="20">
        <f t="shared" si="162"/>
        <v>1.5435705246133045E-12</v>
      </c>
      <c r="R197" s="59">
        <f t="shared" si="191"/>
        <v>291.88829445775144</v>
      </c>
      <c r="S197" s="59">
        <f ca="1">AVERAGE(OFFSET($R$3,0,0,'Données projet'!$E$9+1,1))-AVERAGE(OFFSET($H$3,0,0,'Données projet'!$E$9+1,1))</f>
        <v>473.88815717313474</v>
      </c>
      <c r="T197" s="59">
        <f t="shared" ref="T197:T203" si="204">$T$3</f>
        <v>287.19790203552895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43.173840048053968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43.173840048053968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69.605898488477251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5.6843418860808015E-14</v>
      </c>
      <c r="AJ197" s="13">
        <f>AI197*VLOOKUP('Données projet'!$B$10,Paramètres!$A$1:$I$89,3,0)*VLOOKUP('Données projet'!$B$10,Paramètres!$A$1:$I$89,5,0)</f>
        <v>4.7884896048344674E-14</v>
      </c>
      <c r="AK197" s="13">
        <f t="shared" si="164"/>
        <v>7.8374629847779921E-13</v>
      </c>
      <c r="AL197" s="20">
        <f t="shared" si="165"/>
        <v>1.4484243304663672E-12</v>
      </c>
      <c r="AM197" s="59">
        <f t="shared" si="193"/>
        <v>291.88829445775133</v>
      </c>
      <c r="AN197" s="59">
        <f ca="1">AVERAGE(OFFSET($AM$3,0,0,'Données projet'!$E$10+1,1))-AVERAGE(OFFSET($H$3,0,0,'Données projet'!$E$10+1,1))</f>
        <v>445.19118535527258</v>
      </c>
      <c r="AO197" s="59">
        <f t="shared" ref="AO197:AO203" si="205">$AO$3</f>
        <v>270.93483242839363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40.196333837843376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40.196333837843376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69.605898488477251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5.6843418860808015E-14</v>
      </c>
      <c r="BE197" s="13">
        <f>BD197*VLOOKUP('Données projet'!$B$11,Paramètres!$A$1:$I$89,3,0)*VLOOKUP('Données projet'!$B$11,Paramètres!$A$1:$I$89,5,0)</f>
        <v>5.7639226724859328E-14</v>
      </c>
      <c r="BF197" s="13">
        <f t="shared" si="167"/>
        <v>9.2325701996134334E-13</v>
      </c>
      <c r="BG197" s="20">
        <f t="shared" si="168"/>
        <v>1.708394296311803E-12</v>
      </c>
      <c r="BH197" s="59">
        <f t="shared" si="194"/>
        <v>291.88829445775161</v>
      </c>
      <c r="BI197" s="59">
        <f ca="1">AVERAGE(OFFSET($BH$3,0,0,'Données projet'!$E$11+1,1))-AVERAGE(OFFSET($H$3,0,0,'Données projet'!$E$11+1,1))</f>
        <v>524.01140973345832</v>
      </c>
      <c r="BJ197" s="59">
        <f t="shared" ref="BJ197:BJ203" si="206">$BJ$3</f>
        <v>315.59942237999621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48.384475915922557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48.384475915922557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69.605898488477251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-2.8421709430404007E-13</v>
      </c>
      <c r="BZ197" s="13">
        <f>BY197*VLOOKUP('Données projet'!$B$12,Paramètres!$A$1:$I$89,3,0)*VLOOKUP('Données projet'!$B$12,Paramètres!$A$1:$I$89,5,0)</f>
        <v>-1.9065282685915009E-13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358.95222991910504</v>
      </c>
      <c r="CE197" s="59">
        <f t="shared" ref="CE197:CE203" si="207">$CE$3</f>
        <v>347.37506646970905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14.853544208083482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14.853544208083482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69.605898488477251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-2.8421709430404007E-13</v>
      </c>
      <c r="CU197" s="17">
        <f>CT197*VLOOKUP('Données projet'!$B$13,Paramètres!$A$1:$I$89,3,0)*VLOOKUP('Données projet'!$B$13,Paramètres!$A$1:$I$89,5,0)</f>
        <v>-1.8621904018800707E-13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351.7266381615546</v>
      </c>
      <c r="CZ197" s="59">
        <f t="shared" ref="CZ197:CZ203" si="208">$CZ$3</f>
        <v>340.52483243761799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12.559764472639385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12.559764472639385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69.605898488477251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2.2737367544323206E-13</v>
      </c>
      <c r="DP197" s="17">
        <f>DO197*VLOOKUP('Données projet'!$B$14,Paramètres!$A$1:$I$89,3,0)*VLOOKUP('Données projet'!$B$14,Paramètres!$A$1:$I$89,5,0)</f>
        <v>1.9508661353029313E-13</v>
      </c>
      <c r="DQ197" s="13">
        <f t="shared" si="176"/>
        <v>2.711421636700695E-12</v>
      </c>
      <c r="DR197" s="20">
        <f t="shared" si="177"/>
        <v>5.0621685358189711E-12</v>
      </c>
      <c r="DS197" s="59">
        <f t="shared" si="197"/>
        <v>291.88829445775497</v>
      </c>
      <c r="DT197" s="59">
        <f ca="1">AVERAGE(OFFSET($DS$3,0,0,'Données projet'!$E$14+1,1))-AVERAGE(OFFSET($H$3,0,0,'Données projet'!$E$14+1,1))</f>
        <v>569.21675741362196</v>
      </c>
      <c r="DU197" s="59">
        <f t="shared" ref="DU197:DU203" si="209">$DU$3</f>
        <v>321.12410801891679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61.963302263196717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61.963302263196717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69.605898488477251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-2.8421709430404007E-13</v>
      </c>
      <c r="EK197" s="17">
        <f>EJ197*VLOOKUP('Données projet'!$B$15,Paramètres!$A$1:$I$89,3,0)*VLOOKUP('Données projet'!$B$15,Paramètres!$A$1:$I$89,5,0)</f>
        <v>-2.2612312022829427E-13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416.63597645452791</v>
      </c>
      <c r="EP197" s="59">
        <f t="shared" ref="EP197:EP203" si="210">$EP$3</f>
        <v>402.05920382353497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18.797919916691157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18.797919916691157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69.605898488477251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>
        <f>FE197*VLOOKUP('Données projet'!$B$16,Paramètres!$A$1:$I$89,3,0)*VLOOKUP('Données projet'!$B$16,Paramètres!$A$1:$I$89,5,0)</f>
        <v>0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395.57130469647603</v>
      </c>
      <c r="FK197" s="59">
        <f t="shared" ref="FK197:FK203" si="211">$FK$3</f>
        <v>383.97542781562674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17.831746859850714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17.831746859850714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69.605898488477251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>
        <f>FZ197*VLOOKUP('Données projet'!$B$17,Paramètres!$A$1:$I$89,3,0)*VLOOKUP('Données projet'!$B$17,Paramètres!$A$1:$I$89,5,0)</f>
        <v>0</v>
      </c>
      <c r="GB197" s="13" t="e">
        <f t="shared" si="185"/>
        <v>#NUM!</v>
      </c>
      <c r="GC197" s="20" t="e">
        <f t="shared" si="186"/>
        <v>#NUM!</v>
      </c>
      <c r="GD197" s="59" t="e">
        <f t="shared" si="200"/>
        <v>#NUM!</v>
      </c>
      <c r="GE197" s="59">
        <f ca="1">AVERAGE(OFFSET($GD$3,0,0,'Données projet'!$E$17+1,1))-AVERAGE(OFFSET($H$3,0,0,'Données projet'!$E$17+1,1))</f>
        <v>301.74744407733351</v>
      </c>
      <c r="GF197" s="59">
        <f t="shared" ref="GF197:GF203" si="212">$GF$3</f>
        <v>292.46787700966991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9.2618109378023927</v>
      </c>
      <c r="GM197" s="21">
        <f>EXP(-LN(2)/25)*GM196+(1-EXP(-LN(2)/25))/(LN(2)/25)*Calculateur!GH197*Calculateur!GJ197*VLOOKUP('Données projet'!$B$17,Paramètres!$A$1:$I$89,3,0)*0.475*44/12</f>
        <v>0</v>
      </c>
      <c r="GN197" s="21">
        <f>EXP(-LN(2)/2)*GN196+(1-EXP(-LN(2)/2))/(LN(2)/2)*GH197*GK197*VLOOKUP('Données projet'!$B$17,Paramètres!$A$1:$I$89,3,0)*0.475*44/12</f>
        <v>0</v>
      </c>
      <c r="GO197" s="21">
        <f t="shared" si="187"/>
        <v>9.2618109378023927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69.605898488477251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-2.8421709430404007E-13</v>
      </c>
      <c r="GV197" s="17">
        <f>GU197*VLOOKUP('Données projet'!$B$18,Paramètres!$A$1:$I$89,3,0)*VLOOKUP('Données projet'!$B$18,Paramètres!$A$1:$I$89,5,0)</f>
        <v>-1.6848389350343495E-13</v>
      </c>
      <c r="GW197" s="13" t="e">
        <f t="shared" si="188"/>
        <v>#NUM!</v>
      </c>
      <c r="GX197" s="20" t="e">
        <f t="shared" si="189"/>
        <v>#NUM!</v>
      </c>
      <c r="GY197" s="59" t="e">
        <f t="shared" si="201"/>
        <v>#NUM!</v>
      </c>
      <c r="GZ197" s="59">
        <f ca="1">AVERAGE(OFFSET($GY$3,0,0,'Données projet'!$E$18+1,1))-AVERAGE(OFFSET($H$3,0,0,'Données projet'!$E$18+1,1))</f>
        <v>322.78672881269978</v>
      </c>
      <c r="HA197" s="59">
        <f t="shared" ref="HA197:HA203" si="213">$HA$3</f>
        <v>313.08736327626434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14.86006177903919</v>
      </c>
      <c r="HH197" s="21">
        <f>EXP(-LN(2)/25)*HH196+(1-EXP(-LN(2)/25))/(LN(2)/25)*Calculateur!HC197*Calculateur!HE197*VLOOKUP('Données projet'!$B$18,Paramètres!$A$1:$I$89,3,0)*0.475*44/12</f>
        <v>0</v>
      </c>
      <c r="HI197" s="21">
        <f>EXP(-LN(2)/2)*HI196+(1-EXP(-LN(2)/2))/(LN(2)/2)*HC197*HF197*VLOOKUP('Données projet'!$B$18,Paramètres!$A$1:$I$89,3,0)*0.475*44/12</f>
        <v>0</v>
      </c>
      <c r="HJ197" s="22">
        <f t="shared" si="190"/>
        <v>14.86006177903919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2.3499999999999996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8.6166666666666654</v>
      </c>
      <c r="H198" s="67">
        <f t="shared" si="192"/>
        <v>222.20000000000002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69.612735268623197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5.6843418860808015E-14</v>
      </c>
      <c r="O198" s="13">
        <f>N198*VLOOKUP('Données projet'!$B$9,Paramètres!$A$1:$I$89,3,0)*VLOOKUP('Données projet'!$B$9,Paramètres!$A$1:$I$89,5,0)</f>
        <v>5.1431925385259088E-14</v>
      </c>
      <c r="P198" s="13">
        <f t="shared" si="203"/>
        <v>8.3482866290946129E-13</v>
      </c>
      <c r="Q198" s="20">
        <f t="shared" si="162"/>
        <v>1.5435705246133045E-12</v>
      </c>
      <c r="R198" s="59">
        <f t="shared" si="191"/>
        <v>291.91336265161993</v>
      </c>
      <c r="S198" s="59">
        <f ca="1">AVERAGE(OFFSET($R$3,0,0,'Données projet'!$E$9+1,1))-AVERAGE(OFFSET($H$3,0,0,'Données projet'!$E$9+1,1))</f>
        <v>473.88815717313474</v>
      </c>
      <c r="T198" s="59">
        <f t="shared" si="204"/>
        <v>287.19790203552895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42.32722737815385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42.32722737815385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69.612735268623197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5.6843418860808015E-14</v>
      </c>
      <c r="AJ198" s="13">
        <f>AI198*VLOOKUP('Données projet'!$B$10,Paramètres!$A$1:$I$89,3,0)*VLOOKUP('Données projet'!$B$10,Paramètres!$A$1:$I$89,5,0)</f>
        <v>4.7884896048344674E-14</v>
      </c>
      <c r="AK198" s="13">
        <f t="shared" si="164"/>
        <v>7.8374629847779921E-13</v>
      </c>
      <c r="AL198" s="20">
        <f t="shared" si="165"/>
        <v>1.4484243304663672E-12</v>
      </c>
      <c r="AM198" s="59">
        <f t="shared" si="193"/>
        <v>291.91336265161982</v>
      </c>
      <c r="AN198" s="59">
        <f ca="1">AVERAGE(OFFSET($AM$3,0,0,'Données projet'!$E$10+1,1))-AVERAGE(OFFSET($H$3,0,0,'Données projet'!$E$10+1,1))</f>
        <v>445.19118535527258</v>
      </c>
      <c r="AO198" s="59">
        <f t="shared" si="205"/>
        <v>270.93483242839363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39.408108248626021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39.408108248626021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69.612735268623197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5.6843418860808015E-14</v>
      </c>
      <c r="BE198" s="13">
        <f>BD198*VLOOKUP('Données projet'!$B$11,Paramètres!$A$1:$I$89,3,0)*VLOOKUP('Données projet'!$B$11,Paramètres!$A$1:$I$89,5,0)</f>
        <v>5.7639226724859328E-14</v>
      </c>
      <c r="BF198" s="13">
        <f t="shared" si="167"/>
        <v>9.2325701996134334E-13</v>
      </c>
      <c r="BG198" s="20">
        <f t="shared" si="168"/>
        <v>1.708394296311803E-12</v>
      </c>
      <c r="BH198" s="59">
        <f t="shared" si="194"/>
        <v>291.9133626516201</v>
      </c>
      <c r="BI198" s="59">
        <f ca="1">AVERAGE(OFFSET($BH$3,0,0,'Données projet'!$E$11+1,1))-AVERAGE(OFFSET($H$3,0,0,'Données projet'!$E$11+1,1))</f>
        <v>524.01140973345832</v>
      </c>
      <c r="BJ198" s="59">
        <f t="shared" si="206"/>
        <v>315.59942237999621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47.435685854827597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47.435685854827597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69.612735268623197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-2.8421709430404007E-13</v>
      </c>
      <c r="BZ198" s="13">
        <f>BY198*VLOOKUP('Données projet'!$B$12,Paramètres!$A$1:$I$89,3,0)*VLOOKUP('Données projet'!$B$12,Paramètres!$A$1:$I$89,5,0)</f>
        <v>-1.9065282685915009E-13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358.95222991910504</v>
      </c>
      <c r="CE198" s="59">
        <f t="shared" si="207"/>
        <v>347.37506646970905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14.562275265930355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14.562275265930355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69.612735268623197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-2.8421709430404007E-13</v>
      </c>
      <c r="CU198" s="17">
        <f>CT198*VLOOKUP('Données projet'!$B$13,Paramètres!$A$1:$I$89,3,0)*VLOOKUP('Données projet'!$B$13,Paramètres!$A$1:$I$89,5,0)</f>
        <v>-1.8621904018800707E-13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351.7266381615546</v>
      </c>
      <c r="CZ198" s="59">
        <f t="shared" si="208"/>
        <v>340.52483243761799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12.313475152030824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12.313475152030824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69.612735268623197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2.2737367544323206E-13</v>
      </c>
      <c r="DP198" s="17">
        <f>DO198*VLOOKUP('Données projet'!$B$14,Paramètres!$A$1:$I$89,3,0)*VLOOKUP('Données projet'!$B$14,Paramètres!$A$1:$I$89,5,0)</f>
        <v>1.9508661353029313E-13</v>
      </c>
      <c r="DQ198" s="13">
        <f t="shared" si="176"/>
        <v>2.711421636700695E-12</v>
      </c>
      <c r="DR198" s="20">
        <f t="shared" si="177"/>
        <v>5.0621685358189711E-12</v>
      </c>
      <c r="DS198" s="59">
        <f t="shared" si="197"/>
        <v>291.91336265162346</v>
      </c>
      <c r="DT198" s="59">
        <f ca="1">AVERAGE(OFFSET($DS$3,0,0,'Données projet'!$E$14+1,1))-AVERAGE(OFFSET($H$3,0,0,'Données projet'!$E$14+1,1))</f>
        <v>569.21675741362196</v>
      </c>
      <c r="DU198" s="59">
        <f t="shared" si="209"/>
        <v>321.12410801891679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60.748239699697976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60.748239699697976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69.612735268623197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-2.8421709430404007E-13</v>
      </c>
      <c r="EK198" s="17">
        <f>EJ198*VLOOKUP('Données projet'!$B$15,Paramètres!$A$1:$I$89,3,0)*VLOOKUP('Données projet'!$B$15,Paramètres!$A$1:$I$89,5,0)</f>
        <v>-2.2612312022829427E-13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416.63597645452791</v>
      </c>
      <c r="EP198" s="59">
        <f t="shared" si="210"/>
        <v>402.05920382353497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18.42930417272386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18.42930417272386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69.612735268623197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>
        <f>FE198*VLOOKUP('Données projet'!$B$16,Paramètres!$A$1:$I$89,3,0)*VLOOKUP('Données projet'!$B$16,Paramètres!$A$1:$I$89,5,0)</f>
        <v>0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395.57130469647603</v>
      </c>
      <c r="FK198" s="59">
        <f t="shared" si="211"/>
        <v>383.97542781562674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17.482077180220681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17.482077180220681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69.612735268623197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>
        <f>FZ198*VLOOKUP('Données projet'!$B$17,Paramètres!$A$1:$I$89,3,0)*VLOOKUP('Données projet'!$B$17,Paramètres!$A$1:$I$89,5,0)</f>
        <v>0</v>
      </c>
      <c r="GB198" s="13" t="e">
        <f t="shared" si="185"/>
        <v>#NUM!</v>
      </c>
      <c r="GC198" s="20" t="e">
        <f t="shared" si="186"/>
        <v>#NUM!</v>
      </c>
      <c r="GD198" s="59" t="e">
        <f t="shared" si="200"/>
        <v>#NUM!</v>
      </c>
      <c r="GE198" s="59">
        <f ca="1">AVERAGE(OFFSET($GD$3,0,0,'Données projet'!$E$17+1,1))-AVERAGE(OFFSET($H$3,0,0,'Données projet'!$E$17+1,1))</f>
        <v>301.74744407733351</v>
      </c>
      <c r="GF198" s="59">
        <f t="shared" si="212"/>
        <v>292.46787700966991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9.0801924744589524</v>
      </c>
      <c r="GM198" s="21">
        <f>EXP(-LN(2)/25)*GM197+(1-EXP(-LN(2)/25))/(LN(2)/25)*Calculateur!GH198*Calculateur!GJ198*VLOOKUP('Données projet'!$B$17,Paramètres!$A$1:$I$89,3,0)*0.475*44/12</f>
        <v>0</v>
      </c>
      <c r="GN198" s="21">
        <f>EXP(-LN(2)/2)*GN197+(1-EXP(-LN(2)/2))/(LN(2)/2)*GH198*GK198*VLOOKUP('Données projet'!$B$17,Paramètres!$A$1:$I$89,3,0)*0.475*44/12</f>
        <v>0</v>
      </c>
      <c r="GO198" s="21">
        <f t="shared" si="187"/>
        <v>9.0801924744589524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69.612735268623197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-2.8421709430404007E-13</v>
      </c>
      <c r="GV198" s="17">
        <f>GU198*VLOOKUP('Données projet'!$B$18,Paramètres!$A$1:$I$89,3,0)*VLOOKUP('Données projet'!$B$18,Paramètres!$A$1:$I$89,5,0)</f>
        <v>-1.6848389350343495E-13</v>
      </c>
      <c r="GW198" s="13" t="e">
        <f t="shared" si="188"/>
        <v>#NUM!</v>
      </c>
      <c r="GX198" s="20" t="e">
        <f t="shared" si="189"/>
        <v>#NUM!</v>
      </c>
      <c r="GY198" s="59" t="e">
        <f t="shared" si="201"/>
        <v>#NUM!</v>
      </c>
      <c r="GZ198" s="59">
        <f ca="1">AVERAGE(OFFSET($GY$3,0,0,'Données projet'!$E$18+1,1))-AVERAGE(OFFSET($H$3,0,0,'Données projet'!$E$18+1,1))</f>
        <v>322.78672881269978</v>
      </c>
      <c r="HA198" s="59">
        <f t="shared" si="213"/>
        <v>313.08736327626434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14.568665031294946</v>
      </c>
      <c r="HH198" s="21">
        <f>EXP(-LN(2)/25)*HH197+(1-EXP(-LN(2)/25))/(LN(2)/25)*Calculateur!HC198*Calculateur!HE198*VLOOKUP('Données projet'!$B$18,Paramètres!$A$1:$I$89,3,0)*0.475*44/12</f>
        <v>0</v>
      </c>
      <c r="HI198" s="21">
        <f>EXP(-LN(2)/2)*HI197+(1-EXP(-LN(2)/2))/(LN(2)/2)*HC198*HF198*VLOOKUP('Données projet'!$B$18,Paramètres!$A$1:$I$89,3,0)*0.475*44/12</f>
        <v>0</v>
      </c>
      <c r="HJ198" s="22">
        <f t="shared" si="190"/>
        <v>14.568665031294946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2.3499999999999996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8.6166666666666654</v>
      </c>
      <c r="H199" s="67">
        <f t="shared" si="192"/>
        <v>222.20000000000002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69.619453445918339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5.6843418860808015E-14</v>
      </c>
      <c r="O199" s="13">
        <f>N199*VLOOKUP('Données projet'!$B$9,Paramètres!$A$1:$I$89,3,0)*VLOOKUP('Données projet'!$B$9,Paramètres!$A$1:$I$89,5,0)</f>
        <v>5.1431925385259088E-14</v>
      </c>
      <c r="P199" s="13">
        <f t="shared" si="203"/>
        <v>8.3482866290946129E-13</v>
      </c>
      <c r="Q199" s="20">
        <f t="shared" si="162"/>
        <v>1.5435705246133045E-12</v>
      </c>
      <c r="R199" s="59">
        <f t="shared" si="191"/>
        <v>291.9379959683688</v>
      </c>
      <c r="S199" s="59">
        <f ca="1">AVERAGE(OFFSET($R$3,0,0,'Données projet'!$E$9+1,1))-AVERAGE(OFFSET($H$3,0,0,'Données projet'!$E$9+1,1))</f>
        <v>473.88815717313474</v>
      </c>
      <c r="T199" s="59">
        <f t="shared" si="204"/>
        <v>287.19790203552895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41.497216266327733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41.497216266327733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69.619453445918339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5.6843418860808015E-14</v>
      </c>
      <c r="AJ199" s="13">
        <f>AI199*VLOOKUP('Données projet'!$B$10,Paramètres!$A$1:$I$89,3,0)*VLOOKUP('Données projet'!$B$10,Paramètres!$A$1:$I$89,5,0)</f>
        <v>4.7884896048344674E-14</v>
      </c>
      <c r="AK199" s="13">
        <f t="shared" si="164"/>
        <v>7.8374629847779921E-13</v>
      </c>
      <c r="AL199" s="20">
        <f t="shared" si="165"/>
        <v>1.4484243304663672E-12</v>
      </c>
      <c r="AM199" s="59">
        <f t="shared" si="193"/>
        <v>291.93799596836868</v>
      </c>
      <c r="AN199" s="59">
        <f ca="1">AVERAGE(OFFSET($AM$3,0,0,'Données projet'!$E$10+1,1))-AVERAGE(OFFSET($H$3,0,0,'Données projet'!$E$10+1,1))</f>
        <v>445.19118535527258</v>
      </c>
      <c r="AO199" s="59">
        <f t="shared" si="205"/>
        <v>270.93483242839363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38.635339282443084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38.635339282443084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69.619453445918339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5.6843418860808015E-14</v>
      </c>
      <c r="BE199" s="13">
        <f>BD199*VLOOKUP('Données projet'!$B$11,Paramètres!$A$1:$I$89,3,0)*VLOOKUP('Données projet'!$B$11,Paramètres!$A$1:$I$89,5,0)</f>
        <v>5.7639226724859328E-14</v>
      </c>
      <c r="BF199" s="13">
        <f t="shared" si="167"/>
        <v>9.2325701996134334E-13</v>
      </c>
      <c r="BG199" s="20">
        <f t="shared" si="168"/>
        <v>1.708394296311803E-12</v>
      </c>
      <c r="BH199" s="59">
        <f t="shared" si="194"/>
        <v>291.93799596836897</v>
      </c>
      <c r="BI199" s="59">
        <f ca="1">AVERAGE(OFFSET($BH$3,0,0,'Données projet'!$E$11+1,1))-AVERAGE(OFFSET($H$3,0,0,'Données projet'!$E$11+1,1))</f>
        <v>524.01140973345832</v>
      </c>
      <c r="BJ199" s="59">
        <f t="shared" si="206"/>
        <v>315.59942237999621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46.50550098812591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46.50550098812591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69.619453445918339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-2.8421709430404007E-13</v>
      </c>
      <c r="BZ199" s="13">
        <f>BY199*VLOOKUP('Données projet'!$B$12,Paramètres!$A$1:$I$89,3,0)*VLOOKUP('Données projet'!$B$12,Paramètres!$A$1:$I$89,5,0)</f>
        <v>-1.9065282685915009E-13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358.95222991910504</v>
      </c>
      <c r="CE199" s="59">
        <f t="shared" si="207"/>
        <v>347.37506646970905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14.276717930076337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14.276717930076337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69.619453445918339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-2.8421709430404007E-13</v>
      </c>
      <c r="CU199" s="17">
        <f>CT199*VLOOKUP('Données projet'!$B$13,Paramètres!$A$1:$I$89,3,0)*VLOOKUP('Données projet'!$B$13,Paramètres!$A$1:$I$89,5,0)</f>
        <v>-1.8621904018800707E-13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351.7266381615546</v>
      </c>
      <c r="CZ199" s="59">
        <f t="shared" si="208"/>
        <v>340.52483243761799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12.072015414777743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12.072015414777743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69.619453445918339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2.2737367544323206E-13</v>
      </c>
      <c r="DP199" s="17">
        <f>DO199*VLOOKUP('Données projet'!$B$14,Paramètres!$A$1:$I$89,3,0)*VLOOKUP('Données projet'!$B$14,Paramètres!$A$1:$I$89,5,0)</f>
        <v>1.9508661353029313E-13</v>
      </c>
      <c r="DQ199" s="13">
        <f t="shared" si="176"/>
        <v>2.711421636700695E-12</v>
      </c>
      <c r="DR199" s="20">
        <f t="shared" si="177"/>
        <v>5.0621685358189711E-12</v>
      </c>
      <c r="DS199" s="59">
        <f t="shared" si="197"/>
        <v>291.93799596837232</v>
      </c>
      <c r="DT199" s="59">
        <f ca="1">AVERAGE(OFFSET($DS$3,0,0,'Données projet'!$E$14+1,1))-AVERAGE(OFFSET($H$3,0,0,'Données projet'!$E$14+1,1))</f>
        <v>569.21675741362196</v>
      </c>
      <c r="DU199" s="59">
        <f t="shared" si="209"/>
        <v>321.12410801891679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59.557003771954456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59.557003771954456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69.619453445918339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-2.8421709430404007E-13</v>
      </c>
      <c r="EK199" s="17">
        <f>EJ199*VLOOKUP('Données projet'!$B$15,Paramètres!$A$1:$I$89,3,0)*VLOOKUP('Données projet'!$B$15,Paramètres!$A$1:$I$89,5,0)</f>
        <v>-2.2612312022829427E-13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416.63597645452791</v>
      </c>
      <c r="EP199" s="59">
        <f t="shared" si="210"/>
        <v>402.05920382353497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18.067916758662356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18.067916758662356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69.619453445918339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>
        <f>FE199*VLOOKUP('Données projet'!$B$16,Paramètres!$A$1:$I$89,3,0)*VLOOKUP('Données projet'!$B$16,Paramètres!$A$1:$I$89,5,0)</f>
        <v>0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395.57130469647603</v>
      </c>
      <c r="FK199" s="59">
        <f t="shared" si="211"/>
        <v>383.97542781562674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17.139264309730748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17.139264309730748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69.619453445918339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>
        <f>FZ199*VLOOKUP('Données projet'!$B$17,Paramètres!$A$1:$I$89,3,0)*VLOOKUP('Données projet'!$B$17,Paramètres!$A$1:$I$89,5,0)</f>
        <v>0</v>
      </c>
      <c r="GB199" s="13" t="e">
        <f t="shared" si="185"/>
        <v>#NUM!</v>
      </c>
      <c r="GC199" s="20" t="e">
        <f t="shared" si="186"/>
        <v>#NUM!</v>
      </c>
      <c r="GD199" s="59" t="e">
        <f t="shared" si="200"/>
        <v>#NUM!</v>
      </c>
      <c r="GE199" s="59">
        <f ca="1">AVERAGE(OFFSET($GD$3,0,0,'Données projet'!$E$17+1,1))-AVERAGE(OFFSET($H$3,0,0,'Données projet'!$E$17+1,1))</f>
        <v>301.74744407733351</v>
      </c>
      <c r="GF199" s="59">
        <f t="shared" si="212"/>
        <v>292.46787700966991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8.9021354384053524</v>
      </c>
      <c r="GM199" s="21">
        <f>EXP(-LN(2)/25)*GM198+(1-EXP(-LN(2)/25))/(LN(2)/25)*Calculateur!GH199*Calculateur!GJ199*VLOOKUP('Données projet'!$B$17,Paramètres!$A$1:$I$89,3,0)*0.475*44/12</f>
        <v>0</v>
      </c>
      <c r="GN199" s="21">
        <f>EXP(-LN(2)/2)*GN198+(1-EXP(-LN(2)/2))/(LN(2)/2)*GH199*GK199*VLOOKUP('Données projet'!$B$17,Paramètres!$A$1:$I$89,3,0)*0.475*44/12</f>
        <v>0</v>
      </c>
      <c r="GO199" s="21">
        <f t="shared" si="187"/>
        <v>8.9021354384053524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69.619453445918339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-2.8421709430404007E-13</v>
      </c>
      <c r="GV199" s="17">
        <f>GU199*VLOOKUP('Données projet'!$B$18,Paramètres!$A$1:$I$89,3,0)*VLOOKUP('Données projet'!$B$18,Paramètres!$A$1:$I$89,5,0)</f>
        <v>-1.6848389350343495E-13</v>
      </c>
      <c r="GW199" s="13" t="e">
        <f t="shared" si="188"/>
        <v>#NUM!</v>
      </c>
      <c r="GX199" s="20" t="e">
        <f t="shared" si="189"/>
        <v>#NUM!</v>
      </c>
      <c r="GY199" s="59" t="e">
        <f t="shared" si="201"/>
        <v>#NUM!</v>
      </c>
      <c r="GZ199" s="59">
        <f ca="1">AVERAGE(OFFSET($GY$3,0,0,'Données projet'!$E$18+1,1))-AVERAGE(OFFSET($H$3,0,0,'Données projet'!$E$18+1,1))</f>
        <v>322.78672881269978</v>
      </c>
      <c r="HA199" s="59">
        <f t="shared" si="213"/>
        <v>313.08736327626434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14.2829823960395</v>
      </c>
      <c r="HH199" s="21">
        <f>EXP(-LN(2)/25)*HH198+(1-EXP(-LN(2)/25))/(LN(2)/25)*Calculateur!HC199*Calculateur!HE199*VLOOKUP('Données projet'!$B$18,Paramètres!$A$1:$I$89,3,0)*0.475*44/12</f>
        <v>0</v>
      </c>
      <c r="HI199" s="21">
        <f>EXP(-LN(2)/2)*HI198+(1-EXP(-LN(2)/2))/(LN(2)/2)*HC199*HF199*VLOOKUP('Données projet'!$B$18,Paramètres!$A$1:$I$89,3,0)*0.475*44/12</f>
        <v>0</v>
      </c>
      <c r="HJ199" s="22">
        <f t="shared" si="190"/>
        <v>14.2829823960395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2.3499999999999996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8.6166666666666654</v>
      </c>
      <c r="H200" s="67">
        <f t="shared" si="192"/>
        <v>222.20000000000002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69.626055077857018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5.6843418860808015E-14</v>
      </c>
      <c r="O200" s="13">
        <f>N200*VLOOKUP('Données projet'!$B$9,Paramètres!$A$1:$I$89,3,0)*VLOOKUP('Données projet'!$B$9,Paramètres!$A$1:$I$89,5,0)</f>
        <v>5.1431925385259088E-14</v>
      </c>
      <c r="P200" s="13">
        <f t="shared" si="203"/>
        <v>8.3482866290946129E-13</v>
      </c>
      <c r="Q200" s="20">
        <f t="shared" si="162"/>
        <v>1.5435705246133045E-12</v>
      </c>
      <c r="R200" s="59">
        <f t="shared" si="191"/>
        <v>291.96220195214391</v>
      </c>
      <c r="S200" s="59">
        <f ca="1">AVERAGE(OFFSET($R$3,0,0,'Données projet'!$E$9+1,1))-AVERAGE(OFFSET($H$3,0,0,'Données projet'!$E$9+1,1))</f>
        <v>473.88815717313474</v>
      </c>
      <c r="T200" s="59">
        <f t="shared" si="204"/>
        <v>287.19790203552895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40.683481166147736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40.683481166147736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69.626055077857018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5.6843418860808015E-14</v>
      </c>
      <c r="AJ200" s="13">
        <f>AI200*VLOOKUP('Données projet'!$B$10,Paramètres!$A$1:$I$89,3,0)*VLOOKUP('Données projet'!$B$10,Paramètres!$A$1:$I$89,5,0)</f>
        <v>4.7884896048344674E-14</v>
      </c>
      <c r="AK200" s="13">
        <f t="shared" si="164"/>
        <v>7.8374629847779921E-13</v>
      </c>
      <c r="AL200" s="20">
        <f t="shared" si="165"/>
        <v>1.4484243304663672E-12</v>
      </c>
      <c r="AM200" s="59">
        <f t="shared" si="193"/>
        <v>291.9622019521438</v>
      </c>
      <c r="AN200" s="59">
        <f ca="1">AVERAGE(OFFSET($AM$3,0,0,'Données projet'!$E$10+1,1))-AVERAGE(OFFSET($H$3,0,0,'Données projet'!$E$10+1,1))</f>
        <v>445.19118535527258</v>
      </c>
      <c r="AO200" s="59">
        <f t="shared" si="205"/>
        <v>270.93483242839363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37.877723844344466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37.877723844344466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69.626055077857018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5.6843418860808015E-14</v>
      </c>
      <c r="BE200" s="13">
        <f>BD200*VLOOKUP('Données projet'!$B$11,Paramètres!$A$1:$I$89,3,0)*VLOOKUP('Données projet'!$B$11,Paramètres!$A$1:$I$89,5,0)</f>
        <v>5.7639226724859328E-14</v>
      </c>
      <c r="BF200" s="13">
        <f t="shared" si="167"/>
        <v>9.2325701996134334E-13</v>
      </c>
      <c r="BG200" s="20">
        <f t="shared" si="168"/>
        <v>1.708394296311803E-12</v>
      </c>
      <c r="BH200" s="59">
        <f t="shared" si="194"/>
        <v>291.96220195214408</v>
      </c>
      <c r="BI200" s="59">
        <f ca="1">AVERAGE(OFFSET($BH$3,0,0,'Données projet'!$E$11+1,1))-AVERAGE(OFFSET($H$3,0,0,'Données projet'!$E$11+1,1))</f>
        <v>524.01140973345832</v>
      </c>
      <c r="BJ200" s="59">
        <f t="shared" si="206"/>
        <v>315.59942237999621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45.593556479303494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45.593556479303494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69.626055077857018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-2.8421709430404007E-13</v>
      </c>
      <c r="BZ200" s="13">
        <f>BY200*VLOOKUP('Données projet'!$B$12,Paramètres!$A$1:$I$89,3,0)*VLOOKUP('Données projet'!$B$12,Paramètres!$A$1:$I$89,5,0)</f>
        <v>-1.9065282685915009E-13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358.95222991910504</v>
      </c>
      <c r="CE200" s="59">
        <f t="shared" si="207"/>
        <v>347.37506646970905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13.996760199405641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13.996760199405641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69.626055077857018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-2.8421709430404007E-13</v>
      </c>
      <c r="CU200" s="17">
        <f>CT200*VLOOKUP('Données projet'!$B$13,Paramètres!$A$1:$I$89,3,0)*VLOOKUP('Données projet'!$B$13,Paramètres!$A$1:$I$89,5,0)</f>
        <v>-1.8621904018800707E-13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351.7266381615546</v>
      </c>
      <c r="CZ200" s="59">
        <f t="shared" si="208"/>
        <v>340.52483243761799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11.835290555696298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11.835290555696298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69.626055077857018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2.2737367544323206E-13</v>
      </c>
      <c r="DP200" s="17">
        <f>DO200*VLOOKUP('Données projet'!$B$14,Paramètres!$A$1:$I$89,3,0)*VLOOKUP('Données projet'!$B$14,Paramètres!$A$1:$I$89,5,0)</f>
        <v>1.9508661353029313E-13</v>
      </c>
      <c r="DQ200" s="13">
        <f t="shared" si="176"/>
        <v>2.711421636700695E-12</v>
      </c>
      <c r="DR200" s="20">
        <f t="shared" si="177"/>
        <v>5.0621685358189711E-12</v>
      </c>
      <c r="DS200" s="59">
        <f t="shared" si="197"/>
        <v>291.96220195214744</v>
      </c>
      <c r="DT200" s="59">
        <f ca="1">AVERAGE(OFFSET($DS$3,0,0,'Données projet'!$E$14+1,1))-AVERAGE(OFFSET($H$3,0,0,'Données projet'!$E$14+1,1))</f>
        <v>569.21675741362196</v>
      </c>
      <c r="DU200" s="59">
        <f t="shared" si="209"/>
        <v>321.12410801891679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58.389127254171818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58.389127254171818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69.626055077857018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-2.8421709430404007E-13</v>
      </c>
      <c r="EK200" s="17">
        <f>EJ200*VLOOKUP('Données projet'!$B$15,Paramètres!$A$1:$I$89,3,0)*VLOOKUP('Données projet'!$B$15,Paramètres!$A$1:$I$89,5,0)</f>
        <v>-2.2612312022829427E-13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416.63597645452791</v>
      </c>
      <c r="EP200" s="59">
        <f t="shared" si="210"/>
        <v>402.05920382353497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17.713615931366043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17.713615931366043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69.626055077857018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>
        <f>FE200*VLOOKUP('Données projet'!$B$16,Paramètres!$A$1:$I$89,3,0)*VLOOKUP('Données projet'!$B$16,Paramètres!$A$1:$I$89,5,0)</f>
        <v>0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395.57130469647603</v>
      </c>
      <c r="FK200" s="59">
        <f t="shared" si="211"/>
        <v>383.97542781562674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16.803173790535919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16.803173790535919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69.626055077857018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>
        <f>FZ200*VLOOKUP('Données projet'!$B$17,Paramètres!$A$1:$I$89,3,0)*VLOOKUP('Données projet'!$B$17,Paramètres!$A$1:$I$89,5,0)</f>
        <v>0</v>
      </c>
      <c r="GB200" s="13" t="e">
        <f t="shared" si="185"/>
        <v>#NUM!</v>
      </c>
      <c r="GC200" s="20" t="e">
        <f t="shared" si="186"/>
        <v>#NUM!</v>
      </c>
      <c r="GD200" s="59" t="e">
        <f t="shared" si="200"/>
        <v>#NUM!</v>
      </c>
      <c r="GE200" s="59">
        <f ca="1">AVERAGE(OFFSET($GD$3,0,0,'Données projet'!$E$17+1,1))-AVERAGE(OFFSET($H$3,0,0,'Données projet'!$E$17+1,1))</f>
        <v>301.74744407733351</v>
      </c>
      <c r="GF200" s="59">
        <f t="shared" si="212"/>
        <v>292.46787700966991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8.7275699922246961</v>
      </c>
      <c r="GM200" s="21">
        <f>EXP(-LN(2)/25)*GM199+(1-EXP(-LN(2)/25))/(LN(2)/25)*Calculateur!GH200*Calculateur!GJ200*VLOOKUP('Données projet'!$B$17,Paramètres!$A$1:$I$89,3,0)*0.475*44/12</f>
        <v>0</v>
      </c>
      <c r="GN200" s="21">
        <f>EXP(-LN(2)/2)*GN199+(1-EXP(-LN(2)/2))/(LN(2)/2)*GH200*GK200*VLOOKUP('Données projet'!$B$17,Paramètres!$A$1:$I$89,3,0)*0.475*44/12</f>
        <v>0</v>
      </c>
      <c r="GO200" s="21">
        <f t="shared" si="187"/>
        <v>8.7275699922246961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69.626055077857018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-2.8421709430404007E-13</v>
      </c>
      <c r="GV200" s="17">
        <f>GU200*VLOOKUP('Données projet'!$B$18,Paramètres!$A$1:$I$89,3,0)*VLOOKUP('Données projet'!$B$18,Paramètres!$A$1:$I$89,5,0)</f>
        <v>-1.6848389350343495E-13</v>
      </c>
      <c r="GW200" s="13" t="e">
        <f t="shared" si="188"/>
        <v>#NUM!</v>
      </c>
      <c r="GX200" s="20" t="e">
        <f t="shared" si="189"/>
        <v>#NUM!</v>
      </c>
      <c r="GY200" s="59" t="e">
        <f t="shared" si="201"/>
        <v>#NUM!</v>
      </c>
      <c r="GZ200" s="59">
        <f ca="1">AVERAGE(OFFSET($GY$3,0,0,'Données projet'!$E$18+1,1))-AVERAGE(OFFSET($H$3,0,0,'Données projet'!$E$18+1,1))</f>
        <v>322.78672881269978</v>
      </c>
      <c r="HA200" s="59">
        <f t="shared" si="213"/>
        <v>313.08736327626434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14.002901823012213</v>
      </c>
      <c r="HH200" s="21">
        <f>EXP(-LN(2)/25)*HH199+(1-EXP(-LN(2)/25))/(LN(2)/25)*Calculateur!HC200*Calculateur!HE200*VLOOKUP('Données projet'!$B$18,Paramètres!$A$1:$I$89,3,0)*0.475*44/12</f>
        <v>0</v>
      </c>
      <c r="HI200" s="21">
        <f>EXP(-LN(2)/2)*HI199+(1-EXP(-LN(2)/2))/(LN(2)/2)*HC200*HF200*VLOOKUP('Données projet'!$B$18,Paramètres!$A$1:$I$89,3,0)*0.475*44/12</f>
        <v>0</v>
      </c>
      <c r="HJ200" s="22">
        <f t="shared" si="190"/>
        <v>14.002901823012213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2.3499999999999996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8.6166666666666654</v>
      </c>
      <c r="H201" s="67">
        <f t="shared" si="192"/>
        <v>222.20000000000002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69.632542186240599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5.6843418860808015E-14</v>
      </c>
      <c r="O201" s="13">
        <f>N201*VLOOKUP('Données projet'!$B$9,Paramètres!$A$1:$I$89,3,0)*VLOOKUP('Données projet'!$B$9,Paramètres!$A$1:$I$89,5,0)</f>
        <v>5.1431925385259088E-14</v>
      </c>
      <c r="P201" s="13">
        <f t="shared" si="203"/>
        <v>8.3482866290946129E-13</v>
      </c>
      <c r="Q201" s="20">
        <f t="shared" si="162"/>
        <v>1.5435705246133045E-12</v>
      </c>
      <c r="R201" s="59">
        <f t="shared" si="191"/>
        <v>291.98598801621705</v>
      </c>
      <c r="S201" s="59">
        <f ca="1">AVERAGE(OFFSET($R$3,0,0,'Données projet'!$E$9+1,1))-AVERAGE(OFFSET($H$3,0,0,'Données projet'!$E$9+1,1))</f>
        <v>473.88815717313474</v>
      </c>
      <c r="T201" s="59">
        <f t="shared" si="204"/>
        <v>287.19790203552895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39.885702914952866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39.885702914952866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69.632542186240599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5.6843418860808015E-14</v>
      </c>
      <c r="AJ201" s="13">
        <f>AI201*VLOOKUP('Données projet'!$B$10,Paramètres!$A$1:$I$89,3,0)*VLOOKUP('Données projet'!$B$10,Paramètres!$A$1:$I$89,5,0)</f>
        <v>4.7884896048344674E-14</v>
      </c>
      <c r="AK201" s="13">
        <f t="shared" si="164"/>
        <v>7.8374629847779921E-13</v>
      </c>
      <c r="AL201" s="20">
        <f t="shared" si="165"/>
        <v>1.4484243304663672E-12</v>
      </c>
      <c r="AM201" s="59">
        <f t="shared" si="193"/>
        <v>291.98598801621694</v>
      </c>
      <c r="AN201" s="59">
        <f ca="1">AVERAGE(OFFSET($AM$3,0,0,'Données projet'!$E$10+1,1))-AVERAGE(OFFSET($H$3,0,0,'Données projet'!$E$10+1,1))</f>
        <v>445.19118535527258</v>
      </c>
      <c r="AO201" s="59">
        <f t="shared" si="205"/>
        <v>270.93483242839363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37.134964782887174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37.134964782887174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69.632542186240599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5.6843418860808015E-14</v>
      </c>
      <c r="BE201" s="13">
        <f>BD201*VLOOKUP('Données projet'!$B$11,Paramètres!$A$1:$I$89,3,0)*VLOOKUP('Données projet'!$B$11,Paramètres!$A$1:$I$89,5,0)</f>
        <v>5.7639226724859328E-14</v>
      </c>
      <c r="BF201" s="13">
        <f t="shared" si="167"/>
        <v>9.2325701996134334E-13</v>
      </c>
      <c r="BG201" s="20">
        <f t="shared" si="168"/>
        <v>1.708394296311803E-12</v>
      </c>
      <c r="BH201" s="59">
        <f t="shared" si="194"/>
        <v>291.98598801621722</v>
      </c>
      <c r="BI201" s="59">
        <f ca="1">AVERAGE(OFFSET($BH$3,0,0,'Données projet'!$E$11+1,1))-AVERAGE(OFFSET($H$3,0,0,'Données projet'!$E$11+1,1))</f>
        <v>524.01140973345832</v>
      </c>
      <c r="BJ201" s="59">
        <f t="shared" si="206"/>
        <v>315.59942237999621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44.699494646067862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44.699494646067862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69.632542186240599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-2.8421709430404007E-13</v>
      </c>
      <c r="BZ201" s="13">
        <f>BY201*VLOOKUP('Données projet'!$B$12,Paramètres!$A$1:$I$89,3,0)*VLOOKUP('Données projet'!$B$12,Paramètres!$A$1:$I$89,5,0)</f>
        <v>-1.9065282685915009E-13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358.95222991910504</v>
      </c>
      <c r="CE201" s="59">
        <f t="shared" si="207"/>
        <v>347.37506646970905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13.722292269076041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13.722292269076041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69.632542186240599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-2.8421709430404007E-13</v>
      </c>
      <c r="CU201" s="17">
        <f>CT201*VLOOKUP('Données projet'!$B$13,Paramètres!$A$1:$I$89,3,0)*VLOOKUP('Données projet'!$B$13,Paramètres!$A$1:$I$89,5,0)</f>
        <v>-1.8621904018800707E-13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351.7266381615546</v>
      </c>
      <c r="CZ201" s="59">
        <f t="shared" si="208"/>
        <v>340.52483243761799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11.603207726713535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11.603207726713535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69.632542186240599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2.2737367544323206E-13</v>
      </c>
      <c r="DP201" s="17">
        <f>DO201*VLOOKUP('Données projet'!$B$14,Paramètres!$A$1:$I$89,3,0)*VLOOKUP('Données projet'!$B$14,Paramètres!$A$1:$I$89,5,0)</f>
        <v>1.9508661353029313E-13</v>
      </c>
      <c r="DQ201" s="13">
        <f t="shared" si="176"/>
        <v>2.711421636700695E-12</v>
      </c>
      <c r="DR201" s="20">
        <f t="shared" si="177"/>
        <v>5.0621685358189711E-12</v>
      </c>
      <c r="DS201" s="59">
        <f t="shared" si="197"/>
        <v>291.98598801622057</v>
      </c>
      <c r="DT201" s="59">
        <f ca="1">AVERAGE(OFFSET($DS$3,0,0,'Données projet'!$E$14+1,1))-AVERAGE(OFFSET($H$3,0,0,'Données projet'!$E$14+1,1))</f>
        <v>569.21675741362196</v>
      </c>
      <c r="DU201" s="59">
        <f t="shared" si="209"/>
        <v>321.12410801891679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57.244152082568561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57.244152082568561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69.632542186240599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-2.8421709430404007E-13</v>
      </c>
      <c r="EK201" s="17">
        <f>EJ201*VLOOKUP('Données projet'!$B$15,Paramètres!$A$1:$I$89,3,0)*VLOOKUP('Données projet'!$B$15,Paramètres!$A$1:$I$89,5,0)</f>
        <v>-2.2612312022829427E-13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416.63597645452791</v>
      </c>
      <c r="EP201" s="59">
        <f t="shared" si="210"/>
        <v>402.05920382353497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17.366262727190843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17.366262727190843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69.632542186240599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>
        <f>FE201*VLOOKUP('Données projet'!$B$16,Paramètres!$A$1:$I$89,3,0)*VLOOKUP('Données projet'!$B$16,Paramètres!$A$1:$I$89,5,0)</f>
        <v>0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395.57130469647603</v>
      </c>
      <c r="FK201" s="59">
        <f t="shared" si="211"/>
        <v>383.97542781562674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16.473673801427523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16.473673801427523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69.632542186240599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>
        <f>FZ201*VLOOKUP('Données projet'!$B$17,Paramètres!$A$1:$I$89,3,0)*VLOOKUP('Données projet'!$B$17,Paramètres!$A$1:$I$89,5,0)</f>
        <v>0</v>
      </c>
      <c r="GB201" s="13" t="e">
        <f t="shared" si="185"/>
        <v>#NUM!</v>
      </c>
      <c r="GC201" s="20" t="e">
        <f t="shared" si="186"/>
        <v>#NUM!</v>
      </c>
      <c r="GD201" s="59" t="e">
        <f t="shared" si="200"/>
        <v>#NUM!</v>
      </c>
      <c r="GE201" s="59">
        <f ca="1">AVERAGE(OFFSET($GD$3,0,0,'Données projet'!$E$17+1,1))-AVERAGE(OFFSET($H$3,0,0,'Données projet'!$E$17+1,1))</f>
        <v>301.74744407733351</v>
      </c>
      <c r="GF201" s="59">
        <f t="shared" si="212"/>
        <v>292.46787700966991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8.556427667969233</v>
      </c>
      <c r="GM201" s="21">
        <f>EXP(-LN(2)/25)*GM200+(1-EXP(-LN(2)/25))/(LN(2)/25)*Calculateur!GH201*Calculateur!GJ201*VLOOKUP('Données projet'!$B$17,Paramètres!$A$1:$I$89,3,0)*0.475*44/12</f>
        <v>0</v>
      </c>
      <c r="GN201" s="21">
        <f>EXP(-LN(2)/2)*GN200+(1-EXP(-LN(2)/2))/(LN(2)/2)*GH201*GK201*VLOOKUP('Données projet'!$B$17,Paramètres!$A$1:$I$89,3,0)*0.475*44/12</f>
        <v>0</v>
      </c>
      <c r="GO201" s="21">
        <f t="shared" si="187"/>
        <v>8.556427667969233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69.632542186240599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-2.8421709430404007E-13</v>
      </c>
      <c r="GV201" s="17">
        <f>GU201*VLOOKUP('Données projet'!$B$18,Paramètres!$A$1:$I$89,3,0)*VLOOKUP('Données projet'!$B$18,Paramètres!$A$1:$I$89,5,0)</f>
        <v>-1.6848389350343495E-13</v>
      </c>
      <c r="GW201" s="13" t="e">
        <f t="shared" si="188"/>
        <v>#NUM!</v>
      </c>
      <c r="GX201" s="20" t="e">
        <f t="shared" si="189"/>
        <v>#NUM!</v>
      </c>
      <c r="GY201" s="59" t="e">
        <f t="shared" si="201"/>
        <v>#NUM!</v>
      </c>
      <c r="GZ201" s="59">
        <f ca="1">AVERAGE(OFFSET($GY$3,0,0,'Données projet'!$E$18+1,1))-AVERAGE(OFFSET($H$3,0,0,'Données projet'!$E$18+1,1))</f>
        <v>322.78672881269978</v>
      </c>
      <c r="HA201" s="59">
        <f t="shared" si="213"/>
        <v>313.08736327626434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13.728313459189708</v>
      </c>
      <c r="HH201" s="21">
        <f>EXP(-LN(2)/25)*HH200+(1-EXP(-LN(2)/25))/(LN(2)/25)*Calculateur!HC201*Calculateur!HE201*VLOOKUP('Données projet'!$B$18,Paramètres!$A$1:$I$89,3,0)*0.475*44/12</f>
        <v>0</v>
      </c>
      <c r="HI201" s="21">
        <f>EXP(-LN(2)/2)*HI200+(1-EXP(-LN(2)/2))/(LN(2)/2)*HC201*HF201*VLOOKUP('Données projet'!$B$18,Paramètres!$A$1:$I$89,3,0)*0.475*44/12</f>
        <v>0</v>
      </c>
      <c r="HJ201" s="22">
        <f t="shared" si="190"/>
        <v>13.728313459189708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2.3499999999999996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8.6166666666666654</v>
      </c>
      <c r="H202" s="67">
        <f t="shared" si="192"/>
        <v>222.20000000000002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69.638916757796721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5.6843418860808015E-14</v>
      </c>
      <c r="O202" s="13">
        <f>N202*VLOOKUP('Données projet'!$B$9,Paramètres!$A$1:$I$89,3,0)*VLOOKUP('Données projet'!$B$9,Paramètres!$A$1:$I$89,5,0)</f>
        <v>5.1431925385259088E-14</v>
      </c>
      <c r="P202" s="13">
        <f t="shared" si="203"/>
        <v>8.3482866290946129E-13</v>
      </c>
      <c r="Q202" s="20">
        <f t="shared" si="162"/>
        <v>1.5435705246133045E-12</v>
      </c>
      <c r="R202" s="59">
        <f t="shared" si="191"/>
        <v>292.00936144525616</v>
      </c>
      <c r="S202" s="59">
        <f ca="1">AVERAGE(OFFSET($R$3,0,0,'Données projet'!$E$9+1,1))-AVERAGE(OFFSET($H$3,0,0,'Données projet'!$E$9+1,1))</f>
        <v>473.88815717313474</v>
      </c>
      <c r="T202" s="59">
        <f t="shared" si="204"/>
        <v>287.19790203552895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39.103568608667238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39.103568608667238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69.638916757796721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5.6843418860808015E-14</v>
      </c>
      <c r="AJ202" s="13">
        <f>AI202*VLOOKUP('Données projet'!$B$10,Paramètres!$A$1:$I$89,3,0)*VLOOKUP('Données projet'!$B$10,Paramètres!$A$1:$I$89,5,0)</f>
        <v>4.7884896048344674E-14</v>
      </c>
      <c r="AK202" s="13">
        <f t="shared" si="164"/>
        <v>7.8374629847779921E-13</v>
      </c>
      <c r="AL202" s="20">
        <f t="shared" si="165"/>
        <v>1.4484243304663672E-12</v>
      </c>
      <c r="AM202" s="59">
        <f t="shared" si="193"/>
        <v>292.00936144525605</v>
      </c>
      <c r="AN202" s="59">
        <f ca="1">AVERAGE(OFFSET($AM$3,0,0,'Données projet'!$E$10+1,1))-AVERAGE(OFFSET($H$3,0,0,'Données projet'!$E$10+1,1))</f>
        <v>445.19118535527258</v>
      </c>
      <c r="AO202" s="59">
        <f t="shared" si="205"/>
        <v>270.93483242839363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36.406770773586764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36.406770773586764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69.638916757796721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5.6843418860808015E-14</v>
      </c>
      <c r="BE202" s="13">
        <f>BD202*VLOOKUP('Données projet'!$B$11,Paramètres!$A$1:$I$89,3,0)*VLOOKUP('Données projet'!$B$11,Paramètres!$A$1:$I$89,5,0)</f>
        <v>5.7639226724859328E-14</v>
      </c>
      <c r="BF202" s="13">
        <f t="shared" si="167"/>
        <v>9.2325701996134334E-13</v>
      </c>
      <c r="BG202" s="20">
        <f t="shared" si="168"/>
        <v>1.708394296311803E-12</v>
      </c>
      <c r="BH202" s="59">
        <f t="shared" si="194"/>
        <v>292.00936144525633</v>
      </c>
      <c r="BI202" s="59">
        <f ca="1">AVERAGE(OFFSET($BH$3,0,0,'Données projet'!$E$11+1,1))-AVERAGE(OFFSET($H$3,0,0,'Données projet'!$E$11+1,1))</f>
        <v>524.01140973345832</v>
      </c>
      <c r="BJ202" s="59">
        <f t="shared" si="206"/>
        <v>315.59942237999621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43.822964820058111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43.822964820058111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69.638916757796721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-2.8421709430404007E-13</v>
      </c>
      <c r="BZ202" s="13">
        <f>BY202*VLOOKUP('Données projet'!$B$12,Paramètres!$A$1:$I$89,3,0)*VLOOKUP('Données projet'!$B$12,Paramètres!$A$1:$I$89,5,0)</f>
        <v>-1.9065282685915009E-13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358.95222991910504</v>
      </c>
      <c r="CE202" s="59">
        <f t="shared" si="207"/>
        <v>347.37506646970905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13.453206487451297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13.453206487451297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69.638916757796721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-2.8421709430404007E-13</v>
      </c>
      <c r="CU202" s="17">
        <f>CT202*VLOOKUP('Données projet'!$B$13,Paramètres!$A$1:$I$89,3,0)*VLOOKUP('Données projet'!$B$13,Paramètres!$A$1:$I$89,5,0)</f>
        <v>-1.8621904018800707E-13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351.7266381615546</v>
      </c>
      <c r="CZ202" s="59">
        <f t="shared" si="208"/>
        <v>340.52483243761799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11.375675900450574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11.375675900450574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69.638916757796721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2.2737367544323206E-13</v>
      </c>
      <c r="DP202" s="17">
        <f>DO202*VLOOKUP('Données projet'!$B$14,Paramètres!$A$1:$I$89,3,0)*VLOOKUP('Données projet'!$B$14,Paramètres!$A$1:$I$89,5,0)</f>
        <v>1.9508661353029313E-13</v>
      </c>
      <c r="DQ202" s="13">
        <f t="shared" si="176"/>
        <v>2.711421636700695E-12</v>
      </c>
      <c r="DR202" s="20">
        <f t="shared" si="177"/>
        <v>5.0621685358189711E-12</v>
      </c>
      <c r="DS202" s="59">
        <f t="shared" si="197"/>
        <v>292.00936144525969</v>
      </c>
      <c r="DT202" s="59">
        <f ca="1">AVERAGE(OFFSET($DS$3,0,0,'Données projet'!$E$14+1,1))-AVERAGE(OFFSET($H$3,0,0,'Données projet'!$E$14+1,1))</f>
        <v>569.21675741362196</v>
      </c>
      <c r="DU202" s="59">
        <f t="shared" si="209"/>
        <v>321.12410801891679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56.121629175714546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56.121629175714546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69.638916757796721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-2.8421709430404007E-13</v>
      </c>
      <c r="EK202" s="17">
        <f>EJ202*VLOOKUP('Données projet'!$B$15,Paramètres!$A$1:$I$89,3,0)*VLOOKUP('Données projet'!$B$15,Paramètres!$A$1:$I$89,5,0)</f>
        <v>-2.2612312022829427E-13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416.63597645452791</v>
      </c>
      <c r="EP202" s="59">
        <f t="shared" si="210"/>
        <v>402.05920382353497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17.025720907484985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17.025720907484985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69.638916757796721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>
        <f>FE202*VLOOKUP('Données projet'!$B$16,Paramètres!$A$1:$I$89,3,0)*VLOOKUP('Données projet'!$B$16,Paramètres!$A$1:$I$89,5,0)</f>
        <v>0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395.57130469647603</v>
      </c>
      <c r="FK202" s="59">
        <f t="shared" si="211"/>
        <v>383.97542781562674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16.150635106130395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16.150635106130395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69.638916757796721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>
        <f>FZ202*VLOOKUP('Données projet'!$B$17,Paramètres!$A$1:$I$89,3,0)*VLOOKUP('Données projet'!$B$17,Paramètres!$A$1:$I$89,5,0)</f>
        <v>0</v>
      </c>
      <c r="GB202" s="13" t="e">
        <f t="shared" si="185"/>
        <v>#NUM!</v>
      </c>
      <c r="GC202" s="20" t="e">
        <f t="shared" si="186"/>
        <v>#NUM!</v>
      </c>
      <c r="GD202" s="59" t="e">
        <f t="shared" si="200"/>
        <v>#NUM!</v>
      </c>
      <c r="GE202" s="59">
        <f ca="1">AVERAGE(OFFSET($GD$3,0,0,'Données projet'!$E$17+1,1))-AVERAGE(OFFSET($H$3,0,0,'Données projet'!$E$17+1,1))</f>
        <v>301.74744407733351</v>
      </c>
      <c r="GF202" s="59">
        <f t="shared" si="212"/>
        <v>292.46787700966991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8.3886413403059095</v>
      </c>
      <c r="GM202" s="21">
        <f>EXP(-LN(2)/25)*GM201+(1-EXP(-LN(2)/25))/(LN(2)/25)*Calculateur!GH202*Calculateur!GJ202*VLOOKUP('Données projet'!$B$17,Paramètres!$A$1:$I$89,3,0)*0.475*44/12</f>
        <v>0</v>
      </c>
      <c r="GN202" s="21">
        <f>EXP(-LN(2)/2)*GN201+(1-EXP(-LN(2)/2))/(LN(2)/2)*GH202*GK202*VLOOKUP('Données projet'!$B$17,Paramètres!$A$1:$I$89,3,0)*0.475*44/12</f>
        <v>0</v>
      </c>
      <c r="GO202" s="21">
        <f t="shared" si="187"/>
        <v>8.3886413403059095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69.638916757796721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-2.8421709430404007E-13</v>
      </c>
      <c r="GV202" s="17">
        <f>GU202*VLOOKUP('Données projet'!$B$18,Paramètres!$A$1:$I$89,3,0)*VLOOKUP('Données projet'!$B$18,Paramètres!$A$1:$I$89,5,0)</f>
        <v>-1.6848389350343495E-13</v>
      </c>
      <c r="GW202" s="13" t="e">
        <f t="shared" si="188"/>
        <v>#NUM!</v>
      </c>
      <c r="GX202" s="20" t="e">
        <f t="shared" si="189"/>
        <v>#NUM!</v>
      </c>
      <c r="GY202" s="59" t="e">
        <f t="shared" si="201"/>
        <v>#NUM!</v>
      </c>
      <c r="GZ202" s="59">
        <f ca="1">AVERAGE(OFFSET($GY$3,0,0,'Données projet'!$E$18+1,1))-AVERAGE(OFFSET($H$3,0,0,'Données projet'!$E$18+1,1))</f>
        <v>322.78672881269978</v>
      </c>
      <c r="HA202" s="59">
        <f t="shared" si="213"/>
        <v>313.08736327626434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13.4591096056994</v>
      </c>
      <c r="HH202" s="21">
        <f>EXP(-LN(2)/25)*HH201+(1-EXP(-LN(2)/25))/(LN(2)/25)*Calculateur!HC202*Calculateur!HE202*VLOOKUP('Données projet'!$B$18,Paramètres!$A$1:$I$89,3,0)*0.475*44/12</f>
        <v>0</v>
      </c>
      <c r="HI202" s="21">
        <f>EXP(-LN(2)/2)*HI201+(1-EXP(-LN(2)/2))/(LN(2)/2)*HC202*HF202*VLOOKUP('Données projet'!$B$18,Paramètres!$A$1:$I$89,3,0)*0.475*44/12</f>
        <v>0</v>
      </c>
      <c r="HJ202" s="22">
        <f t="shared" si="190"/>
        <v>13.4591096056994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2.3499999999999996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58.25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8.6166666666666654</v>
      </c>
      <c r="H203" s="67">
        <f t="shared" si="192"/>
        <v>222.20000000000002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69.645180744787751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5.6843418860808015E-14</v>
      </c>
      <c r="O203" s="13">
        <f>N203*VLOOKUP('Données projet'!$B$9,Paramètres!$A$1:$I$89,3,0)*VLOOKUP('Données projet'!$B$9,Paramètres!$A$1:$I$89,5,0)</f>
        <v>5.1431925385259088E-14</v>
      </c>
      <c r="P203" s="13">
        <f t="shared" si="203"/>
        <v>8.3482866290946129E-13</v>
      </c>
      <c r="Q203" s="20">
        <f t="shared" si="162"/>
        <v>1.5435705246133045E-12</v>
      </c>
      <c r="R203" s="59">
        <f t="shared" si="191"/>
        <v>292.03232939755662</v>
      </c>
      <c r="S203" s="59">
        <f ca="1">AVERAGE(OFFSET($R$3,0,0,'Données projet'!$E$9+1,1))-AVERAGE(OFFSET($H$3,0,0,'Données projet'!$E$9+1,1))</f>
        <v>473.88815717313474</v>
      </c>
      <c r="T203" s="59">
        <f t="shared" si="204"/>
        <v>287.19790203552895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38.33677147907305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38.33677147907305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69.645180744787751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5.6843418860808015E-14</v>
      </c>
      <c r="AJ203" s="13">
        <f>AI203*VLOOKUP('Données projet'!$B$10,Paramètres!$A$1:$I$89,3,0)*VLOOKUP('Données projet'!$B$10,Paramètres!$A$1:$I$89,5,0)</f>
        <v>4.7884896048344674E-14</v>
      </c>
      <c r="AK203" s="13">
        <f t="shared" si="164"/>
        <v>7.8374629847779921E-13</v>
      </c>
      <c r="AL203" s="20">
        <f t="shared" si="165"/>
        <v>1.4484243304663672E-12</v>
      </c>
      <c r="AM203" s="59">
        <f t="shared" si="193"/>
        <v>292.03232939755651</v>
      </c>
      <c r="AN203" s="59">
        <f ca="1">AVERAGE(OFFSET($AM$3,0,0,'Données projet'!$E$10+1,1))-AVERAGE(OFFSET($H$3,0,0,'Données projet'!$E$10+1,1))</f>
        <v>445.19118535527258</v>
      </c>
      <c r="AO203" s="59">
        <f t="shared" si="205"/>
        <v>270.93483242839363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35.692856204654248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35.692856204654248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69.645180744787751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5.6843418860808015E-14</v>
      </c>
      <c r="BE203" s="13">
        <f>BD203*VLOOKUP('Données projet'!$B$11,Paramètres!$A$1:$I$89,3,0)*VLOOKUP('Données projet'!$B$11,Paramètres!$A$1:$I$89,5,0)</f>
        <v>5.7639226724859328E-14</v>
      </c>
      <c r="BF203" s="13">
        <f t="shared" si="167"/>
        <v>9.2325701996134334E-13</v>
      </c>
      <c r="BG203" s="20">
        <f t="shared" si="168"/>
        <v>1.708394296311803E-12</v>
      </c>
      <c r="BH203" s="59">
        <f t="shared" si="194"/>
        <v>292.03232939755679</v>
      </c>
      <c r="BI203" s="59">
        <f ca="1">AVERAGE(OFFSET($BH$3,0,0,'Données projet'!$E$11+1,1))-AVERAGE(OFFSET($H$3,0,0,'Données projet'!$E$11+1,1))</f>
        <v>524.01140973345832</v>
      </c>
      <c r="BJ203" s="59">
        <f t="shared" si="206"/>
        <v>315.59942237999621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42.963623209306007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42.963623209306007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69.645180744787751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-2.8421709430404007E-13</v>
      </c>
      <c r="BZ203" s="13">
        <f>BY203*VLOOKUP('Données projet'!$B$12,Paramètres!$A$1:$I$89,3,0)*VLOOKUP('Données projet'!$B$12,Paramètres!$A$1:$I$89,5,0)</f>
        <v>-1.9065282685915009E-13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358.95222991910504</v>
      </c>
      <c r="CE203" s="59">
        <f t="shared" si="207"/>
        <v>347.37506646970905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13.189397313878095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13.189397313878095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69.645180744787751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-2.8421709430404007E-13</v>
      </c>
      <c r="CU203" s="17">
        <f>CT203*VLOOKUP('Données projet'!$B$13,Paramètres!$A$1:$I$89,3,0)*VLOOKUP('Données projet'!$B$13,Paramètres!$A$1:$I$89,5,0)</f>
        <v>-1.8621904018800707E-13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351.7266381615546</v>
      </c>
      <c r="CZ203" s="59">
        <f t="shared" si="208"/>
        <v>340.52483243761799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11.152605834519919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11.152605834519919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69.645180744787751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2.2737367544323206E-13</v>
      </c>
      <c r="DP203" s="17">
        <f>DO203*VLOOKUP('Données projet'!$B$14,Paramètres!$A$1:$I$89,3,0)*VLOOKUP('Données projet'!$B$14,Paramètres!$A$1:$I$89,5,0)</f>
        <v>1.9508661353029313E-13</v>
      </c>
      <c r="DQ203" s="13">
        <f t="shared" si="176"/>
        <v>2.711421636700695E-12</v>
      </c>
      <c r="DR203" s="20">
        <f t="shared" si="177"/>
        <v>5.0621685358189711E-12</v>
      </c>
      <c r="DS203" s="59">
        <f t="shared" si="197"/>
        <v>292.03232939756015</v>
      </c>
      <c r="DT203" s="59">
        <f ca="1">AVERAGE(OFFSET($DS$3,0,0,'Données projet'!$E$14+1,1))-AVERAGE(OFFSET($H$3,0,0,'Données projet'!$E$14+1,1))</f>
        <v>569.21675741362196</v>
      </c>
      <c r="DU203" s="59">
        <f t="shared" si="209"/>
        <v>321.12410801891679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55.021118258392569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55.021118258392569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69.645180744787751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-2.8421709430404007E-13</v>
      </c>
      <c r="EK203" s="17">
        <f>EJ203*VLOOKUP('Données projet'!$B$15,Paramètres!$A$1:$I$89,3,0)*VLOOKUP('Données projet'!$B$15,Paramètres!$A$1:$I$89,5,0)</f>
        <v>-2.2612312022829427E-13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416.63597645452791</v>
      </c>
      <c r="EP203" s="59">
        <f t="shared" si="210"/>
        <v>402.05920382353497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16.691856905153557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16.691856905153557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69.645180744787751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>
        <f>FE203*VLOOKUP('Données projet'!$B$16,Paramètres!$A$1:$I$89,3,0)*VLOOKUP('Données projet'!$B$16,Paramètres!$A$1:$I$89,5,0)</f>
        <v>0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395.57130469647603</v>
      </c>
      <c r="FK203" s="59">
        <f t="shared" si="211"/>
        <v>383.97542781562674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15.833931002613895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15.833931002613895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69.645180744787751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>
        <f>FZ203*VLOOKUP('Données projet'!$B$17,Paramètres!$A$1:$I$89,3,0)*VLOOKUP('Données projet'!$B$17,Paramètres!$A$1:$I$89,5,0)</f>
        <v>0</v>
      </c>
      <c r="GB203" s="13" t="e">
        <f t="shared" si="185"/>
        <v>#NUM!</v>
      </c>
      <c r="GC203" s="20" t="e">
        <f t="shared" si="186"/>
        <v>#NUM!</v>
      </c>
      <c r="GD203" s="59" t="e">
        <f t="shared" si="200"/>
        <v>#NUM!</v>
      </c>
      <c r="GE203" s="59">
        <f ca="1">AVERAGE(OFFSET($GD$3,0,0,'Données projet'!$E$17+1,1))-AVERAGE(OFFSET($H$3,0,0,'Données projet'!$E$17+1,1))</f>
        <v>301.74744407733351</v>
      </c>
      <c r="GF203" s="59">
        <f t="shared" si="212"/>
        <v>292.46787700966991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8.2241452001885094</v>
      </c>
      <c r="GM203" s="21">
        <f>EXP(-LN(2)/25)*GM202+(1-EXP(-LN(2)/25))/(LN(2)/25)*Calculateur!GH203*Calculateur!GJ203*VLOOKUP('Données projet'!$B$17,Paramètres!$A$1:$I$89,3,0)*0.475*44/12</f>
        <v>0</v>
      </c>
      <c r="GN203" s="21">
        <f>EXP(-LN(2)/2)*GN202+(1-EXP(-LN(2)/2))/(LN(2)/2)*GH203*GK203*VLOOKUP('Données projet'!$B$17,Paramètres!$A$1:$I$89,3,0)*0.475*44/12</f>
        <v>0</v>
      </c>
      <c r="GO203" s="21">
        <f t="shared" si="187"/>
        <v>8.2241452001885094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69.645180744787751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-2.8421709430404007E-13</v>
      </c>
      <c r="GV203" s="17">
        <f>GU203*VLOOKUP('Données projet'!$B$18,Paramètres!$A$1:$I$89,3,0)*VLOOKUP('Données projet'!$B$18,Paramètres!$A$1:$I$89,5,0)</f>
        <v>-1.6848389350343495E-13</v>
      </c>
      <c r="GW203" s="13" t="e">
        <f t="shared" si="188"/>
        <v>#NUM!</v>
      </c>
      <c r="GX203" s="20" t="e">
        <f t="shared" si="189"/>
        <v>#NUM!</v>
      </c>
      <c r="GY203" s="59" t="e">
        <f t="shared" si="201"/>
        <v>#NUM!</v>
      </c>
      <c r="GZ203" s="59">
        <f ca="1">AVERAGE(OFFSET($GY$3,0,0,'Données projet'!$E$18+1,1))-AVERAGE(OFFSET($H$3,0,0,'Données projet'!$E$18+1,1))</f>
        <v>322.78672881269978</v>
      </c>
      <c r="HA203" s="59">
        <f t="shared" si="213"/>
        <v>313.08736327626434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13.195184675577899</v>
      </c>
      <c r="HH203" s="21">
        <f>EXP(-LN(2)/25)*HH202+(1-EXP(-LN(2)/25))/(LN(2)/25)*Calculateur!HC203*Calculateur!HE203*VLOOKUP('Données projet'!$B$18,Paramètres!$A$1:$I$89,3,0)*0.475*44/12</f>
        <v>0</v>
      </c>
      <c r="HI203" s="21">
        <f>EXP(-LN(2)/2)*HI202+(1-EXP(-LN(2)/2))/(LN(2)/2)*HC203*HF203*VLOOKUP('Données projet'!$B$18,Paramètres!$A$1:$I$89,3,0)*0.475*44/12</f>
        <v>0</v>
      </c>
      <c r="HJ203" s="22">
        <f t="shared" si="190"/>
        <v>13.195184675577899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1.2392705892426346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1.2392705892426346</v>
      </c>
      <c r="BA205" s="82">
        <f>EXP(LN('Données projet'!B88)/'Données projet'!A88)</f>
        <v>1.2392705892426346</v>
      </c>
      <c r="BV205" s="82">
        <f>EXP(LN('Données projet'!B114)/'Données projet'!A114)</f>
        <v>1.3423796509621049</v>
      </c>
      <c r="CQ205" s="82">
        <f>EXP(LN('Données projet'!B140)/'Données projet'!A140)</f>
        <v>1.3423796509621049</v>
      </c>
      <c r="DL205" s="82">
        <f>EXP(LN('Données projet'!B166)/'Données projet'!A166)</f>
        <v>1.2229519710813024</v>
      </c>
      <c r="EG205" s="82">
        <f>EXP(LN('Données projet'!B192)/'Données projet'!A192)</f>
        <v>1.3423796509621049</v>
      </c>
      <c r="FB205" s="82">
        <f>EXP(LN('Données projet'!B218)/'Données projet'!A218)</f>
        <v>1.2709816152101407</v>
      </c>
      <c r="FW205" s="82">
        <f>EXP(LN('Données projet'!B244)/'Données projet'!A244)</f>
        <v>1.2788040393997409</v>
      </c>
      <c r="GR205" s="82">
        <f>EXP(LN('Données projet'!B270)/'Données projet'!A270)</f>
        <v>1.3423796509621049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L16" sqref="L16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Chêne sessile</v>
      </c>
      <c r="B6" s="146">
        <f>'Données projet'!D9</f>
        <v>3.5534011489999999</v>
      </c>
      <c r="C6" s="147">
        <f ca="1">IF(OR('Données projet'!B9="",'Données projet'!C9="",'Données projet'!C9=0%),0,Calculateur!S3)</f>
        <v>473.88815717313474</v>
      </c>
      <c r="D6" s="147">
        <f>IF(OR('Données projet'!B9="",'Données projet'!C9="",'Données projet'!C9=0%),0,Calculateur!T3)</f>
        <v>287.19790203552895</v>
      </c>
      <c r="E6" s="147">
        <f ca="1">MIN(C6,D6)</f>
        <v>287.19790203552895</v>
      </c>
      <c r="F6" s="147">
        <f ca="1">E6*B6</f>
        <v>1020.529355083438</v>
      </c>
      <c r="G6" s="147">
        <f ca="1">F6*(100%-'Données projet'!$C$24)*(100%-'Données projet'!$C$25)*(100%-'Données projet'!$C$26)*(100%-'Données projet'!$C$27)</f>
        <v>918.47641957509416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24.873808043</v>
      </c>
      <c r="K6" s="151">
        <f>J6*(100%-'Données projet'!$C$24)*(100%-'Données projet'!$C$25)*(100%-'Données projet'!$C$26)*(100%-'Données projet'!$C$27)</f>
        <v>22.386427238700001</v>
      </c>
      <c r="L6" s="152">
        <f ca="1">G6+I6+K6</f>
        <v>940.86284681379414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>Chêne pédonculé</v>
      </c>
      <c r="B7" s="154">
        <f>'Données projet'!D10</f>
        <v>1.6071711769999999</v>
      </c>
      <c r="C7" s="147">
        <f ca="1">IF(OR('Données projet'!B10="",'Données projet'!C10="",'Données projet'!C10=0%),0,Calculateur!AN3)</f>
        <v>445.19118535527258</v>
      </c>
      <c r="D7" s="147">
        <f>IF(OR('Données projet'!B10="",'Données projet'!C10="",'Données projet'!C10=0%),0,Calculateur!AO3)</f>
        <v>270.93483242839363</v>
      </c>
      <c r="E7" s="147">
        <f t="shared" ref="E7:E15" ca="1" si="0">MIN(C7,D7)</f>
        <v>270.93483242839363</v>
      </c>
      <c r="F7" s="147">
        <f t="shared" ref="F7:F15" ca="1" si="1">E7*B7</f>
        <v>435.43865352423916</v>
      </c>
      <c r="G7" s="147">
        <f ca="1">F7*(100%-'Données projet'!$C$24)*(100%-'Données projet'!$C$25)*(100%-'Données projet'!$C$26)*(100%-'Données projet'!$C$27)</f>
        <v>391.89478817181526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11.250198238999999</v>
      </c>
      <c r="K7" s="151">
        <f>J7*(100%-'Données projet'!$C$24)*(100%-'Données projet'!$C$25)*(100%-'Données projet'!$C$26)*(100%-'Données projet'!$C$27)</f>
        <v>10.125178415100001</v>
      </c>
      <c r="L7" s="152">
        <f t="shared" ref="L7:L15" ca="1" si="2">G7+I7+K7</f>
        <v>402.01996658691525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>Chêne pubescent</v>
      </c>
      <c r="B8" s="154">
        <f>'Données projet'!D11</f>
        <v>2.0152852639999996</v>
      </c>
      <c r="C8" s="147">
        <f ca="1">IF(OR('Données projet'!B11="",'Données projet'!C11="",'Données projet'!C11=0%),0,Calculateur!BI3)</f>
        <v>524.01140973345832</v>
      </c>
      <c r="D8" s="147">
        <f>IF(OR('Données projet'!B11="",'Données projet'!C11="",'Données projet'!C11=0%),0,Calculateur!BJ3)</f>
        <v>315.59942237999621</v>
      </c>
      <c r="E8" s="147">
        <f t="shared" ca="1" si="0"/>
        <v>315.59942237999621</v>
      </c>
      <c r="F8" s="147">
        <f t="shared" ca="1" si="1"/>
        <v>636.0228652493181</v>
      </c>
      <c r="G8" s="147">
        <f ca="1">F8*(100%-'Données projet'!$C$24)*(100%-'Données projet'!$C$25)*(100%-'Données projet'!$C$26)*(100%-'Données projet'!$C$27)</f>
        <v>572.42057872438636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14.106996847999998</v>
      </c>
      <c r="K8" s="151">
        <f>J8*(100%-'Données projet'!$C$24)*(100%-'Données projet'!$C$25)*(100%-'Données projet'!$C$26)*(100%-'Données projet'!$C$27)</f>
        <v>12.696297163199999</v>
      </c>
      <c r="L8" s="152">
        <f t="shared" ca="1" si="2"/>
        <v>585.11687588758639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>Tilleul</v>
      </c>
      <c r="B9" s="154">
        <f>'Données projet'!D12</f>
        <v>0.68975750699999994</v>
      </c>
      <c r="C9" s="147">
        <f ca="1">IF(OR('Données projet'!B12="",'Données projet'!C12="",'Données projet'!C12=0%),0,Calculateur!CD3)</f>
        <v>358.95222991910504</v>
      </c>
      <c r="D9" s="147">
        <f>IF(OR('Données projet'!B12="",'Données projet'!C12="",'Données projet'!C12=0%),0,Calculateur!CE3)</f>
        <v>347.37506646970905</v>
      </c>
      <c r="E9" s="147">
        <f t="shared" ca="1" si="0"/>
        <v>347.37506646970905</v>
      </c>
      <c r="F9" s="147">
        <f t="shared" ca="1" si="1"/>
        <v>239.6045598421058</v>
      </c>
      <c r="G9" s="147">
        <f ca="1">F9*(100%-'Données projet'!$C$24)*(100%-'Données projet'!$C$25)*(100%-'Données projet'!$C$26)*(100%-'Données projet'!$C$27)</f>
        <v>215.64410385789523</v>
      </c>
      <c r="H9" s="155">
        <f>IF(OR('Données projet'!B12="",'Données projet'!C12="",'Données projet'!C12=0%),0,AVERAGE(Calculateur!$CN$3:$CN$33)*B9)</f>
        <v>7.345647131780314E-2</v>
      </c>
      <c r="I9" s="149">
        <f>H9*(100%-'Données projet'!$C$24)*(100%-'Données projet'!$C$25)*(100%-'Données projet'!$C$26)*(100%-'Données projet'!$C$27)</f>
        <v>6.6110824186022835E-2</v>
      </c>
      <c r="J9" s="150">
        <f>IF(OR('Données projet'!B12="",'Données projet'!C12="",'Données projet'!C12=0%),0,SUM(Calculateur!$CG$3:$CG$33)*VLOOKUP('Données projet'!$B$12,Paramètres!$A$1:$I$89,9,0)*B9)</f>
        <v>30.176890931249996</v>
      </c>
      <c r="K9" s="151">
        <f>J9*(100%-'Données projet'!$C$24)*(100%-'Données projet'!$C$25)*(100%-'Données projet'!$C$26)*(100%-'Données projet'!$C$27)</f>
        <v>27.159201838124996</v>
      </c>
      <c r="L9" s="152">
        <f t="shared" ca="1" si="2"/>
        <v>242.86941652020624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>Aulne glutineux</v>
      </c>
      <c r="B10" s="154">
        <f>'Données projet'!D13</f>
        <v>0.27959327099999998</v>
      </c>
      <c r="C10" s="147">
        <f ca="1">IF(OR('Données projet'!B13="",'Données projet'!C13="",'Données projet'!C13=0%),0,Calculateur!CY3)</f>
        <v>351.7266381615546</v>
      </c>
      <c r="D10" s="147">
        <f>IF(OR('Données projet'!B13="",'Données projet'!C13="",'Données projet'!C13=0%),0,Calculateur!CZ3)</f>
        <v>340.52483243761799</v>
      </c>
      <c r="E10" s="147">
        <f t="shared" ca="1" si="0"/>
        <v>340.52483243761799</v>
      </c>
      <c r="F10" s="147">
        <f t="shared" ca="1" si="1"/>
        <v>95.208451757960503</v>
      </c>
      <c r="G10" s="147">
        <f ca="1">F10*(100%-'Données projet'!$C$24)*(100%-'Données projet'!$C$25)*(100%-'Données projet'!$C$26)*(100%-'Données projet'!$C$27)</f>
        <v>85.687606582164449</v>
      </c>
      <c r="H10" s="155">
        <f>IF(OR('Données projet'!B13="",'Données projet'!C13="",'Données projet'!C13=0%),0,AVERAGE(Calculateur!$DI$3:$DI$33)*B10)</f>
        <v>0.7999377486493594</v>
      </c>
      <c r="I10" s="149">
        <f>H10*(100%-'Données projet'!$C$24)*(100%-'Données projet'!$C$25)*(100%-'Données projet'!$C$26)*(100%-'Données projet'!$C$27)</f>
        <v>0.71994397378442343</v>
      </c>
      <c r="J10" s="150">
        <f>IF(OR('Données projet'!B13="",'Données projet'!C13="",'Données projet'!C13=0%),0,SUM(Calculateur!$DB$3:$DB$33)*VLOOKUP('Données projet'!$B$13,Paramètres!$A$1:$I$89,9,0)*B10)</f>
        <v>12.232205606249998</v>
      </c>
      <c r="K10" s="151">
        <f>J10*(100%-'Données projet'!$C$24)*(100%-'Données projet'!$C$25)*(100%-'Données projet'!$C$26)*(100%-'Données projet'!$C$27)</f>
        <v>11.008985045624998</v>
      </c>
      <c r="L10" s="152">
        <f t="shared" ca="1" si="2"/>
        <v>97.416535601573869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>Hêtre</v>
      </c>
      <c r="B11" s="154">
        <f>'Données projet'!D14</f>
        <v>0.25704163199999996</v>
      </c>
      <c r="C11" s="147">
        <f ca="1">IF(OR('Données projet'!B14="",'Données projet'!C14="",'Données projet'!C14=0%),0,Calculateur!DT3)</f>
        <v>569.21675741362196</v>
      </c>
      <c r="D11" s="147">
        <f>IF(OR('Données projet'!B14="",'Données projet'!C14="",'Données projet'!C14=0%),0,Calculateur!DU3)</f>
        <v>321.12410801891679</v>
      </c>
      <c r="E11" s="147">
        <f t="shared" ca="1" si="0"/>
        <v>321.12410801891679</v>
      </c>
      <c r="F11" s="147">
        <f t="shared" ca="1" si="1"/>
        <v>82.542264799726652</v>
      </c>
      <c r="G11" s="147">
        <f ca="1">F11*(100%-'Données projet'!$C$24)*(100%-'Données projet'!$C$25)*(100%-'Données projet'!$C$26)*(100%-'Données projet'!$C$27)</f>
        <v>74.288038319753994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3.9198848879999995</v>
      </c>
      <c r="K11" s="151">
        <f>J11*(100%-'Données projet'!$C$24)*(100%-'Données projet'!$C$25)*(100%-'Données projet'!$C$26)*(100%-'Données projet'!$C$27)</f>
        <v>3.5278963991999994</v>
      </c>
      <c r="L11" s="152">
        <f t="shared" ca="1" si="2"/>
        <v>77.815934718953997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>Erable plane</v>
      </c>
      <c r="B12" s="154">
        <f>'Données projet'!D15</f>
        <v>1.5189811610000001</v>
      </c>
      <c r="C12" s="147">
        <f ca="1">IF(OR('Données projet'!B15="",'Données projet'!C15="",'Données projet'!C15=0%),0,Calculateur!EO3)</f>
        <v>416.63597645452791</v>
      </c>
      <c r="D12" s="147">
        <f>IF(OR('Données projet'!B15="",'Données projet'!C15="",'Données projet'!C15=0%),0,Calculateur!EP3)</f>
        <v>402.05920382353497</v>
      </c>
      <c r="E12" s="147">
        <f t="shared" ca="1" si="0"/>
        <v>402.05920382353497</v>
      </c>
      <c r="F12" s="147">
        <f t="shared" ca="1" si="1"/>
        <v>610.72035621460884</v>
      </c>
      <c r="G12" s="147">
        <f ca="1">F12*(100%-'Données projet'!$C$24)*(100%-'Données projet'!$C$25)*(100%-'Données projet'!$C$26)*(100%-'Données projet'!$C$27)</f>
        <v>549.64832059314801</v>
      </c>
      <c r="H12" s="155">
        <f>IF(OR('Données projet'!B15="",'Données projet'!C15="",'Données projet'!C15=0%),0,AVERAGE(Calculateur!$EY$3:$EY$33)*B12)</f>
        <v>6.504443771728222</v>
      </c>
      <c r="I12" s="149">
        <f>H12*(100%-'Données projet'!$C$24)*(100%-'Données projet'!$C$25)*(100%-'Données projet'!$C$26)*(100%-'Données projet'!$C$27)</f>
        <v>5.8539993945553999</v>
      </c>
      <c r="J12" s="150">
        <f>IF(OR('Données projet'!B15="",'Données projet'!C15="",'Données projet'!C15=0%),0,SUM(Calculateur!$ER$3:$ER$33)*VLOOKUP('Données projet'!$B$15,Paramètres!$A$1:$I$89,9,0)*B12)</f>
        <v>66.45542579375001</v>
      </c>
      <c r="K12" s="151">
        <f>J12*(100%-'Données projet'!$C$24)*(100%-'Données projet'!$C$25)*(100%-'Données projet'!$C$26)*(100%-'Données projet'!$C$27)</f>
        <v>59.809883214375013</v>
      </c>
      <c r="L12" s="152">
        <f t="shared" ca="1" si="2"/>
        <v>615.31220320207842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>Erable champêtre</v>
      </c>
      <c r="B13" s="154">
        <f>'Données projet'!D16</f>
        <v>0.46485728199999998</v>
      </c>
      <c r="C13" s="147">
        <f ca="1">IF(OR('Données projet'!B16="",'Données projet'!C16="",'Données projet'!C16=0%),0,Calculateur!FJ3)</f>
        <v>395.57130469647603</v>
      </c>
      <c r="D13" s="147">
        <f>IF(OR('Données projet'!B16="",'Données projet'!C16="",'Données projet'!C16=0%),0,Calculateur!FK3)</f>
        <v>383.97542781562674</v>
      </c>
      <c r="E13" s="147">
        <f t="shared" ca="1" si="0"/>
        <v>383.97542781562674</v>
      </c>
      <c r="F13" s="147">
        <f t="shared" ca="1" si="1"/>
        <v>178.49377372915944</v>
      </c>
      <c r="G13" s="147">
        <f ca="1">F13*(100%-'Données projet'!$C$24)*(100%-'Données projet'!$C$25)*(100%-'Données projet'!$C$26)*(100%-'Données projet'!$C$27)</f>
        <v>160.6443963562435</v>
      </c>
      <c r="H13" s="155">
        <f>IF(OR('Données projet'!B16="",'Données projet'!C16="",'Données projet'!C16=0%),0,AVERAGE(Calculateur!$FT$3:$FT$33)*B13)</f>
        <v>1.7576590613375997</v>
      </c>
      <c r="I13" s="149">
        <f>H13*(100%-'Données projet'!$C$24)*(100%-'Données projet'!$C$25)*(100%-'Données projet'!$C$26)*(100%-'Données projet'!$C$27)</f>
        <v>1.5818931552038398</v>
      </c>
      <c r="J13" s="150">
        <f>IF(OR('Données projet'!C16="",'Données projet'!C16=0%),0,SUM(Calculateur!$FM$3:$FM$33)*VLOOKUP('Données projet'!$B$16,Paramètres!$A$1:$I$89,9,0)*B13)</f>
        <v>15.9213619085</v>
      </c>
      <c r="K13" s="151">
        <f>J13*(100%-'Données projet'!$C$24)*(100%-'Données projet'!$C$25)*(100%-'Données projet'!$C$26)*(100%-'Données projet'!$C$27)</f>
        <v>14.329225717650001</v>
      </c>
      <c r="L13" s="152">
        <f t="shared" ca="1" si="2"/>
        <v>176.55551522909732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>Merisier</v>
      </c>
      <c r="B14" s="154">
        <f>'Données projet'!D17</f>
        <v>0.706853285</v>
      </c>
      <c r="C14" s="147">
        <f ca="1">IF(OR('Données projet'!B17="",'Données projet'!C17="",'Données projet'!C17=0%),0,Calculateur!GE3)</f>
        <v>301.74744407733351</v>
      </c>
      <c r="D14" s="147">
        <f>IF(OR('Données projet'!B17="",'Données projet'!C17="",'Données projet'!C17=0%),0,Calculateur!GF3)</f>
        <v>292.46787700966991</v>
      </c>
      <c r="E14" s="147">
        <f t="shared" ca="1" si="0"/>
        <v>292.46787700966991</v>
      </c>
      <c r="F14" s="147">
        <f t="shared" ca="1" si="1"/>
        <v>206.73187962126116</v>
      </c>
      <c r="G14" s="147">
        <f ca="1">F14*(100%-'Données projet'!$C$24)*(100%-'Données projet'!$C$25)*(100%-'Données projet'!$C$26)*(100%-'Données projet'!$C$27)</f>
        <v>186.05869165913504</v>
      </c>
      <c r="H14" s="155">
        <f>IF(OR('Données projet'!B17="",'Données projet'!C17="",'Données projet'!C17=0%),0,AVERAGE(Calculateur!$GO$3:$GO$33)*B14)</f>
        <v>0.68281262200535275</v>
      </c>
      <c r="I14" s="149">
        <f>H14*(100%-'Données projet'!$C$24)*(100%-'Données projet'!$C$25)*(100%-'Données projet'!$C$26)*(100%-'Données projet'!$C$27)</f>
        <v>0.61453135980481755</v>
      </c>
      <c r="J14" s="150">
        <f>IF(OR('Données projet'!B17="",'Données projet'!C17="",'Données projet'!C17=0%),0,SUM(Calculateur!$GH$3:$GH$33)*VLOOKUP('Données projet'!$B$17,Paramètres!$A$1:$I$89,9,0)*B14)</f>
        <v>9.7192326687499992</v>
      </c>
      <c r="K14" s="151">
        <f>J14*(100%-'Données projet'!$C$24)*(100%-'Données projet'!$C$25)*(100%-'Données projet'!$C$26)*(100%-'Données projet'!$C$27)</f>
        <v>8.7473094018750004</v>
      </c>
      <c r="L14" s="152">
        <f t="shared" ca="1" si="2"/>
        <v>195.42053242081488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>Tremble</v>
      </c>
      <c r="B15" s="157">
        <f>'Données projet'!D18</f>
        <v>0.11005827199999998</v>
      </c>
      <c r="C15" s="158">
        <f ca="1">IF(OR('Données projet'!B18="",'Données projet'!C18="",'Données projet'!C18=0%),0,Calculateur!GZ3)</f>
        <v>322.78672881269978</v>
      </c>
      <c r="D15" s="158">
        <f>IF(OR('Données projet'!B18="",'Données projet'!C18="",'Données projet'!C18=0%),0,Calculateur!HA3)</f>
        <v>313.08736327626434</v>
      </c>
      <c r="E15" s="158">
        <f t="shared" ca="1" si="0"/>
        <v>313.08736327626434</v>
      </c>
      <c r="F15" s="159">
        <f t="shared" ca="1" si="1"/>
        <v>34.457854187221905</v>
      </c>
      <c r="G15" s="159">
        <f ca="1">F15*(100%-'Données projet'!$C$24)*(100%-'Données projet'!$C$25)*(100%-'Données projet'!$C$26)*(100%-'Données projet'!$C$27)</f>
        <v>31.012068768499716</v>
      </c>
      <c r="H15" s="160">
        <f>IF(OR('Données projet'!B18="",'Données projet'!C18="",'Données projet'!C18=0%),0,AVERAGE(Calculateur!$HJ$3:$HJ$33)*B15)</f>
        <v>1.1725917593068385E-2</v>
      </c>
      <c r="I15" s="161">
        <f>H15*(100%-'Données projet'!$C$24)*(100%-'Données projet'!$C$25)*(100%-'Données projet'!$C$26)*(100%-'Données projet'!$C$27)</f>
        <v>1.0553325833761546E-2</v>
      </c>
      <c r="J15" s="162">
        <f>IF(OR('Données projet'!B18="",'Données projet'!C18="",'Données projet'!C18=0%),0,SUM(Calculateur!$HC$3:$HC$33)*VLOOKUP('Données projet'!$B$18,Paramètres!$A$1:$I$89,9,0)*B15)</f>
        <v>4.8150493999999995</v>
      </c>
      <c r="K15" s="163">
        <f>J15*(100%-'Données projet'!$C$24)*(100%-'Données projet'!$C$25)*(100%-'Données projet'!$C$26)*(100%-'Données projet'!$C$27)</f>
        <v>4.3335444599999997</v>
      </c>
      <c r="L15" s="164">
        <f t="shared" ca="1" si="2"/>
        <v>35.356166554333477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8"/>
      <c r="B16" s="212"/>
      <c r="C16" s="213"/>
      <c r="D16" s="23"/>
      <c r="E16" s="23"/>
      <c r="F16" s="165">
        <f t="shared" ref="F16:L16" ca="1" si="3">SUM(F6:F15)</f>
        <v>3539.7500140090392</v>
      </c>
      <c r="G16" s="166">
        <f t="shared" ca="1" si="3"/>
        <v>3185.7750126081355</v>
      </c>
      <c r="H16" s="167">
        <f t="shared" si="3"/>
        <v>9.8300355926314058</v>
      </c>
      <c r="I16" s="167">
        <f t="shared" si="3"/>
        <v>8.847032033368265</v>
      </c>
      <c r="J16" s="168">
        <f t="shared" si="3"/>
        <v>193.47105432649997</v>
      </c>
      <c r="K16" s="168">
        <f t="shared" si="3"/>
        <v>174.12394889385004</v>
      </c>
      <c r="L16" s="169">
        <f t="shared" ca="1" si="3"/>
        <v>3368.745993535354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>Chêne pédonculé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>Chêne pubescent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>Tilleul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>Aulne glutineux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>Hêtre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>Erable plane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>Erable champêtre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>Merisier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>Tremble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B3" zoomScale="90" zoomScaleNormal="80" workbookViewId="0">
      <selection activeCell="G15" sqref="G15:G20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57" t="s">
        <v>315</v>
      </c>
      <c r="I4" s="257"/>
      <c r="K4" s="299" t="s">
        <v>253</v>
      </c>
      <c r="L4" s="300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1" t="s">
        <v>310</v>
      </c>
      <c r="S7" s="292"/>
      <c r="T7" s="292"/>
      <c r="U7" s="292"/>
      <c r="V7" s="29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-808.76606296893044</v>
      </c>
      <c r="U10" s="178">
        <f>'Données projet'!D9</f>
        <v>3.5534011489999999</v>
      </c>
      <c r="V10" s="177">
        <f>U10*T10</f>
        <v>-2873.8702574260037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>Chêne pédonculé</v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-419.54118939265197</v>
      </c>
      <c r="U11" s="178">
        <f>'Données projet'!D10</f>
        <v>1.6071711769999999</v>
      </c>
      <c r="V11" s="177">
        <f t="shared" ref="V11" si="0">U11*T11</f>
        <v>-674.2745071561684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>Chêne pubescent</v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-419.54118939265197</v>
      </c>
      <c r="U12" s="178">
        <f>'Données projet'!D11</f>
        <v>2.0152852639999996</v>
      </c>
      <c r="V12" s="177">
        <f t="shared" ref="V12:V19" si="1">U12*T12</f>
        <v>-845.49517662404446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>Tilleul</v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-974.46634323911121</v>
      </c>
      <c r="U13" s="178">
        <f>'Données projet'!D12</f>
        <v>0.68975750699999994</v>
      </c>
      <c r="V13" s="177">
        <f t="shared" si="1"/>
        <v>-672.14547556801563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>Aulne glutineux</v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83.639936725498956</v>
      </c>
      <c r="U14" s="178">
        <f>'Données projet'!D13</f>
        <v>0.27959327099999998</v>
      </c>
      <c r="V14" s="177">
        <f t="shared" si="1"/>
        <v>23.385163495315279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29"/>
      <c r="G15" s="302" t="s">
        <v>318</v>
      </c>
      <c r="H15" s="190">
        <v>1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>Hêtre</v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-1124.1405231236163</v>
      </c>
      <c r="U15" s="178">
        <f>'Données projet'!D14</f>
        <v>0.25704163199999996</v>
      </c>
      <c r="V15" s="177">
        <f t="shared" si="1"/>
        <v>-288.95091466102804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302"/>
      <c r="H16" s="190"/>
      <c r="I16" s="191"/>
      <c r="J16" s="201"/>
      <c r="K16" s="207"/>
      <c r="L16" s="299" t="s">
        <v>254</v>
      </c>
      <c r="M16" s="300"/>
      <c r="N16" s="2">
        <v>30</v>
      </c>
      <c r="O16" s="23"/>
      <c r="P16" s="23"/>
      <c r="Q16" s="233"/>
      <c r="R16" s="23"/>
      <c r="S16" s="36" t="str">
        <f>B200</f>
        <v>Erable plane</v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119.84984798064858</v>
      </c>
      <c r="U16" s="178">
        <f>'Données projet'!D15</f>
        <v>1.5189811610000001</v>
      </c>
      <c r="V16" s="177">
        <f t="shared" si="1"/>
        <v>182.04966123131911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8" t="s">
        <v>132</v>
      </c>
      <c r="C17" s="197" t="s">
        <v>132</v>
      </c>
      <c r="D17" s="196" t="s">
        <v>132</v>
      </c>
      <c r="E17" s="193">
        <v>2998.69</v>
      </c>
      <c r="F17" s="229"/>
      <c r="G17" s="302"/>
      <c r="J17" s="201"/>
      <c r="K17" s="207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>Erable champêtre</v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-20.63832882167651</v>
      </c>
      <c r="U17" s="178">
        <f>'Données projet'!D16</f>
        <v>0.46485728199999998</v>
      </c>
      <c r="V17" s="177">
        <f t="shared" si="1"/>
        <v>-9.5938774410668053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302"/>
      <c r="J18" s="201"/>
      <c r="K18" s="207"/>
      <c r="L18" s="259" t="s">
        <v>255</v>
      </c>
      <c r="M18" s="261"/>
      <c r="N18" s="192">
        <v>10</v>
      </c>
      <c r="O18" s="23"/>
      <c r="P18" s="23"/>
      <c r="Q18" s="233"/>
      <c r="R18" s="23"/>
      <c r="S18" s="36" t="str">
        <f>B262</f>
        <v>Merisier</v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-283.03533071553659</v>
      </c>
      <c r="U18" s="178">
        <f>'Données projet'!D17</f>
        <v>0.706853285</v>
      </c>
      <c r="V18" s="177">
        <f t="shared" si="1"/>
        <v>-200.06445328733844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302"/>
      <c r="H19" s="211" t="s">
        <v>178</v>
      </c>
      <c r="I19" s="211" t="s">
        <v>287</v>
      </c>
      <c r="J19" s="93"/>
      <c r="K19" s="173"/>
      <c r="L19" s="299" t="s">
        <v>288</v>
      </c>
      <c r="M19" s="300"/>
      <c r="N19" s="179">
        <f>N17*N18</f>
        <v>0</v>
      </c>
      <c r="O19" s="23"/>
      <c r="P19" s="4"/>
      <c r="Q19" s="234"/>
      <c r="R19" s="4"/>
      <c r="S19" s="36" t="str">
        <f>B293</f>
        <v>Tremble</v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-1294.8299208355547</v>
      </c>
      <c r="U19" s="178">
        <f>'Données projet'!D18</f>
        <v>0.11005827199999998</v>
      </c>
      <c r="V19" s="177">
        <f t="shared" si="1"/>
        <v>-142.50674362105792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302"/>
      <c r="H20" s="190">
        <v>0</v>
      </c>
      <c r="I20" s="191">
        <v>7667.21</v>
      </c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8" t="s">
        <v>132</v>
      </c>
      <c r="C21" s="197" t="s">
        <v>132</v>
      </c>
      <c r="D21" s="196" t="s">
        <v>132</v>
      </c>
      <c r="E21" s="193"/>
      <c r="F21" s="229"/>
      <c r="H21" s="190">
        <v>1</v>
      </c>
      <c r="I21" s="191"/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8" t="s">
        <v>132</v>
      </c>
      <c r="C22" s="197" t="s">
        <v>132</v>
      </c>
      <c r="D22" s="196" t="s">
        <v>132</v>
      </c>
      <c r="E22" s="193"/>
      <c r="F22" s="229"/>
      <c r="H22" s="190">
        <v>2</v>
      </c>
      <c r="I22" s="191"/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20</v>
      </c>
      <c r="B23" s="181">
        <f>'Données projet'!D36</f>
        <v>0</v>
      </c>
      <c r="C23" s="193">
        <f>225*'Données projet'!E36+13.8*('Données projet'!F36+'Données projet'!G36)+10*'Données projet'!G36</f>
        <v>0</v>
      </c>
      <c r="D23" s="182">
        <f>B23*C23</f>
        <v>0</v>
      </c>
      <c r="E23" s="193"/>
      <c r="F23" s="229"/>
      <c r="H23" s="190">
        <v>3</v>
      </c>
      <c r="I23" s="191"/>
      <c r="K23" s="207"/>
      <c r="L23" s="301" t="s">
        <v>260</v>
      </c>
      <c r="M23" s="301"/>
      <c r="N23" s="301"/>
      <c r="O23" s="23"/>
      <c r="P23" s="23"/>
      <c r="Q23" s="233"/>
      <c r="R23" s="23"/>
      <c r="S23" s="36" t="s">
        <v>264</v>
      </c>
      <c r="T23" s="29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-91397.220211058084</v>
      </c>
      <c r="U23" s="296"/>
      <c r="V23" s="29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25</v>
      </c>
      <c r="B24" s="181">
        <f>'Données projet'!D37</f>
        <v>0</v>
      </c>
      <c r="C24" s="193">
        <f>225*'Données projet'!E37+13.8*('Données projet'!F37+'Données projet'!G37)+10*'Données projet'!G37</f>
        <v>0</v>
      </c>
      <c r="D24" s="182">
        <f t="shared" ref="D24:D42" si="2">B24*C24</f>
        <v>0</v>
      </c>
      <c r="E24" s="193"/>
      <c r="F24" s="232"/>
      <c r="H24" s="190">
        <v>4</v>
      </c>
      <c r="I24" s="191"/>
      <c r="K24" s="207"/>
      <c r="O24" s="23"/>
      <c r="P24" s="23"/>
      <c r="Q24" s="233"/>
      <c r="R24" s="23"/>
      <c r="S24" s="36" t="s">
        <v>261</v>
      </c>
      <c r="T24" s="29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7"/>
      <c r="V24" s="29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30</v>
      </c>
      <c r="B25" s="181">
        <f>'Données projet'!D38</f>
        <v>28</v>
      </c>
      <c r="C25" s="193">
        <f>225*'Données projet'!E38+13.8*('Données projet'!F38+'Données projet'!G38)+10*'Données projet'!G38</f>
        <v>0</v>
      </c>
      <c r="D25" s="182">
        <f t="shared" si="2"/>
        <v>0</v>
      </c>
      <c r="E25" s="193"/>
      <c r="F25" s="232"/>
      <c r="H25" s="190">
        <v>5</v>
      </c>
      <c r="I25" s="191"/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298">
        <f ca="1">T23-T24</f>
        <v>-91397.220211058084</v>
      </c>
      <c r="U25" s="298"/>
      <c r="V25" s="29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35</v>
      </c>
      <c r="B26" s="181">
        <f>'Données projet'!D39</f>
        <v>28</v>
      </c>
      <c r="C26" s="193">
        <f>225*'Données projet'!E39+13.8*('Données projet'!F39+'Données projet'!G39)+10*'Données projet'!G39</f>
        <v>0</v>
      </c>
      <c r="D26" s="182">
        <f t="shared" si="2"/>
        <v>0</v>
      </c>
      <c r="E26" s="193"/>
      <c r="F26" s="232"/>
      <c r="G26" s="228"/>
      <c r="H26" s="190"/>
      <c r="I26" s="191"/>
      <c r="K26" s="207"/>
      <c r="L26" s="285" t="s">
        <v>258</v>
      </c>
      <c r="M26" s="286"/>
      <c r="N26" s="286"/>
      <c r="O26" s="286"/>
      <c r="P26" s="287"/>
      <c r="Q26" s="233"/>
      <c r="R26" s="23"/>
      <c r="S26" s="186" t="s">
        <v>265</v>
      </c>
      <c r="T26" s="295" t="str">
        <f ca="1">IF(T25&lt;0,"Votre projet est additionnel","Votre projet n'est pas additionnel")</f>
        <v>Votre projet est additionnel</v>
      </c>
      <c r="U26" s="295"/>
      <c r="V26" s="29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40</v>
      </c>
      <c r="B27" s="181">
        <f>'Données projet'!D40</f>
        <v>28</v>
      </c>
      <c r="C27" s="193">
        <f>225*'Données projet'!E40+13.8*('Données projet'!F40+'Données projet'!G40)+10*'Données projet'!G40</f>
        <v>45</v>
      </c>
      <c r="D27" s="182">
        <f t="shared" si="2"/>
        <v>1260</v>
      </c>
      <c r="E27" s="193"/>
      <c r="F27" s="232"/>
      <c r="G27" s="228"/>
      <c r="H27" s="190"/>
      <c r="I27" s="191"/>
      <c r="K27" s="207"/>
      <c r="L27" s="288"/>
      <c r="M27" s="289"/>
      <c r="N27" s="289"/>
      <c r="O27" s="289"/>
      <c r="P27" s="290"/>
      <c r="Q27" s="233"/>
      <c r="R27" s="23"/>
      <c r="S27" s="294" t="s">
        <v>267</v>
      </c>
      <c r="T27" s="294"/>
      <c r="U27" s="294"/>
      <c r="V27" s="29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45</v>
      </c>
      <c r="B28" s="181">
        <f>'Données projet'!D41</f>
        <v>28</v>
      </c>
      <c r="C28" s="193">
        <f>225*'Données projet'!E41+13.8*('Données projet'!F41+'Données projet'!G41)+10*'Données projet'!G41</f>
        <v>45</v>
      </c>
      <c r="D28" s="182">
        <f t="shared" si="2"/>
        <v>1260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50</v>
      </c>
      <c r="B29" s="181">
        <f>'Données projet'!D42</f>
        <v>28</v>
      </c>
      <c r="C29" s="193">
        <f>225*'Données projet'!E42+13.8*('Données projet'!F42+'Données projet'!G42)+10*'Données projet'!G42</f>
        <v>67.5</v>
      </c>
      <c r="D29" s="182">
        <f t="shared" si="2"/>
        <v>1890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55</v>
      </c>
      <c r="B30" s="181">
        <f>'Données projet'!D43</f>
        <v>28</v>
      </c>
      <c r="C30" s="193">
        <f>225*'Données projet'!E43+13.8*('Données projet'!F43+'Données projet'!G43)+10*'Données projet'!G43</f>
        <v>67.5</v>
      </c>
      <c r="D30" s="182">
        <f t="shared" si="2"/>
        <v>1890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60</v>
      </c>
      <c r="B31" s="181">
        <f>'Données projet'!D44</f>
        <v>28</v>
      </c>
      <c r="C31" s="193">
        <f>225*'Données projet'!E44+13.8*('Données projet'!F44+'Données projet'!G44)+10*'Données projet'!G44</f>
        <v>90</v>
      </c>
      <c r="D31" s="182">
        <f t="shared" si="2"/>
        <v>2520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65</v>
      </c>
      <c r="B32" s="181">
        <f>'Données projet'!D45</f>
        <v>28</v>
      </c>
      <c r="C32" s="193">
        <f>225*'Données projet'!E45+13.8*('Données projet'!F45+'Données projet'!G45)+10*'Données projet'!G45</f>
        <v>90</v>
      </c>
      <c r="D32" s="182">
        <f t="shared" si="2"/>
        <v>2520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70</v>
      </c>
      <c r="B33" s="181">
        <f>'Données projet'!D46</f>
        <v>28</v>
      </c>
      <c r="C33" s="193">
        <f>225*'Données projet'!E46+13.8*('Données projet'!F46+'Données projet'!G46)+10*'Données projet'!G46</f>
        <v>112.5</v>
      </c>
      <c r="D33" s="182">
        <f t="shared" si="2"/>
        <v>3150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75</v>
      </c>
      <c r="B34" s="181">
        <f>'Données projet'!D47</f>
        <v>28</v>
      </c>
      <c r="C34" s="193">
        <f>225*'Données projet'!E47+13.8*('Données projet'!F47+'Données projet'!G47)+10*'Données projet'!G47</f>
        <v>112.5</v>
      </c>
      <c r="D34" s="182">
        <f t="shared" si="2"/>
        <v>3150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80</v>
      </c>
      <c r="B35" s="181">
        <f>'Données projet'!D48</f>
        <v>28</v>
      </c>
      <c r="C35" s="193">
        <f>225*'Données projet'!E48+13.8*('Données projet'!F48+'Données projet'!G48)+10*'Données projet'!G48</f>
        <v>135</v>
      </c>
      <c r="D35" s="182">
        <f t="shared" si="2"/>
        <v>3780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90</v>
      </c>
      <c r="B36" s="181">
        <f>'Données projet'!D49</f>
        <v>56</v>
      </c>
      <c r="C36" s="193">
        <f>225*'Données projet'!E49+13.8*('Données projet'!F49+'Données projet'!G49)+10*'Données projet'!G49</f>
        <v>157.5</v>
      </c>
      <c r="D36" s="182">
        <f t="shared" si="2"/>
        <v>8820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100</v>
      </c>
      <c r="B37" s="181">
        <f>'Données projet'!D50</f>
        <v>56</v>
      </c>
      <c r="C37" s="193">
        <f>225*'Données projet'!E50+13.8*('Données projet'!F50+'Données projet'!G50)+10*'Données projet'!G50</f>
        <v>180</v>
      </c>
      <c r="D37" s="182">
        <f t="shared" si="2"/>
        <v>10080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110</v>
      </c>
      <c r="B38" s="181">
        <f>'Données projet'!D51</f>
        <v>51</v>
      </c>
      <c r="C38" s="193">
        <f>225*'Données projet'!E51+13.8*('Données projet'!F51+'Données projet'!G51)+10*'Données projet'!G51</f>
        <v>180</v>
      </c>
      <c r="D38" s="182">
        <f t="shared" si="2"/>
        <v>9180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120</v>
      </c>
      <c r="B39" s="181">
        <f>'Données projet'!D52</f>
        <v>352</v>
      </c>
      <c r="C39" s="193">
        <f>225*'Données projet'!E52+13.8*('Données projet'!F52+'Données projet'!G52)+10*'Données projet'!G52</f>
        <v>202.5</v>
      </c>
      <c r="D39" s="182">
        <f t="shared" si="2"/>
        <v>71280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>
        <f>225*'Données projet'!E53+13.8*('Données projet'!F53+'Données projet'!G53)+10*'Données projet'!G53</f>
        <v>0</v>
      </c>
      <c r="D40" s="182">
        <f t="shared" si="2"/>
        <v>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>
        <f>225*'Données projet'!E54+13.8*('Données projet'!F54+'Données projet'!G54)+10*'Données projet'!G54</f>
        <v>0</v>
      </c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>
        <f>225*'Données projet'!E55+13.8*('Données projet'!F55+'Données projet'!G55)+10*'Données projet'!G55</f>
        <v>0</v>
      </c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>Chêne pédonculé</v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8" t="s">
        <v>132</v>
      </c>
      <c r="C48" s="197" t="s">
        <v>132</v>
      </c>
      <c r="D48" s="196" t="s">
        <v>132</v>
      </c>
      <c r="E48" s="193">
        <v>2896.39</v>
      </c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8" t="s">
        <v>132</v>
      </c>
      <c r="C52" s="197" t="s">
        <v>132</v>
      </c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8" t="s">
        <v>132</v>
      </c>
      <c r="C53" s="197" t="s">
        <v>132</v>
      </c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20</v>
      </c>
      <c r="B54" s="181">
        <f>'Données projet'!D62</f>
        <v>0</v>
      </c>
      <c r="C54" s="191">
        <f>225*'Données projet'!E62+13.8*('Données projet'!F62+'Données projet'!G62)+10*'Données projet'!H62</f>
        <v>10</v>
      </c>
      <c r="D54" s="179">
        <f>B54*C54</f>
        <v>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25</v>
      </c>
      <c r="B55" s="181">
        <f>'Données projet'!D63</f>
        <v>0</v>
      </c>
      <c r="C55" s="191">
        <f>225*'Données projet'!E63+13.8*('Données projet'!F63+'Données projet'!G63)+10*'Données projet'!H63</f>
        <v>10</v>
      </c>
      <c r="D55" s="179">
        <f t="shared" ref="D55:D73" si="4">B55*C55</f>
        <v>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30</v>
      </c>
      <c r="B56" s="181">
        <f>'Données projet'!D64</f>
        <v>28</v>
      </c>
      <c r="C56" s="191">
        <f>225*'Données projet'!E64+13.8*('Données projet'!F64+'Données projet'!G64)+10*'Données projet'!H64</f>
        <v>10</v>
      </c>
      <c r="D56" s="179">
        <f t="shared" si="4"/>
        <v>280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35</v>
      </c>
      <c r="B57" s="181">
        <f>'Données projet'!D65</f>
        <v>28</v>
      </c>
      <c r="C57" s="191">
        <f>225*'Données projet'!E65+13.8*('Données projet'!F65+'Données projet'!G65)+10*'Données projet'!H65</f>
        <v>10</v>
      </c>
      <c r="D57" s="179">
        <f t="shared" si="4"/>
        <v>280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40</v>
      </c>
      <c r="B58" s="181">
        <f>'Données projet'!D66</f>
        <v>28</v>
      </c>
      <c r="C58" s="191">
        <f>225*'Données projet'!E66+13.8*('Données projet'!F66+'Données projet'!G66)+10*'Données projet'!H66</f>
        <v>53</v>
      </c>
      <c r="D58" s="179">
        <f t="shared" si="4"/>
        <v>1484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45</v>
      </c>
      <c r="B59" s="181">
        <f>'Données projet'!D67</f>
        <v>28</v>
      </c>
      <c r="C59" s="191">
        <f>225*'Données projet'!E67+13.8*('Données projet'!F67+'Données projet'!G67)+10*'Données projet'!H67</f>
        <v>53</v>
      </c>
      <c r="D59" s="179">
        <f t="shared" si="4"/>
        <v>1484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50</v>
      </c>
      <c r="B60" s="181">
        <f>'Données projet'!D68</f>
        <v>28</v>
      </c>
      <c r="C60" s="191">
        <f>225*'Données projet'!E68+13.8*('Données projet'!F68+'Données projet'!G68)+10*'Données projet'!H68</f>
        <v>74.5</v>
      </c>
      <c r="D60" s="179">
        <f t="shared" si="4"/>
        <v>2086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55</v>
      </c>
      <c r="B61" s="181">
        <f>'Données projet'!D69</f>
        <v>28</v>
      </c>
      <c r="C61" s="191">
        <f>225*'Données projet'!E69+13.8*('Données projet'!F69+'Données projet'!G69)+10*'Données projet'!H69</f>
        <v>74.5</v>
      </c>
      <c r="D61" s="179">
        <f t="shared" si="4"/>
        <v>2086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60</v>
      </c>
      <c r="B62" s="181">
        <f>'Données projet'!D70</f>
        <v>28</v>
      </c>
      <c r="C62" s="191">
        <f>225*'Données projet'!E70+13.8*('Données projet'!F70+'Données projet'!G70)+10*'Données projet'!H70</f>
        <v>96</v>
      </c>
      <c r="D62" s="179">
        <f t="shared" si="4"/>
        <v>2688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65</v>
      </c>
      <c r="B63" s="181">
        <f>'Données projet'!D71</f>
        <v>28</v>
      </c>
      <c r="C63" s="191">
        <f>225*'Données projet'!E71+13.8*('Données projet'!F71+'Données projet'!G71)+10*'Données projet'!H71</f>
        <v>96</v>
      </c>
      <c r="D63" s="179">
        <f t="shared" si="4"/>
        <v>2688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70</v>
      </c>
      <c r="B64" s="181">
        <f>'Données projet'!D72</f>
        <v>28</v>
      </c>
      <c r="C64" s="191">
        <f>225*'Données projet'!E72+13.8*('Données projet'!F72+'Données projet'!G72)+10*'Données projet'!H72</f>
        <v>117.5</v>
      </c>
      <c r="D64" s="179">
        <f t="shared" si="4"/>
        <v>3290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75</v>
      </c>
      <c r="B65" s="181">
        <f>'Données projet'!D73</f>
        <v>28</v>
      </c>
      <c r="C65" s="191">
        <f>225*'Données projet'!E73+13.8*('Données projet'!F73+'Données projet'!G73)+10*'Données projet'!H73</f>
        <v>117.5</v>
      </c>
      <c r="D65" s="179">
        <f t="shared" si="4"/>
        <v>3290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80</v>
      </c>
      <c r="B66" s="181">
        <f>'Données projet'!D74</f>
        <v>28</v>
      </c>
      <c r="C66" s="191">
        <f>225*'Données projet'!E74+13.8*('Données projet'!F74+'Données projet'!G74)+10*'Données projet'!H74</f>
        <v>139</v>
      </c>
      <c r="D66" s="179">
        <f t="shared" si="4"/>
        <v>3892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90</v>
      </c>
      <c r="B67" s="181">
        <f>'Données projet'!D75</f>
        <v>56</v>
      </c>
      <c r="C67" s="191">
        <f>225*'Données projet'!E75+13.8*('Données projet'!F75+'Données projet'!G75)+10*'Données projet'!H75</f>
        <v>160.5</v>
      </c>
      <c r="D67" s="179">
        <f t="shared" si="4"/>
        <v>8988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100</v>
      </c>
      <c r="B68" s="181">
        <f>'Données projet'!D76</f>
        <v>56</v>
      </c>
      <c r="C68" s="191">
        <f>225*'Données projet'!E76+13.8*('Données projet'!F76+'Données projet'!G76)+10*'Données projet'!H76</f>
        <v>182</v>
      </c>
      <c r="D68" s="179">
        <f t="shared" si="4"/>
        <v>10192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110</v>
      </c>
      <c r="B69" s="181">
        <f>'Données projet'!D77</f>
        <v>51</v>
      </c>
      <c r="C69" s="191">
        <f>225*'Données projet'!E77+13.8*('Données projet'!F77+'Données projet'!G77)+10*'Données projet'!H77</f>
        <v>182</v>
      </c>
      <c r="D69" s="179">
        <f t="shared" si="4"/>
        <v>9282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120</v>
      </c>
      <c r="B70" s="181">
        <f>'Données projet'!D78</f>
        <v>352</v>
      </c>
      <c r="C70" s="191">
        <f>225*'Données projet'!E78+13.8*('Données projet'!F78+'Données projet'!G78)+10*'Données projet'!H78</f>
        <v>203.5</v>
      </c>
      <c r="D70" s="179">
        <f t="shared" si="4"/>
        <v>71632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>
        <f>225*'Données projet'!E79+13.8*('Données projet'!F79+'Données projet'!G79)+10*'Données projet'!H79</f>
        <v>0</v>
      </c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>
        <f>225*'Données projet'!E80+13.8*('Données projet'!F80+'Données projet'!G80)+10*'Données projet'!H80</f>
        <v>0</v>
      </c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>
        <f>225*'Données projet'!E81+13.8*('Données projet'!F81+'Données projet'!G81)+10*'Données projet'!H81</f>
        <v>0</v>
      </c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>Chêne pubescent</v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8" t="s">
        <v>132</v>
      </c>
      <c r="C79" s="197" t="s">
        <v>132</v>
      </c>
      <c r="D79" s="196" t="s">
        <v>132</v>
      </c>
      <c r="E79" s="193">
        <v>2896.39</v>
      </c>
      <c r="F79" s="230"/>
      <c r="G79" s="205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8" t="s">
        <v>132</v>
      </c>
      <c r="C83" s="197" t="s">
        <v>132</v>
      </c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8" t="s">
        <v>132</v>
      </c>
      <c r="C84" s="197" t="s">
        <v>132</v>
      </c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20</v>
      </c>
      <c r="B85" s="181">
        <f>'Données projet'!D88</f>
        <v>0</v>
      </c>
      <c r="C85" s="191">
        <f>225*'Données projet'!E88+13.8*('Données projet'!F88+'Données projet'!G88)+10*'Données projet'!H88</f>
        <v>10</v>
      </c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25</v>
      </c>
      <c r="B86" s="181">
        <f>'Données projet'!D89</f>
        <v>0</v>
      </c>
      <c r="C86" s="191">
        <f>225*'Données projet'!E89+13.8*('Données projet'!F89+'Données projet'!G89)+10*'Données projet'!H89</f>
        <v>10</v>
      </c>
      <c r="D86" s="179">
        <f t="shared" ref="D86:D104" si="6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30</v>
      </c>
      <c r="B87" s="181">
        <f>'Données projet'!D90</f>
        <v>28</v>
      </c>
      <c r="C87" s="191">
        <f>225*'Données projet'!E90+13.8*('Données projet'!F90+'Données projet'!G90)+10*'Données projet'!H90</f>
        <v>10</v>
      </c>
      <c r="D87" s="179">
        <f t="shared" si="6"/>
        <v>280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35</v>
      </c>
      <c r="B88" s="181">
        <f>'Données projet'!D91</f>
        <v>28</v>
      </c>
      <c r="C88" s="191">
        <f>225*'Données projet'!E91+13.8*('Données projet'!F91+'Données projet'!G91)+10*'Données projet'!H91</f>
        <v>10</v>
      </c>
      <c r="D88" s="179">
        <f t="shared" si="6"/>
        <v>280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40</v>
      </c>
      <c r="B89" s="181">
        <f>'Données projet'!D92</f>
        <v>28</v>
      </c>
      <c r="C89" s="191">
        <f>225*'Données projet'!E92+13.8*('Données projet'!F92+'Données projet'!G92)+10*'Données projet'!H92</f>
        <v>53</v>
      </c>
      <c r="D89" s="179">
        <f t="shared" si="6"/>
        <v>1484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45</v>
      </c>
      <c r="B90" s="181">
        <f>'Données projet'!D93</f>
        <v>28</v>
      </c>
      <c r="C90" s="191">
        <f>225*'Données projet'!E93+13.8*('Données projet'!F93+'Données projet'!G93)+10*'Données projet'!H93</f>
        <v>53</v>
      </c>
      <c r="D90" s="179">
        <f t="shared" si="6"/>
        <v>1484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50</v>
      </c>
      <c r="B91" s="181">
        <f>'Données projet'!D94</f>
        <v>28</v>
      </c>
      <c r="C91" s="191">
        <f>225*'Données projet'!E94+13.8*('Données projet'!F94+'Données projet'!G94)+10*'Données projet'!H94</f>
        <v>74.5</v>
      </c>
      <c r="D91" s="179">
        <f t="shared" si="6"/>
        <v>2086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55</v>
      </c>
      <c r="B92" s="181">
        <f>'Données projet'!D95</f>
        <v>28</v>
      </c>
      <c r="C92" s="191">
        <f>225*'Données projet'!E95+13.8*('Données projet'!F95+'Données projet'!G95)+10*'Données projet'!H95</f>
        <v>74.5</v>
      </c>
      <c r="D92" s="179">
        <f t="shared" si="6"/>
        <v>2086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60</v>
      </c>
      <c r="B93" s="181">
        <f>'Données projet'!D96</f>
        <v>28</v>
      </c>
      <c r="C93" s="191">
        <f>225*'Données projet'!E96+13.8*('Données projet'!F96+'Données projet'!G96)+10*'Données projet'!H96</f>
        <v>96</v>
      </c>
      <c r="D93" s="179">
        <f t="shared" si="6"/>
        <v>2688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65</v>
      </c>
      <c r="B94" s="181">
        <f>'Données projet'!D97</f>
        <v>28</v>
      </c>
      <c r="C94" s="191">
        <f>225*'Données projet'!E97+13.8*('Données projet'!F97+'Données projet'!G97)+10*'Données projet'!H97</f>
        <v>96</v>
      </c>
      <c r="D94" s="179">
        <f t="shared" si="6"/>
        <v>2688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70</v>
      </c>
      <c r="B95" s="181">
        <f>'Données projet'!D98</f>
        <v>28</v>
      </c>
      <c r="C95" s="191">
        <f>225*'Données projet'!E98+13.8*('Données projet'!F98+'Données projet'!G98)+10*'Données projet'!H98</f>
        <v>117.5</v>
      </c>
      <c r="D95" s="179">
        <f t="shared" si="6"/>
        <v>3290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75</v>
      </c>
      <c r="B96" s="181">
        <f>'Données projet'!D99</f>
        <v>28</v>
      </c>
      <c r="C96" s="191">
        <f>225*'Données projet'!E99+13.8*('Données projet'!F99+'Données projet'!G99)+10*'Données projet'!H99</f>
        <v>117.5</v>
      </c>
      <c r="D96" s="179">
        <f t="shared" si="6"/>
        <v>3290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80</v>
      </c>
      <c r="B97" s="181">
        <f>'Données projet'!D100</f>
        <v>28</v>
      </c>
      <c r="C97" s="191">
        <f>225*'Données projet'!E100+13.8*('Données projet'!F100+'Données projet'!G100)+10*'Données projet'!H100</f>
        <v>139</v>
      </c>
      <c r="D97" s="179">
        <f t="shared" si="6"/>
        <v>3892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90</v>
      </c>
      <c r="B98" s="181">
        <f>'Données projet'!D101</f>
        <v>56</v>
      </c>
      <c r="C98" s="191">
        <f>225*'Données projet'!E101+13.8*('Données projet'!F101+'Données projet'!G101)+10*'Données projet'!H101</f>
        <v>160.5</v>
      </c>
      <c r="D98" s="179">
        <f t="shared" si="6"/>
        <v>8988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100</v>
      </c>
      <c r="B99" s="181">
        <f>'Données projet'!D102</f>
        <v>56</v>
      </c>
      <c r="C99" s="191">
        <f>225*'Données projet'!E102+13.8*('Données projet'!F102+'Données projet'!G102)+10*'Données projet'!H102</f>
        <v>182</v>
      </c>
      <c r="D99" s="179">
        <f t="shared" si="6"/>
        <v>10192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110</v>
      </c>
      <c r="B100" s="181">
        <f>'Données projet'!D103</f>
        <v>51</v>
      </c>
      <c r="C100" s="191">
        <f>225*'Données projet'!E103+13.8*('Données projet'!F103+'Données projet'!G103)+10*'Données projet'!H103</f>
        <v>182</v>
      </c>
      <c r="D100" s="179">
        <f t="shared" si="6"/>
        <v>9282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120</v>
      </c>
      <c r="B101" s="181">
        <f>'Données projet'!D104</f>
        <v>352</v>
      </c>
      <c r="C101" s="191">
        <f>225*'Données projet'!E104+13.8*('Données projet'!F104+'Données projet'!G104)+10*'Données projet'!H104</f>
        <v>203.5</v>
      </c>
      <c r="D101" s="179">
        <f t="shared" si="6"/>
        <v>71632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>
        <f>225*'Données projet'!E105+13.8*('Données projet'!F105+'Données projet'!G105)+10*'Données projet'!H105</f>
        <v>0</v>
      </c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>
        <f>225*'Données projet'!E106+13.8*('Données projet'!F106+'Données projet'!G106)+10*'Données projet'!H106</f>
        <v>0</v>
      </c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>
        <f>225*'Données projet'!E107+13.8*('Données projet'!F107+'Données projet'!G107)+10*'Données projet'!H107</f>
        <v>0</v>
      </c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str">
        <f>IF(O103+1&lt;=MIN('Données projet'!$E$9:$E$18),O103+1,"STOP")</f>
        <v>STOP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>Tilleul</v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8" t="s">
        <v>132</v>
      </c>
      <c r="C110" s="197" t="s">
        <v>132</v>
      </c>
      <c r="D110" s="196" t="s">
        <v>132</v>
      </c>
      <c r="E110" s="193">
        <v>2834.84</v>
      </c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10</v>
      </c>
      <c r="B116" s="181">
        <f>'Données projet'!D114</f>
        <v>7</v>
      </c>
      <c r="C116" s="191">
        <f>50*'Données projet'!E114+13.8*('Données projet'!F114+'Données projet'!G114)+10*'Données projet'!H114</f>
        <v>10</v>
      </c>
      <c r="D116" s="179">
        <f>B116*C116</f>
        <v>70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15</v>
      </c>
      <c r="B117" s="181">
        <f>'Données projet'!D115</f>
        <v>42</v>
      </c>
      <c r="C117" s="191">
        <f>50*'Données projet'!E115+13.8*('Données projet'!F115+'Données projet'!G115)+10*'Données projet'!H115</f>
        <v>10</v>
      </c>
      <c r="D117" s="179">
        <f t="shared" ref="D117:D135" si="8">B117*C117</f>
        <v>420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20</v>
      </c>
      <c r="B118" s="181">
        <f>'Données projet'!D116</f>
        <v>42</v>
      </c>
      <c r="C118" s="191">
        <f>50*'Données projet'!E116+13.8*('Données projet'!F116+'Données projet'!G116)+10*'Données projet'!H116</f>
        <v>10</v>
      </c>
      <c r="D118" s="179">
        <f t="shared" si="8"/>
        <v>420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25</v>
      </c>
      <c r="B119" s="181">
        <f>'Données projet'!D117</f>
        <v>42</v>
      </c>
      <c r="C119" s="191">
        <f>50*'Données projet'!E117+13.8*('Données projet'!F117+'Données projet'!G117)+10*'Données projet'!H117</f>
        <v>10</v>
      </c>
      <c r="D119" s="179">
        <f t="shared" si="8"/>
        <v>420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30</v>
      </c>
      <c r="B120" s="181">
        <f>'Données projet'!D118</f>
        <v>42</v>
      </c>
      <c r="C120" s="191">
        <f>50*'Données projet'!E118+13.8*('Données projet'!F118+'Données projet'!G118)+10*'Données projet'!H118</f>
        <v>18</v>
      </c>
      <c r="D120" s="179">
        <f t="shared" si="8"/>
        <v>756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35</v>
      </c>
      <c r="B121" s="181">
        <f>'Données projet'!D119</f>
        <v>42</v>
      </c>
      <c r="C121" s="191">
        <f>50*'Données projet'!E119+13.8*('Données projet'!F119+'Données projet'!G119)+10*'Données projet'!H119</f>
        <v>18</v>
      </c>
      <c r="D121" s="179">
        <f t="shared" si="8"/>
        <v>756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40</v>
      </c>
      <c r="B122" s="181">
        <f>'Données projet'!D120</f>
        <v>40</v>
      </c>
      <c r="C122" s="191">
        <f>50*'Données projet'!E120+13.8*('Données projet'!F120+'Données projet'!G120)+10*'Données projet'!H120</f>
        <v>22</v>
      </c>
      <c r="D122" s="179">
        <f t="shared" si="8"/>
        <v>880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45</v>
      </c>
      <c r="B123" s="181">
        <f>'Données projet'!D121</f>
        <v>26</v>
      </c>
      <c r="C123" s="191">
        <f>50*'Données projet'!E121+13.8*('Données projet'!F121+'Données projet'!G121)+10*'Données projet'!H121</f>
        <v>22</v>
      </c>
      <c r="D123" s="179">
        <f t="shared" si="8"/>
        <v>572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50</v>
      </c>
      <c r="B124" s="181">
        <f>'Données projet'!D122</f>
        <v>21</v>
      </c>
      <c r="C124" s="191">
        <f>50*'Données projet'!E122+13.8*('Données projet'!F122+'Données projet'!G122)+10*'Données projet'!H122</f>
        <v>26</v>
      </c>
      <c r="D124" s="179">
        <f t="shared" si="8"/>
        <v>546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55</v>
      </c>
      <c r="B125" s="181">
        <f>'Données projet'!D123</f>
        <v>18</v>
      </c>
      <c r="C125" s="191">
        <f>50*'Données projet'!E123+13.8*('Données projet'!F123+'Données projet'!G123)+10*'Données projet'!H123</f>
        <v>26</v>
      </c>
      <c r="D125" s="179">
        <f t="shared" si="8"/>
        <v>468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60</v>
      </c>
      <c r="B126" s="181">
        <f>'Données projet'!D124</f>
        <v>17</v>
      </c>
      <c r="C126" s="191">
        <f>50*'Données projet'!E124+13.8*('Données projet'!F124+'Données projet'!G124)+10*'Données projet'!H124</f>
        <v>30</v>
      </c>
      <c r="D126" s="179">
        <f t="shared" si="8"/>
        <v>510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65</v>
      </c>
      <c r="B127" s="181">
        <f>'Données projet'!D125</f>
        <v>16</v>
      </c>
      <c r="C127" s="191">
        <f>50*'Données projet'!E125+13.8*('Données projet'!F125+'Données projet'!G125)+10*'Données projet'!H125</f>
        <v>34</v>
      </c>
      <c r="D127" s="179">
        <f t="shared" si="8"/>
        <v>544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70</v>
      </c>
      <c r="B128" s="181">
        <f>'Données projet'!D126</f>
        <v>15</v>
      </c>
      <c r="C128" s="191">
        <f>50*'Données projet'!E126+13.8*('Données projet'!F126+'Données projet'!G126)+10*'Données projet'!H126</f>
        <v>38</v>
      </c>
      <c r="D128" s="179">
        <f t="shared" si="8"/>
        <v>570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75</v>
      </c>
      <c r="B129" s="181">
        <f>'Données projet'!D127</f>
        <v>14</v>
      </c>
      <c r="C129" s="191">
        <f>50*'Données projet'!E127+13.8*('Données projet'!F127+'Données projet'!G127)+10*'Données projet'!H127</f>
        <v>42</v>
      </c>
      <c r="D129" s="179">
        <f t="shared" si="8"/>
        <v>588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80</v>
      </c>
      <c r="B130" s="181">
        <f>'Données projet'!D128</f>
        <v>381</v>
      </c>
      <c r="C130" s="191">
        <f>50*'Données projet'!E128+13.8*('Données projet'!F128+'Données projet'!G128)+10*'Données projet'!H128</f>
        <v>42</v>
      </c>
      <c r="D130" s="179">
        <f t="shared" si="8"/>
        <v>16002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>
        <f>50*'Données projet'!E129+13.8*('Données projet'!F129+'Données projet'!G129)+10*'Données projet'!H129</f>
        <v>0</v>
      </c>
      <c r="D131" s="179">
        <f t="shared" si="8"/>
        <v>0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>
        <f>50*'Données projet'!E130+13.8*('Données projet'!F130+'Données projet'!G130)+10*'Données projet'!H130</f>
        <v>0</v>
      </c>
      <c r="D132" s="179">
        <f t="shared" si="8"/>
        <v>0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>
        <f>50*'Données projet'!E131+13.8*('Données projet'!F131+'Données projet'!G131)+10*'Données projet'!H131</f>
        <v>0</v>
      </c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>
        <f>50*'Données projet'!E132+13.8*('Données projet'!F132+'Données projet'!G132)+10*'Données projet'!H132</f>
        <v>0</v>
      </c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>
        <f>50*'Données projet'!E133+13.8*('Données projet'!F133+'Données projet'!G133)+10*'Données projet'!H133</f>
        <v>0</v>
      </c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>Aulne glutineux</v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8" t="s">
        <v>132</v>
      </c>
      <c r="C141" s="197" t="s">
        <v>132</v>
      </c>
      <c r="D141" s="196" t="s">
        <v>132</v>
      </c>
      <c r="E141" s="193">
        <v>2091.84</v>
      </c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10</v>
      </c>
      <c r="B147" s="175">
        <f>'Données projet'!D140</f>
        <v>7</v>
      </c>
      <c r="C147" s="191">
        <f>40*'Données projet'!E140+13.8*('Données projet'!F140+'Données projet'!G140)+10*'Données projet'!H140</f>
        <v>10</v>
      </c>
      <c r="D147" s="182">
        <f>B147*C147</f>
        <v>70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15</v>
      </c>
      <c r="B148" s="175">
        <f>'Données projet'!D141</f>
        <v>42</v>
      </c>
      <c r="C148" s="191">
        <f>40*'Données projet'!E141+13.8*('Données projet'!F141+'Données projet'!G141)+10*'Données projet'!H141</f>
        <v>16</v>
      </c>
      <c r="D148" s="182">
        <f t="shared" ref="D148:D166" si="10">B148*C148</f>
        <v>672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20</v>
      </c>
      <c r="B149" s="175">
        <f>'Données projet'!D142</f>
        <v>42</v>
      </c>
      <c r="C149" s="191">
        <f>40*'Données projet'!E142+13.8*('Données projet'!F142+'Données projet'!G142)+10*'Données projet'!H142</f>
        <v>16</v>
      </c>
      <c r="D149" s="182">
        <f t="shared" si="10"/>
        <v>672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25</v>
      </c>
      <c r="B150" s="175">
        <f>'Données projet'!D143</f>
        <v>42</v>
      </c>
      <c r="C150" s="191">
        <f>40*'Données projet'!E143+13.8*('Données projet'!F143+'Données projet'!G143)+10*'Données projet'!H143</f>
        <v>19</v>
      </c>
      <c r="D150" s="182">
        <f t="shared" si="10"/>
        <v>798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30</v>
      </c>
      <c r="B151" s="175">
        <f>'Données projet'!D144</f>
        <v>42</v>
      </c>
      <c r="C151" s="191">
        <f>40*'Données projet'!E144+13.8*('Données projet'!F144+'Données projet'!G144)+10*'Données projet'!H144</f>
        <v>19</v>
      </c>
      <c r="D151" s="182">
        <f t="shared" si="10"/>
        <v>798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35</v>
      </c>
      <c r="B152" s="175">
        <f>'Données projet'!D145</f>
        <v>42</v>
      </c>
      <c r="C152" s="191">
        <f>40*'Données projet'!E145+13.8*('Données projet'!F145+'Données projet'!G145)+10*'Données projet'!H145</f>
        <v>22</v>
      </c>
      <c r="D152" s="182">
        <f t="shared" si="10"/>
        <v>924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40</v>
      </c>
      <c r="B153" s="175">
        <f>'Données projet'!D146</f>
        <v>40</v>
      </c>
      <c r="C153" s="191">
        <f>40*'Données projet'!E146+13.8*('Données projet'!F146+'Données projet'!G146)+10*'Données projet'!H146</f>
        <v>22</v>
      </c>
      <c r="D153" s="182">
        <f t="shared" si="10"/>
        <v>880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45</v>
      </c>
      <c r="B154" s="175">
        <f>'Données projet'!D147</f>
        <v>26</v>
      </c>
      <c r="C154" s="191">
        <f>40*'Données projet'!E147+13.8*('Données projet'!F147+'Données projet'!G147)+10*'Données projet'!H147</f>
        <v>25</v>
      </c>
      <c r="D154" s="182">
        <f t="shared" si="10"/>
        <v>650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50</v>
      </c>
      <c r="B155" s="175">
        <f>'Données projet'!D148</f>
        <v>21</v>
      </c>
      <c r="C155" s="191">
        <f>40*'Données projet'!E148+13.8*('Données projet'!F148+'Données projet'!G148)+10*'Données projet'!H148</f>
        <v>25</v>
      </c>
      <c r="D155" s="182">
        <f t="shared" si="10"/>
        <v>525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55</v>
      </c>
      <c r="B156" s="175">
        <f>'Données projet'!D149</f>
        <v>18</v>
      </c>
      <c r="C156" s="191">
        <f>40*'Données projet'!E149+13.8*('Données projet'!F149+'Données projet'!G149)+10*'Données projet'!H149</f>
        <v>28</v>
      </c>
      <c r="D156" s="182">
        <f t="shared" si="10"/>
        <v>504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60</v>
      </c>
      <c r="B157" s="175">
        <f>'Données projet'!D150</f>
        <v>17</v>
      </c>
      <c r="C157" s="191">
        <f>40*'Données projet'!E150+13.8*('Données projet'!F150+'Données projet'!G150)+10*'Données projet'!H150</f>
        <v>28</v>
      </c>
      <c r="D157" s="182">
        <f t="shared" si="10"/>
        <v>476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65</v>
      </c>
      <c r="B158" s="175">
        <f>'Données projet'!D151</f>
        <v>16</v>
      </c>
      <c r="C158" s="191">
        <f>40*'Données projet'!E151+13.8*('Données projet'!F151+'Données projet'!G151)+10*'Données projet'!H151</f>
        <v>31</v>
      </c>
      <c r="D158" s="182">
        <f t="shared" si="10"/>
        <v>496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70</v>
      </c>
      <c r="B159" s="175">
        <f>'Données projet'!D152</f>
        <v>15</v>
      </c>
      <c r="C159" s="191">
        <f>40*'Données projet'!E152+13.8*('Données projet'!F152+'Données projet'!G152)+10*'Données projet'!H152</f>
        <v>31</v>
      </c>
      <c r="D159" s="182">
        <f t="shared" si="10"/>
        <v>465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75</v>
      </c>
      <c r="B160" s="175">
        <f>'Données projet'!D153</f>
        <v>14</v>
      </c>
      <c r="C160" s="191">
        <f>40*'Données projet'!E153+13.8*('Données projet'!F153+'Données projet'!G153)+10*'Données projet'!H153</f>
        <v>34</v>
      </c>
      <c r="D160" s="182">
        <f t="shared" si="10"/>
        <v>476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80</v>
      </c>
      <c r="B161" s="175">
        <f>'Données projet'!D154</f>
        <v>381</v>
      </c>
      <c r="C161" s="191">
        <f>40*'Données projet'!E154+13.8*('Données projet'!F154+'Données projet'!G154)+10*'Données projet'!H154</f>
        <v>34</v>
      </c>
      <c r="D161" s="182">
        <f t="shared" si="10"/>
        <v>12954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>
        <f>40*'Données projet'!E155+13.8*('Données projet'!F155+'Données projet'!G155)+10*'Données projet'!H155</f>
        <v>0</v>
      </c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>
        <f>40*'Données projet'!E156+13.8*('Données projet'!F156+'Données projet'!G156)+10*'Données projet'!H156</f>
        <v>0</v>
      </c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>
        <f>40*'Données projet'!E157+13.8*('Données projet'!F157+'Données projet'!G157)+10*'Données projet'!H157</f>
        <v>0</v>
      </c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>
        <f>40*'Données projet'!E158+13.8*('Données projet'!F158+'Données projet'!G158)+10*'Données projet'!H158</f>
        <v>0</v>
      </c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>
        <f>40*'Données projet'!E159+13.8*('Données projet'!F159+'Données projet'!G159)+10*'Données projet'!H159</f>
        <v>0</v>
      </c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>Hêtre</v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8" t="s">
        <v>132</v>
      </c>
      <c r="C172" s="197" t="s">
        <v>132</v>
      </c>
      <c r="D172" s="196" t="s">
        <v>132</v>
      </c>
      <c r="E172" s="193">
        <v>2135.7199999999998</v>
      </c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20</v>
      </c>
      <c r="B178" s="181">
        <f>'Données projet'!D166</f>
        <v>0</v>
      </c>
      <c r="C178" s="193">
        <f>47*'Données projet'!E166+13.8*('Données projet'!F166+'Données projet'!G168)+10*'Données projet'!H166</f>
        <v>10</v>
      </c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25</v>
      </c>
      <c r="B179" s="181">
        <f>'Données projet'!D167</f>
        <v>26</v>
      </c>
      <c r="C179" s="193">
        <f>47*'Données projet'!E167+13.8*('Données projet'!F167+'Données projet'!G169)+10*'Données projet'!H167</f>
        <v>10</v>
      </c>
      <c r="D179" s="179">
        <f t="shared" ref="D179:D197" si="11">B179*C179</f>
        <v>260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30</v>
      </c>
      <c r="B180" s="181">
        <f>'Données projet'!D168</f>
        <v>35</v>
      </c>
      <c r="C180" s="193">
        <f>47*'Données projet'!E168+13.8*('Données projet'!F168+'Données projet'!G170)+10*'Données projet'!H168</f>
        <v>10</v>
      </c>
      <c r="D180" s="179">
        <f t="shared" si="11"/>
        <v>350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35</v>
      </c>
      <c r="B181" s="181">
        <f>'Données projet'!D169</f>
        <v>35</v>
      </c>
      <c r="C181" s="193">
        <f>47*'Données projet'!E169+13.8*('Données projet'!F169+'Données projet'!G171)+10*'Données projet'!H169</f>
        <v>10</v>
      </c>
      <c r="D181" s="179">
        <f t="shared" si="11"/>
        <v>350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40</v>
      </c>
      <c r="B182" s="181">
        <f>'Données projet'!D170</f>
        <v>35</v>
      </c>
      <c r="C182" s="193">
        <f>47*'Données projet'!E170+13.8*('Données projet'!F170+'Données projet'!G172)+10*'Données projet'!H170</f>
        <v>17.399999999999999</v>
      </c>
      <c r="D182" s="179">
        <f t="shared" si="11"/>
        <v>609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45</v>
      </c>
      <c r="B183" s="181">
        <f>'Données projet'!D171</f>
        <v>35</v>
      </c>
      <c r="C183" s="193">
        <f>47*'Données projet'!E171+13.8*('Données projet'!F171+'Données projet'!G173)+10*'Données projet'!H171</f>
        <v>17.399999999999999</v>
      </c>
      <c r="D183" s="179">
        <f t="shared" si="11"/>
        <v>609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50</v>
      </c>
      <c r="B184" s="181">
        <f>'Données projet'!D172</f>
        <v>35</v>
      </c>
      <c r="C184" s="193">
        <f>47*'Données projet'!E172+13.8*('Données projet'!F172+'Données projet'!G174)+10*'Données projet'!H172</f>
        <v>21.1</v>
      </c>
      <c r="D184" s="179">
        <f t="shared" si="11"/>
        <v>738.5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55</v>
      </c>
      <c r="B185" s="181">
        <f>'Données projet'!D173</f>
        <v>35</v>
      </c>
      <c r="C185" s="193">
        <f>47*'Données projet'!E173+13.8*('Données projet'!F173+'Données projet'!G175)+10*'Données projet'!H173</f>
        <v>21.1</v>
      </c>
      <c r="D185" s="179">
        <f t="shared" si="11"/>
        <v>738.5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60</v>
      </c>
      <c r="B186" s="181">
        <f>'Données projet'!D174</f>
        <v>35</v>
      </c>
      <c r="C186" s="193">
        <f>47*'Données projet'!E174+13.8*('Données projet'!F174+'Données projet'!G176)+10*'Données projet'!H174</f>
        <v>24.8</v>
      </c>
      <c r="D186" s="179">
        <f t="shared" si="11"/>
        <v>868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65</v>
      </c>
      <c r="B187" s="181">
        <f>'Données projet'!D175</f>
        <v>35</v>
      </c>
      <c r="C187" s="193">
        <f>47*'Données projet'!E175+13.8*('Données projet'!F175+'Données projet'!G177)+10*'Données projet'!H175</f>
        <v>24.8</v>
      </c>
      <c r="D187" s="179">
        <f t="shared" si="11"/>
        <v>868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70</v>
      </c>
      <c r="B188" s="181">
        <f>'Données projet'!D176</f>
        <v>35</v>
      </c>
      <c r="C188" s="193">
        <f>47*'Données projet'!E176+13.8*('Données projet'!F176+'Données projet'!G178)+10*'Données projet'!H176</f>
        <v>28.5</v>
      </c>
      <c r="D188" s="179">
        <f t="shared" si="11"/>
        <v>997.5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75</v>
      </c>
      <c r="B189" s="181">
        <f>'Données projet'!D177</f>
        <v>35</v>
      </c>
      <c r="C189" s="193">
        <f>47*'Données projet'!E177+13.8*('Données projet'!F177+'Données projet'!G179)+10*'Données projet'!H177</f>
        <v>28.5</v>
      </c>
      <c r="D189" s="179">
        <f t="shared" si="11"/>
        <v>997.5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80</v>
      </c>
      <c r="B190" s="181">
        <f>'Données projet'!D178</f>
        <v>34</v>
      </c>
      <c r="C190" s="193">
        <f>47*'Données projet'!E178+13.8*('Données projet'!F178+'Données projet'!G180)+10*'Données projet'!H178</f>
        <v>32.200000000000003</v>
      </c>
      <c r="D190" s="179">
        <f t="shared" si="11"/>
        <v>1094.8000000000002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85</v>
      </c>
      <c r="B191" s="181">
        <f>'Données projet'!D179</f>
        <v>33</v>
      </c>
      <c r="C191" s="193">
        <f>47*'Données projet'!E179+13.8*('Données projet'!F179+'Données projet'!G181)+10*'Données projet'!H179</f>
        <v>32.200000000000003</v>
      </c>
      <c r="D191" s="179">
        <f t="shared" si="11"/>
        <v>1062.6000000000001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90</v>
      </c>
      <c r="B192" s="181">
        <f>'Données projet'!D180</f>
        <v>31</v>
      </c>
      <c r="C192" s="193">
        <f>47*'Données projet'!E180+13.8*('Données projet'!F180+'Données projet'!G182)+10*'Données projet'!H180</f>
        <v>35.9</v>
      </c>
      <c r="D192" s="179">
        <f t="shared" si="11"/>
        <v>1112.8999999999999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95</v>
      </c>
      <c r="B193" s="181">
        <f>'Données projet'!D181</f>
        <v>30</v>
      </c>
      <c r="C193" s="193">
        <f>47*'Données projet'!E181+13.8*('Données projet'!F181+'Données projet'!G183)+10*'Données projet'!H181</f>
        <v>35.9</v>
      </c>
      <c r="D193" s="179">
        <f t="shared" si="11"/>
        <v>1077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100</v>
      </c>
      <c r="B194" s="181">
        <f>'Données projet'!D182</f>
        <v>29</v>
      </c>
      <c r="C194" s="193">
        <f>47*'Données projet'!E182+13.8*('Données projet'!F182+'Données projet'!G184)+10*'Données projet'!H182</f>
        <v>39.6</v>
      </c>
      <c r="D194" s="179">
        <f t="shared" si="11"/>
        <v>1148.4000000000001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110</v>
      </c>
      <c r="B195" s="181">
        <f>'Données projet'!D183</f>
        <v>27</v>
      </c>
      <c r="C195" s="193">
        <f>47*'Données projet'!E183+13.8*('Données projet'!F183+'Données projet'!G185)+10*'Données projet'!H183</f>
        <v>39.6</v>
      </c>
      <c r="D195" s="179">
        <f t="shared" si="11"/>
        <v>1069.2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115</v>
      </c>
      <c r="B196" s="181">
        <f>'Données projet'!D184</f>
        <v>26</v>
      </c>
      <c r="C196" s="193">
        <f>47*'Données projet'!E184+13.8*('Données projet'!F184+'Données projet'!G186)+10*'Données projet'!H184</f>
        <v>39.6</v>
      </c>
      <c r="D196" s="179">
        <f t="shared" si="11"/>
        <v>1029.6000000000001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120</v>
      </c>
      <c r="B197" s="181">
        <f>'Données projet'!D185</f>
        <v>508</v>
      </c>
      <c r="C197" s="193">
        <f>47*'Données projet'!E185+13.8*('Données projet'!F185+'Données projet'!G187)+10*'Données projet'!H185</f>
        <v>39.6</v>
      </c>
      <c r="D197" s="179">
        <f t="shared" si="11"/>
        <v>20116.8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>Erable plane</v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8" t="s">
        <v>132</v>
      </c>
      <c r="C203" s="197" t="s">
        <v>132</v>
      </c>
      <c r="D203" s="196" t="s">
        <v>132</v>
      </c>
      <c r="E203" s="193">
        <v>2793.99</v>
      </c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10</v>
      </c>
      <c r="B209" s="181">
        <f>'Données projet'!D192</f>
        <v>7</v>
      </c>
      <c r="C209" s="193">
        <f>60*'Données projet'!E192+13.8*('Données projet'!F192+'Données projet'!G192)+10*'Données projet'!H192</f>
        <v>10</v>
      </c>
      <c r="D209" s="179">
        <f>B209*C209</f>
        <v>70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15</v>
      </c>
      <c r="B210" s="181">
        <f>'Données projet'!D193</f>
        <v>42</v>
      </c>
      <c r="C210" s="193">
        <f>60*'Données projet'!E193+13.8*('Données projet'!F193+'Données projet'!G193)+10*'Données projet'!H193</f>
        <v>20</v>
      </c>
      <c r="D210" s="179">
        <f t="shared" ref="D210:D228" si="12">B210*C210</f>
        <v>840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20</v>
      </c>
      <c r="B211" s="181">
        <f>'Données projet'!D194</f>
        <v>42</v>
      </c>
      <c r="C211" s="193">
        <f>60*'Données projet'!E194+13.8*('Données projet'!F194+'Données projet'!G194)+10*'Données projet'!H194</f>
        <v>20</v>
      </c>
      <c r="D211" s="179">
        <f t="shared" si="12"/>
        <v>840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25</v>
      </c>
      <c r="B212" s="181">
        <f>'Données projet'!D195</f>
        <v>42</v>
      </c>
      <c r="C212" s="193">
        <f>60*'Données projet'!E195+13.8*('Données projet'!F195+'Données projet'!G195)+10*'Données projet'!H195</f>
        <v>25</v>
      </c>
      <c r="D212" s="179">
        <f t="shared" si="12"/>
        <v>1050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30</v>
      </c>
      <c r="B213" s="181">
        <f>'Données projet'!D196</f>
        <v>42</v>
      </c>
      <c r="C213" s="193">
        <f>60*'Données projet'!E196+13.8*('Données projet'!F196+'Données projet'!G196)+10*'Données projet'!H196</f>
        <v>25</v>
      </c>
      <c r="D213" s="179">
        <f t="shared" si="12"/>
        <v>1050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35</v>
      </c>
      <c r="B214" s="181">
        <f>'Données projet'!D197</f>
        <v>42</v>
      </c>
      <c r="C214" s="193">
        <f>60*'Données projet'!E197+13.8*('Données projet'!F197+'Données projet'!G197)+10*'Données projet'!H197</f>
        <v>30</v>
      </c>
      <c r="D214" s="179">
        <f t="shared" si="12"/>
        <v>1260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40</v>
      </c>
      <c r="B215" s="181">
        <f>'Données projet'!D198</f>
        <v>40</v>
      </c>
      <c r="C215" s="193">
        <f>60*'Données projet'!E198+13.8*('Données projet'!F198+'Données projet'!G198)+10*'Données projet'!H198</f>
        <v>30</v>
      </c>
      <c r="D215" s="179">
        <f t="shared" si="12"/>
        <v>1200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45</v>
      </c>
      <c r="B216" s="181">
        <f>'Données projet'!D199</f>
        <v>26</v>
      </c>
      <c r="C216" s="193">
        <f>60*'Données projet'!E199+13.8*('Données projet'!F199+'Données projet'!G199)+10*'Données projet'!H199</f>
        <v>35</v>
      </c>
      <c r="D216" s="179">
        <f t="shared" si="12"/>
        <v>910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50</v>
      </c>
      <c r="B217" s="181">
        <f>'Données projet'!D200</f>
        <v>21</v>
      </c>
      <c r="C217" s="193">
        <f>60*'Données projet'!E200+13.8*('Données projet'!F200+'Données projet'!G200)+10*'Données projet'!H200</f>
        <v>35</v>
      </c>
      <c r="D217" s="179">
        <f t="shared" si="12"/>
        <v>735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55</v>
      </c>
      <c r="B218" s="181">
        <f>'Données projet'!D201</f>
        <v>18</v>
      </c>
      <c r="C218" s="193">
        <f>60*'Données projet'!E201+13.8*('Données projet'!F201+'Données projet'!G201)+10*'Données projet'!H201</f>
        <v>40</v>
      </c>
      <c r="D218" s="179">
        <f t="shared" si="12"/>
        <v>720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60</v>
      </c>
      <c r="B219" s="181">
        <f>'Données projet'!D202</f>
        <v>17</v>
      </c>
      <c r="C219" s="193">
        <f>60*'Données projet'!E202+13.8*('Données projet'!F202+'Données projet'!G202)+10*'Données projet'!H202</f>
        <v>40</v>
      </c>
      <c r="D219" s="179">
        <f t="shared" si="12"/>
        <v>680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65</v>
      </c>
      <c r="B220" s="181">
        <f>'Données projet'!D203</f>
        <v>16</v>
      </c>
      <c r="C220" s="193">
        <f>60*'Données projet'!E203+13.8*('Données projet'!F203+'Données projet'!G203)+10*'Données projet'!H203</f>
        <v>45</v>
      </c>
      <c r="D220" s="179">
        <f t="shared" si="12"/>
        <v>720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70</v>
      </c>
      <c r="B221" s="181">
        <f>'Données projet'!D204</f>
        <v>15</v>
      </c>
      <c r="C221" s="193">
        <f>60*'Données projet'!E204+13.8*('Données projet'!F204+'Données projet'!G204)+10*'Données projet'!H204</f>
        <v>45</v>
      </c>
      <c r="D221" s="179">
        <f t="shared" si="12"/>
        <v>675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75</v>
      </c>
      <c r="B222" s="181">
        <f>'Données projet'!D205</f>
        <v>14</v>
      </c>
      <c r="C222" s="193">
        <f>60*'Données projet'!E205+13.8*('Données projet'!F205+'Données projet'!G205)+10*'Données projet'!H205</f>
        <v>50</v>
      </c>
      <c r="D222" s="179">
        <f t="shared" si="12"/>
        <v>700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80</v>
      </c>
      <c r="B223" s="181">
        <f>'Données projet'!D206</f>
        <v>381</v>
      </c>
      <c r="C223" s="193">
        <f>60*'Données projet'!E206+13.8*('Données projet'!F206+'Données projet'!G206)+10*'Données projet'!H206</f>
        <v>50</v>
      </c>
      <c r="D223" s="179">
        <f t="shared" si="12"/>
        <v>19050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>
        <f>60*'Données projet'!E207+13.8*('Données projet'!F207+'Données projet'!G207)+10*'Données projet'!H207</f>
        <v>0</v>
      </c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>
        <f>60*'Données projet'!E208+13.8*('Données projet'!F208+'Données projet'!G208)+10*'Données projet'!H208</f>
        <v>0</v>
      </c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>
        <f>60*'Données projet'!E209+13.8*('Données projet'!F209+'Données projet'!G209)+10*'Données projet'!H209</f>
        <v>0</v>
      </c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>
        <f>60*'Données projet'!E210+13.8*('Données projet'!F210+'Données projet'!G210)+10*'Données projet'!H210</f>
        <v>0</v>
      </c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>
        <f>60*'Données projet'!E211+13.8*('Données projet'!F211+'Données projet'!G211)+10*'Données projet'!H211</f>
        <v>0</v>
      </c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>Erable champêtre</v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8" t="s">
        <v>132</v>
      </c>
      <c r="C234" s="197" t="s">
        <v>132</v>
      </c>
      <c r="D234" s="196" t="s">
        <v>132</v>
      </c>
      <c r="E234" s="193">
        <v>2428.29</v>
      </c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10</v>
      </c>
      <c r="B240" s="181">
        <f>'Données projet'!D218</f>
        <v>0</v>
      </c>
      <c r="C240" s="193">
        <f>60*'Données projet'!E218+13.8*('Données projet'!F218+'Données projet'!G218)+10*'Données projet'!H218</f>
        <v>10</v>
      </c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15</v>
      </c>
      <c r="B241" s="181">
        <f>'Données projet'!D219</f>
        <v>32</v>
      </c>
      <c r="C241" s="193">
        <f>60*'Données projet'!E219+13.8*('Données projet'!F219+'Données projet'!G219)+10*'Données projet'!H219</f>
        <v>20</v>
      </c>
      <c r="D241" s="179">
        <f t="shared" ref="D241:D259" si="13">B241*C241</f>
        <v>640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20</v>
      </c>
      <c r="B242" s="181">
        <f>'Données projet'!D220</f>
        <v>35</v>
      </c>
      <c r="C242" s="193">
        <f>60*'Données projet'!E220+13.8*('Données projet'!F220+'Données projet'!G220)+10*'Données projet'!H220</f>
        <v>20</v>
      </c>
      <c r="D242" s="179">
        <f t="shared" si="13"/>
        <v>700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25</v>
      </c>
      <c r="B243" s="181">
        <f>'Données projet'!D221</f>
        <v>35</v>
      </c>
      <c r="C243" s="193">
        <f>60*'Données projet'!E221+13.8*('Données projet'!F221+'Données projet'!G221)+10*'Données projet'!H221</f>
        <v>25</v>
      </c>
      <c r="D243" s="179">
        <f t="shared" si="13"/>
        <v>875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30</v>
      </c>
      <c r="B244" s="181">
        <f>'Données projet'!D222</f>
        <v>35</v>
      </c>
      <c r="C244" s="193">
        <f>60*'Données projet'!E222+13.8*('Données projet'!F222+'Données projet'!G222)+10*'Données projet'!H222</f>
        <v>25</v>
      </c>
      <c r="D244" s="179">
        <f t="shared" si="13"/>
        <v>875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35</v>
      </c>
      <c r="B245" s="181">
        <f>'Données projet'!D223</f>
        <v>35</v>
      </c>
      <c r="C245" s="193">
        <f>60*'Données projet'!E223+13.8*('Données projet'!F223+'Données projet'!G223)+10*'Données projet'!H223</f>
        <v>30</v>
      </c>
      <c r="D245" s="179">
        <f t="shared" si="13"/>
        <v>1050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40</v>
      </c>
      <c r="B246" s="181">
        <f>'Données projet'!D224</f>
        <v>35</v>
      </c>
      <c r="C246" s="193">
        <f>60*'Données projet'!E224+13.8*('Données projet'!F224+'Données projet'!G224)+10*'Données projet'!H224</f>
        <v>30</v>
      </c>
      <c r="D246" s="179">
        <f t="shared" si="13"/>
        <v>1050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45</v>
      </c>
      <c r="B247" s="181">
        <f>'Données projet'!D225</f>
        <v>24</v>
      </c>
      <c r="C247" s="193">
        <f>60*'Données projet'!E225+13.8*('Données projet'!F225+'Données projet'!G225)+10*'Données projet'!H225</f>
        <v>35</v>
      </c>
      <c r="D247" s="179">
        <f t="shared" si="13"/>
        <v>840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50</v>
      </c>
      <c r="B248" s="181">
        <f>'Données projet'!D226</f>
        <v>19</v>
      </c>
      <c r="C248" s="193">
        <f>60*'Données projet'!E226+13.8*('Données projet'!F226+'Données projet'!G226)+10*'Données projet'!H226</f>
        <v>35</v>
      </c>
      <c r="D248" s="179">
        <f t="shared" si="13"/>
        <v>665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55</v>
      </c>
      <c r="B249" s="181">
        <f>'Données projet'!D227</f>
        <v>16</v>
      </c>
      <c r="C249" s="193">
        <f>60*'Données projet'!E227+13.8*('Données projet'!F227+'Données projet'!G227)+10*'Données projet'!H227</f>
        <v>40</v>
      </c>
      <c r="D249" s="179">
        <f t="shared" si="13"/>
        <v>640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60</v>
      </c>
      <c r="B250" s="181">
        <f>'Données projet'!D228</f>
        <v>14</v>
      </c>
      <c r="C250" s="193">
        <f>60*'Données projet'!E228+13.8*('Données projet'!F228+'Données projet'!G228)+10*'Données projet'!H228</f>
        <v>40</v>
      </c>
      <c r="D250" s="179">
        <f t="shared" si="13"/>
        <v>560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65</v>
      </c>
      <c r="B251" s="181">
        <f>'Données projet'!D229</f>
        <v>13</v>
      </c>
      <c r="C251" s="193">
        <f>60*'Données projet'!E229+13.8*('Données projet'!F229+'Données projet'!G229)+10*'Données projet'!H229</f>
        <v>45</v>
      </c>
      <c r="D251" s="179">
        <f t="shared" si="13"/>
        <v>585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70</v>
      </c>
      <c r="B252" s="181">
        <f>'Données projet'!D230</f>
        <v>13</v>
      </c>
      <c r="C252" s="193">
        <f>60*'Données projet'!E230+13.8*('Données projet'!F230+'Données projet'!G230)+10*'Données projet'!H230</f>
        <v>45</v>
      </c>
      <c r="D252" s="179">
        <f t="shared" si="13"/>
        <v>585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75</v>
      </c>
      <c r="B253" s="181">
        <f>'Données projet'!D231</f>
        <v>12</v>
      </c>
      <c r="C253" s="193">
        <f>60*'Données projet'!E231+13.8*('Données projet'!F231+'Données projet'!G231)+10*'Données projet'!H231</f>
        <v>50</v>
      </c>
      <c r="D253" s="179">
        <f t="shared" si="13"/>
        <v>600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80</v>
      </c>
      <c r="B254" s="181">
        <f>'Données projet'!D232</f>
        <v>330</v>
      </c>
      <c r="C254" s="193">
        <f>60*'Données projet'!E232+13.8*('Données projet'!F232+'Données projet'!G232)+10*'Données projet'!H232</f>
        <v>50</v>
      </c>
      <c r="D254" s="179">
        <f t="shared" si="13"/>
        <v>16500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>
        <f>60*'Données projet'!E233+13.8*('Données projet'!F233+'Données projet'!G233)+10*'Données projet'!H233</f>
        <v>0</v>
      </c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>
        <f>60*'Données projet'!E234+13.8*('Données projet'!F234+'Données projet'!G234)+10*'Données projet'!H234</f>
        <v>0</v>
      </c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>
        <f>60*'Données projet'!E235+13.8*('Données projet'!F235+'Données projet'!G235)+10*'Données projet'!H235</f>
        <v>0</v>
      </c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>
        <f>60*'Données projet'!E236+13.8*('Données projet'!F236+'Données projet'!G236)+10*'Données projet'!H236</f>
        <v>0</v>
      </c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>
        <f>60*'Données projet'!E237+13.8*('Données projet'!F237+'Données projet'!G237)+10*'Données projet'!H237</f>
        <v>0</v>
      </c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>Merisier</v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8" t="s">
        <v>132</v>
      </c>
      <c r="C265" s="197" t="s">
        <v>132</v>
      </c>
      <c r="D265" s="196" t="s">
        <v>132</v>
      </c>
      <c r="E265" s="193">
        <v>2750.11</v>
      </c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15</v>
      </c>
      <c r="B271" s="181">
        <f>'Données projet'!D244</f>
        <v>3</v>
      </c>
      <c r="C271" s="193">
        <f>80*'Données projet'!E244+13.8*('Données projet'!F244+'Données projet'!G244)+10*'Données projet'!H244</f>
        <v>10</v>
      </c>
      <c r="D271" s="179">
        <f>B271*C271</f>
        <v>30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20</v>
      </c>
      <c r="B272" s="181">
        <f>'Données projet'!D245</f>
        <v>25</v>
      </c>
      <c r="C272" s="193">
        <f>80*'Données projet'!E245+13.8*('Données projet'!F245+'Données projet'!G245)+10*'Données projet'!H245</f>
        <v>24</v>
      </c>
      <c r="D272" s="179">
        <f t="shared" ref="D272:D290" si="14">B272*C272</f>
        <v>600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25</v>
      </c>
      <c r="B273" s="181">
        <f>'Données projet'!D246</f>
        <v>27</v>
      </c>
      <c r="C273" s="193">
        <f>80*'Données projet'!E246+13.8*('Données projet'!F246+'Données projet'!G246)+10*'Données projet'!H246</f>
        <v>24</v>
      </c>
      <c r="D273" s="179">
        <f t="shared" si="14"/>
        <v>648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31</v>
      </c>
      <c r="B274" s="181">
        <f>'Données projet'!D247</f>
        <v>36</v>
      </c>
      <c r="C274" s="193">
        <f>80*'Données projet'!E247+13.8*('Données projet'!F247+'Données projet'!G247)+10*'Données projet'!H247</f>
        <v>31</v>
      </c>
      <c r="D274" s="179">
        <f t="shared" si="14"/>
        <v>1116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37</v>
      </c>
      <c r="B275" s="181">
        <f>'Données projet'!D248</f>
        <v>36</v>
      </c>
      <c r="C275" s="193">
        <f>80*'Données projet'!E248+13.8*('Données projet'!F248+'Données projet'!G248)+10*'Données projet'!H248</f>
        <v>31</v>
      </c>
      <c r="D275" s="179">
        <f t="shared" si="14"/>
        <v>1116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44</v>
      </c>
      <c r="B276" s="181">
        <f>'Données projet'!D249</f>
        <v>43</v>
      </c>
      <c r="C276" s="193">
        <f>80*'Données projet'!E249+13.8*('Données projet'!F249+'Données projet'!G249)+10*'Données projet'!H249</f>
        <v>38</v>
      </c>
      <c r="D276" s="179">
        <f t="shared" si="14"/>
        <v>1634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52</v>
      </c>
      <c r="B277" s="181">
        <f>'Données projet'!D250</f>
        <v>48</v>
      </c>
      <c r="C277" s="193">
        <f>80*'Données projet'!E250+13.8*('Données projet'!F250+'Données projet'!G250)+10*'Données projet'!H250</f>
        <v>38</v>
      </c>
      <c r="D277" s="179">
        <f t="shared" si="14"/>
        <v>1824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60</v>
      </c>
      <c r="B278" s="181">
        <f>'Données projet'!D251</f>
        <v>47</v>
      </c>
      <c r="C278" s="193">
        <f>80*'Données projet'!E251+13.8*('Données projet'!F251+'Données projet'!G251)+10*'Données projet'!H251</f>
        <v>52</v>
      </c>
      <c r="D278" s="179">
        <f t="shared" si="14"/>
        <v>2444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70</v>
      </c>
      <c r="B279" s="181">
        <f>'Données projet'!D252</f>
        <v>328</v>
      </c>
      <c r="C279" s="193">
        <f>80*'Données projet'!E252+13.8*('Données projet'!F252+'Données projet'!G252)+10*'Données projet'!H252</f>
        <v>59</v>
      </c>
      <c r="D279" s="179">
        <f t="shared" si="14"/>
        <v>19352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>
        <f>80*'Données projet'!E253+13.8*('Données projet'!F253+'Données projet'!G253)+10*'Données projet'!H253</f>
        <v>0</v>
      </c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>
        <f>80*'Données projet'!E254+13.8*('Données projet'!F254+'Données projet'!G254)+10*'Données projet'!H254</f>
        <v>0</v>
      </c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>
        <f>80*'Données projet'!E255+13.8*('Données projet'!F255+'Données projet'!G255)+10*'Données projet'!H255</f>
        <v>0</v>
      </c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>
        <f>80*'Données projet'!E256+13.8*('Données projet'!F256+'Données projet'!G256)+10*'Données projet'!H256</f>
        <v>0</v>
      </c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>
        <f>80*'Données projet'!E257+13.8*('Données projet'!F257+'Données projet'!G257)+10*'Données projet'!H257</f>
        <v>0</v>
      </c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>
        <f>80*'Données projet'!E258+13.8*('Données projet'!F258+'Données projet'!G258)+10*'Données projet'!H258</f>
        <v>0</v>
      </c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>
        <f>80*'Données projet'!E259+13.8*('Données projet'!F259+'Données projet'!G259)+10*'Données projet'!H259</f>
        <v>0</v>
      </c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>
        <f>60*'Données projet'!E260+13.8*('Données projet'!F260+'Données projet'!G260)+10*'Données projet'!H260</f>
        <v>0</v>
      </c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>
        <f>60*'Données projet'!E261+13.8*('Données projet'!F261+'Données projet'!G261)+10*'Données projet'!H261</f>
        <v>0</v>
      </c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>
        <f>60*'Données projet'!E262+13.8*('Données projet'!F262+'Données projet'!G262)+10*'Données projet'!H262</f>
        <v>0</v>
      </c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>
        <f>60*'Données projet'!E263+13.8*('Données projet'!F263+'Données projet'!G263)+10*'Données projet'!H263</f>
        <v>0</v>
      </c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>Tremble</v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8" t="s">
        <v>132</v>
      </c>
      <c r="C296" s="197" t="s">
        <v>132</v>
      </c>
      <c r="D296" s="196" t="s">
        <v>132</v>
      </c>
      <c r="E296" s="193">
        <v>2442.91</v>
      </c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10</v>
      </c>
      <c r="B302" s="181">
        <f>'Données projet'!D270</f>
        <v>7</v>
      </c>
      <c r="C302" s="191">
        <f>25*'Données projet'!E270+13.8*('Données projet'!F270+'Données projet'!G270)+10*'Données projet'!H270</f>
        <v>10</v>
      </c>
      <c r="D302" s="182">
        <f>B302*C302</f>
        <v>70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15</v>
      </c>
      <c r="B303" s="181">
        <f>'Données projet'!D271</f>
        <v>42</v>
      </c>
      <c r="C303" s="191">
        <f>25*'Données projet'!E271+13.8*('Données projet'!F271+'Données projet'!G271)+10*'Données projet'!H271</f>
        <v>10</v>
      </c>
      <c r="D303" s="182">
        <f t="shared" ref="D303:D321" si="15">B303*C303</f>
        <v>420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20</v>
      </c>
      <c r="B304" s="181">
        <f>'Données projet'!D272</f>
        <v>42</v>
      </c>
      <c r="C304" s="191">
        <f>25*'Données projet'!E272+13.8*('Données projet'!F272+'Données projet'!G272)+10*'Données projet'!H272</f>
        <v>10</v>
      </c>
      <c r="D304" s="182">
        <f t="shared" si="15"/>
        <v>420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25</v>
      </c>
      <c r="B305" s="181">
        <f>'Données projet'!D273</f>
        <v>42</v>
      </c>
      <c r="C305" s="191">
        <f>25*'Données projet'!E273+13.8*('Données projet'!F273+'Données projet'!G273)+10*'Données projet'!H273</f>
        <v>10</v>
      </c>
      <c r="D305" s="182">
        <f t="shared" si="15"/>
        <v>420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30</v>
      </c>
      <c r="B306" s="181">
        <f>'Données projet'!D274</f>
        <v>42</v>
      </c>
      <c r="C306" s="191">
        <f>25*'Données projet'!E274+13.8*('Données projet'!F274+'Données projet'!G274)+10*'Données projet'!H274</f>
        <v>13</v>
      </c>
      <c r="D306" s="182">
        <f t="shared" si="15"/>
        <v>546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35</v>
      </c>
      <c r="B307" s="181">
        <f>'Données projet'!D275</f>
        <v>42</v>
      </c>
      <c r="C307" s="191">
        <f>25*'Données projet'!E275+13.8*('Données projet'!F275+'Données projet'!G275)+10*'Données projet'!H275</f>
        <v>13</v>
      </c>
      <c r="D307" s="182">
        <f t="shared" si="15"/>
        <v>546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40</v>
      </c>
      <c r="B308" s="181">
        <f>'Données projet'!D276</f>
        <v>40</v>
      </c>
      <c r="C308" s="191">
        <f>25*'Données projet'!E276+13.8*('Données projet'!F276+'Données projet'!G276)+10*'Données projet'!H276</f>
        <v>14.5</v>
      </c>
      <c r="D308" s="182">
        <f t="shared" si="15"/>
        <v>580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45</v>
      </c>
      <c r="B309" s="181">
        <f>'Données projet'!D277</f>
        <v>26</v>
      </c>
      <c r="C309" s="191">
        <f>25*'Données projet'!E277+13.8*('Données projet'!F277+'Données projet'!G277)+10*'Données projet'!H277</f>
        <v>14.5</v>
      </c>
      <c r="D309" s="182">
        <f t="shared" si="15"/>
        <v>377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50</v>
      </c>
      <c r="B310" s="181">
        <f>'Données projet'!D278</f>
        <v>21</v>
      </c>
      <c r="C310" s="191">
        <f>25*'Données projet'!E278+13.8*('Données projet'!F278+'Données projet'!G278)+10*'Données projet'!H278</f>
        <v>16</v>
      </c>
      <c r="D310" s="182">
        <f t="shared" si="15"/>
        <v>336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55</v>
      </c>
      <c r="B311" s="181">
        <f>'Données projet'!D279</f>
        <v>18</v>
      </c>
      <c r="C311" s="191">
        <f>25*'Données projet'!E279+13.8*('Données projet'!F279+'Données projet'!G279)+10*'Données projet'!H279</f>
        <v>16</v>
      </c>
      <c r="D311" s="182">
        <f t="shared" si="15"/>
        <v>288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60</v>
      </c>
      <c r="B312" s="181">
        <f>'Données projet'!D280</f>
        <v>17</v>
      </c>
      <c r="C312" s="191">
        <f>25*'Données projet'!E280+13.8*('Données projet'!F280+'Données projet'!G280)+10*'Données projet'!H280</f>
        <v>17.5</v>
      </c>
      <c r="D312" s="182">
        <f t="shared" si="15"/>
        <v>297.5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65</v>
      </c>
      <c r="B313" s="181">
        <f>'Données projet'!D281</f>
        <v>16</v>
      </c>
      <c r="C313" s="191">
        <f>25*'Données projet'!E281+13.8*('Données projet'!F281+'Données projet'!G281)+10*'Données projet'!H281</f>
        <v>19</v>
      </c>
      <c r="D313" s="182">
        <f t="shared" si="15"/>
        <v>304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70</v>
      </c>
      <c r="B314" s="181">
        <f>'Données projet'!D282</f>
        <v>15</v>
      </c>
      <c r="C314" s="191">
        <f>25*'Données projet'!E282+13.8*('Données projet'!F282+'Données projet'!G282)+10*'Données projet'!H282</f>
        <v>20.5</v>
      </c>
      <c r="D314" s="182">
        <f t="shared" si="15"/>
        <v>307.5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75</v>
      </c>
      <c r="B315" s="181">
        <f>'Données projet'!D283</f>
        <v>14</v>
      </c>
      <c r="C315" s="191">
        <f>25*'Données projet'!E283+13.8*('Données projet'!F283+'Données projet'!G283)+10*'Données projet'!H283</f>
        <v>22</v>
      </c>
      <c r="D315" s="182">
        <f t="shared" si="15"/>
        <v>308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80</v>
      </c>
      <c r="B316" s="181">
        <f>'Données projet'!D284</f>
        <v>381</v>
      </c>
      <c r="C316" s="191">
        <f>25*'Données projet'!E284+13.8*('Données projet'!F284+'Données projet'!G284)+10*'Données projet'!H284</f>
        <v>22</v>
      </c>
      <c r="D316" s="182">
        <f t="shared" si="15"/>
        <v>8382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>
        <f>25*'Données projet'!E285+13.8*('Données projet'!F285+'Données projet'!G285)+10*'Données projet'!H285</f>
        <v>0</v>
      </c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>
        <f>25*'Données projet'!E286+13.8*('Données projet'!F286+'Données projet'!G286)+10*'Données projet'!H286</f>
        <v>0</v>
      </c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>
        <f>25*'Données projet'!E287+13.8*('Données projet'!F287+'Données projet'!G287)+10*'Données projet'!H287</f>
        <v>0</v>
      </c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>
        <f>25*'Données projet'!E288+13.8*('Données projet'!F288+'Données projet'!G288)+10*'Données projet'!H288</f>
        <v>0</v>
      </c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1">
        <f>25*'Données projet'!E289+13.8*('Données projet'!F289+'Données projet'!G289)+10*'Données projet'!H289</f>
        <v>0</v>
      </c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2023-11-15T15:45:55Z</dcterms:modified>
</cp:coreProperties>
</file>