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4546af64a26a65e/Bureau/"/>
    </mc:Choice>
  </mc:AlternateContent>
  <xr:revisionPtr revIDLastSave="1" documentId="8_{97687C1D-4F88-44D1-866D-51F2D07C8941}" xr6:coauthVersionLast="47" xr6:coauthVersionMax="47" xr10:uidLastSave="{9E6270E8-D2C8-4403-A500-8F6B5ED9FC8C}"/>
  <bookViews>
    <workbookView xWindow="14295" yWindow="0" windowWidth="14610" windowHeight="1558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9" i="6" l="1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41" i="2" a="1"/>
  <c r="DN41" i="2" s="1"/>
  <c r="DN29" i="2" a="1"/>
  <c r="DN29" i="2" s="1"/>
  <c r="DN115" i="2" a="1"/>
  <c r="DN115" i="2" s="1"/>
  <c r="DN177" i="2" a="1"/>
  <c r="DN177" i="2" s="1"/>
  <c r="CS116" i="2" a="1"/>
  <c r="CS116" i="2" s="1"/>
  <c r="EI195" i="2" a="1"/>
  <c r="EI195" i="2" s="1"/>
  <c r="CS137" i="2" a="1"/>
  <c r="CS137" i="2" s="1"/>
  <c r="AH151" i="2" a="1"/>
  <c r="AH151" i="2" s="1"/>
  <c r="CS77" i="2" a="1"/>
  <c r="CS77" i="2" s="1"/>
  <c r="AH166" i="2" a="1"/>
  <c r="AH166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DN103" i="2" l="1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<sst xmlns="http://schemas.openxmlformats.org/spreadsheetml/2006/main" count="1169" uniqueCount="324">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</sst>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1.6113838648047603</c:v>
                </c:pt>
                <c:pt idx="2">
                  <c:v>2.0859285024130032</c:v>
                </c:pt>
                <c:pt idx="3">
                  <c:v>2.7007976976487362</c:v>
                </c:pt>
                <c:pt idx="4">
                  <c:v>3.4976461717576641</c:v>
                </c:pt>
                <c:pt idx="5">
                  <c:v>4.5305382571874757</c:v>
                </c:pt>
                <c:pt idx="6">
                  <c:v>5.8696572815786503</c:v>
                </c:pt>
                <c:pt idx="7">
                  <c:v>32.191377442743281</c:v>
                </c:pt>
                <c:pt idx="8">
                  <c:v>65.232956660322571</c:v>
                </c:pt>
                <c:pt idx="9">
                  <c:v>104.09622805869894</c:v>
                </c:pt>
                <c:pt idx="10">
                  <c:v>141.55695646267782</c:v>
                </c:pt>
                <c:pt idx="11">
                  <c:v>184.96260621942568</c:v>
                </c:pt>
                <c:pt idx="12">
                  <c:v>225.05227380728206</c:v>
                </c:pt>
                <c:pt idx="13">
                  <c:v>268.04314936540453</c:v>
                </c:pt>
                <c:pt idx="14">
                  <c:v>304.76763100544377</c:v>
                </c:pt>
                <c:pt idx="15">
                  <c:v>342.40976043891692</c:v>
                </c:pt>
                <c:pt idx="16">
                  <c:v>376.91934460880231</c:v>
                </c:pt>
                <c:pt idx="17">
                  <c:v>411.36013827979622</c:v>
                </c:pt>
                <c:pt idx="18">
                  <c:v>440.6867120524239</c:v>
                </c:pt>
                <c:pt idx="19">
                  <c:v>463.91582839928157</c:v>
                </c:pt>
                <c:pt idx="20">
                  <c:v>488.12848932410321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5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5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5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5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5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5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5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5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5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5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5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5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5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5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5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5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5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5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" zoomScale="80" zoomScaleNormal="80" workbookViewId="0">
      <selection activeCell="C26" sqref="C26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7" t="s">
        <v>190</v>
      </c>
      <c r="D1" s="257"/>
      <c r="E1" s="25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7" t="s">
        <v>231</v>
      </c>
      <c r="B5" s="267"/>
      <c r="C5" s="24">
        <v>5.0214999999999996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116</v>
      </c>
      <c r="C9" s="32">
        <v>1</v>
      </c>
      <c r="D9" s="33">
        <f t="shared" ref="D9:D18" si="0">C9*$C$5</f>
        <v>5.0214999999999996</v>
      </c>
      <c r="E9" s="34">
        <v>20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5.0214999999999996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Peuplier Polargo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6</v>
      </c>
      <c r="B36" s="60">
        <v>5</v>
      </c>
      <c r="C36" s="60">
        <v>0</v>
      </c>
      <c r="D36" s="60">
        <v>0</v>
      </c>
      <c r="E36" s="51">
        <v>0.47</v>
      </c>
      <c r="F36" s="51">
        <v>0.21</v>
      </c>
      <c r="G36" s="51"/>
      <c r="H36" s="51">
        <v>0.31</v>
      </c>
      <c r="I36" s="49">
        <f>IFERROR(B36/A36,"")</f>
        <v>0.83333333333333337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7</v>
      </c>
      <c r="B37" s="60">
        <v>29</v>
      </c>
      <c r="C37" s="60">
        <v>0</v>
      </c>
      <c r="D37" s="60">
        <v>0</v>
      </c>
      <c r="E37" s="51">
        <v>0.47</v>
      </c>
      <c r="F37" s="51">
        <v>0.21</v>
      </c>
      <c r="G37" s="51"/>
      <c r="H37" s="51">
        <v>0.31</v>
      </c>
      <c r="I37" s="53">
        <f t="shared" ref="I37:I55" si="1">IF(A37&lt;&gt;0,(B37-(B36-D36))/(A37-A36),"")</f>
        <v>24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8</v>
      </c>
      <c r="B38" s="60">
        <v>60</v>
      </c>
      <c r="C38" s="60">
        <v>0</v>
      </c>
      <c r="D38" s="60">
        <v>0</v>
      </c>
      <c r="E38" s="51">
        <v>0.47</v>
      </c>
      <c r="F38" s="51">
        <v>0.21</v>
      </c>
      <c r="G38" s="51"/>
      <c r="H38" s="51">
        <v>0.31</v>
      </c>
      <c r="I38" s="53">
        <f t="shared" si="1"/>
        <v>31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9</v>
      </c>
      <c r="B39" s="60">
        <v>97</v>
      </c>
      <c r="C39" s="60">
        <v>0</v>
      </c>
      <c r="D39" s="60">
        <v>0</v>
      </c>
      <c r="E39" s="51">
        <v>0.47</v>
      </c>
      <c r="F39" s="51">
        <v>0.21</v>
      </c>
      <c r="G39" s="51"/>
      <c r="H39" s="51">
        <v>0.31</v>
      </c>
      <c r="I39" s="49">
        <f t="shared" si="1"/>
        <v>37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10</v>
      </c>
      <c r="B40" s="60">
        <v>133</v>
      </c>
      <c r="C40" s="60">
        <v>0</v>
      </c>
      <c r="D40" s="60">
        <v>0</v>
      </c>
      <c r="E40" s="51">
        <v>0.47</v>
      </c>
      <c r="F40" s="51">
        <v>0.21</v>
      </c>
      <c r="G40" s="51"/>
      <c r="H40" s="51">
        <v>0.31</v>
      </c>
      <c r="I40" s="49">
        <f t="shared" si="1"/>
        <v>36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11</v>
      </c>
      <c r="B41" s="60">
        <v>175</v>
      </c>
      <c r="C41" s="60">
        <v>0</v>
      </c>
      <c r="D41" s="60">
        <v>0</v>
      </c>
      <c r="E41" s="51">
        <v>0.47</v>
      </c>
      <c r="F41" s="51">
        <v>0.21</v>
      </c>
      <c r="G41" s="51"/>
      <c r="H41" s="51">
        <v>0.31</v>
      </c>
      <c r="I41" s="53">
        <f t="shared" si="1"/>
        <v>42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12</v>
      </c>
      <c r="B42" s="60">
        <v>214</v>
      </c>
      <c r="C42" s="60">
        <v>0</v>
      </c>
      <c r="D42" s="60">
        <v>0</v>
      </c>
      <c r="E42" s="51">
        <v>0.47</v>
      </c>
      <c r="F42" s="51">
        <v>0.21</v>
      </c>
      <c r="G42" s="51"/>
      <c r="H42" s="51">
        <v>0.31</v>
      </c>
      <c r="I42" s="53">
        <f t="shared" si="1"/>
        <v>39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13</v>
      </c>
      <c r="B43" s="60">
        <v>256</v>
      </c>
      <c r="C43" s="60">
        <v>0</v>
      </c>
      <c r="D43" s="60">
        <v>0</v>
      </c>
      <c r="E43" s="51">
        <v>0.47</v>
      </c>
      <c r="F43" s="51">
        <v>0.21</v>
      </c>
      <c r="G43" s="51"/>
      <c r="H43" s="51">
        <v>0.31</v>
      </c>
      <c r="I43" s="49">
        <f t="shared" si="1"/>
        <v>42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14</v>
      </c>
      <c r="B44" s="60">
        <v>292</v>
      </c>
      <c r="C44" s="60">
        <v>0</v>
      </c>
      <c r="D44" s="60">
        <v>0</v>
      </c>
      <c r="E44" s="51">
        <v>0.47</v>
      </c>
      <c r="F44" s="51">
        <v>0.21</v>
      </c>
      <c r="G44" s="51"/>
      <c r="H44" s="51">
        <v>0.31</v>
      </c>
      <c r="I44" s="49">
        <f t="shared" si="1"/>
        <v>36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15</v>
      </c>
      <c r="B45" s="60">
        <v>329</v>
      </c>
      <c r="C45" s="60">
        <v>0</v>
      </c>
      <c r="D45" s="60">
        <v>0</v>
      </c>
      <c r="E45" s="51">
        <v>0.47</v>
      </c>
      <c r="F45" s="51">
        <v>0.21</v>
      </c>
      <c r="G45" s="51"/>
      <c r="H45" s="51">
        <v>0.31</v>
      </c>
      <c r="I45" s="49">
        <f t="shared" si="1"/>
        <v>37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16</v>
      </c>
      <c r="B46" s="60">
        <v>363</v>
      </c>
      <c r="C46" s="60">
        <v>0</v>
      </c>
      <c r="D46" s="60">
        <v>0</v>
      </c>
      <c r="E46" s="51">
        <v>0.47</v>
      </c>
      <c r="F46" s="51">
        <v>0.21</v>
      </c>
      <c r="G46" s="51"/>
      <c r="H46" s="51">
        <v>0.31</v>
      </c>
      <c r="I46" s="49">
        <f t="shared" si="1"/>
        <v>34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17</v>
      </c>
      <c r="B47" s="60">
        <v>397</v>
      </c>
      <c r="C47" s="60">
        <v>0</v>
      </c>
      <c r="D47" s="60">
        <v>0</v>
      </c>
      <c r="E47" s="51">
        <v>0.47</v>
      </c>
      <c r="F47" s="51">
        <v>0.21</v>
      </c>
      <c r="G47" s="51"/>
      <c r="H47" s="51">
        <v>0.31</v>
      </c>
      <c r="I47" s="49">
        <f t="shared" si="1"/>
        <v>34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18</v>
      </c>
      <c r="B48" s="60">
        <v>426</v>
      </c>
      <c r="C48" s="60">
        <v>0</v>
      </c>
      <c r="D48" s="60">
        <v>0</v>
      </c>
      <c r="E48" s="51">
        <v>0.47</v>
      </c>
      <c r="F48" s="51">
        <v>0.21</v>
      </c>
      <c r="G48" s="51"/>
      <c r="H48" s="51">
        <v>0.31</v>
      </c>
      <c r="I48" s="49">
        <f t="shared" si="1"/>
        <v>29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19</v>
      </c>
      <c r="B49" s="60">
        <v>449</v>
      </c>
      <c r="C49" s="60">
        <v>0</v>
      </c>
      <c r="D49" s="60">
        <v>0</v>
      </c>
      <c r="E49" s="51">
        <v>0.47</v>
      </c>
      <c r="F49" s="51">
        <v>0.21</v>
      </c>
      <c r="G49" s="51"/>
      <c r="H49" s="51">
        <v>0.31</v>
      </c>
      <c r="I49" s="49">
        <f t="shared" si="1"/>
        <v>23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>
        <v>20</v>
      </c>
      <c r="B50" s="50">
        <v>473</v>
      </c>
      <c r="C50" s="50">
        <v>1</v>
      </c>
      <c r="D50" s="50">
        <v>473</v>
      </c>
      <c r="E50" s="51">
        <v>0.47</v>
      </c>
      <c r="F50" s="51">
        <v>0.21</v>
      </c>
      <c r="G50" s="51"/>
      <c r="H50" s="51">
        <v>0.31</v>
      </c>
      <c r="I50" s="49">
        <f t="shared" si="1"/>
        <v>24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/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/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18" sqref="F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42578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42578125" style="4" customWidth="1"/>
    <col min="6" max="7" width="11.42578125" style="4"/>
    <col min="8" max="8" width="10.7109375" style="4" customWidth="1"/>
    <col min="9" max="9" width="9.42578125" style="4" customWidth="1"/>
    <col min="10" max="11" width="10.42578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42578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42578125" style="4" bestFit="1" customWidth="1"/>
    <col min="36" max="36" width="9.42578125" style="4" bestFit="1" customWidth="1"/>
    <col min="37" max="38" width="10.42578125" style="4" bestFit="1" customWidth="1"/>
    <col min="39" max="41" width="10.42578125" style="4" customWidth="1"/>
    <col min="42" max="42" width="9" style="4" bestFit="1" customWidth="1"/>
    <col min="43" max="43" width="10.42578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42578125" style="4" bestFit="1" customWidth="1"/>
    <col min="54" max="54" width="14.28515625" style="4" customWidth="1"/>
    <col min="55" max="55" width="14" style="4" customWidth="1"/>
    <col min="56" max="56" width="10.42578125" style="4" bestFit="1" customWidth="1"/>
    <col min="57" max="57" width="9.42578125" style="4" bestFit="1" customWidth="1"/>
    <col min="58" max="59" width="10.42578125" style="4" bestFit="1" customWidth="1"/>
    <col min="60" max="62" width="10.42578125" style="4" customWidth="1"/>
    <col min="63" max="63" width="9" style="4" bestFit="1" customWidth="1"/>
    <col min="64" max="64" width="10.42578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42578125" style="4" bestFit="1" customWidth="1"/>
    <col min="75" max="75" width="14" style="4" bestFit="1" customWidth="1"/>
    <col min="76" max="76" width="13.85546875" style="4" customWidth="1"/>
    <col min="77" max="77" width="10.42578125" style="4" bestFit="1" customWidth="1"/>
    <col min="78" max="78" width="9.42578125" style="4" bestFit="1" customWidth="1"/>
    <col min="79" max="80" width="10.42578125" style="4" bestFit="1" customWidth="1"/>
    <col min="81" max="83" width="10.42578125" style="4" customWidth="1"/>
    <col min="84" max="84" width="11.42578125" style="4"/>
    <col min="85" max="85" width="10.42578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42578125" style="4" bestFit="1" customWidth="1"/>
    <col min="99" max="99" width="9.42578125" style="4" bestFit="1" customWidth="1"/>
    <col min="100" max="101" width="10.42578125" style="4" bestFit="1" customWidth="1"/>
    <col min="102" max="104" width="10.42578125" style="4" customWidth="1"/>
    <col min="105" max="105" width="9" style="4" bestFit="1" customWidth="1"/>
    <col min="106" max="106" width="10.42578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42578125" style="4" bestFit="1" customWidth="1"/>
    <col min="117" max="117" width="14.28515625" style="4" customWidth="1"/>
    <col min="118" max="118" width="14" style="4" bestFit="1" customWidth="1"/>
    <col min="119" max="119" width="10.42578125" style="4" bestFit="1" customWidth="1"/>
    <col min="120" max="120" width="9.42578125" style="4" bestFit="1" customWidth="1"/>
    <col min="121" max="122" width="10.42578125" style="4" bestFit="1" customWidth="1"/>
    <col min="123" max="125" width="10.42578125" style="4" customWidth="1"/>
    <col min="126" max="126" width="9" style="4" bestFit="1" customWidth="1"/>
    <col min="127" max="127" width="10.42578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42578125" style="4" bestFit="1" customWidth="1"/>
    <col min="138" max="139" width="14" style="4" customWidth="1"/>
    <col min="140" max="140" width="10.42578125" style="4" bestFit="1" customWidth="1"/>
    <col min="141" max="141" width="9.42578125" style="4" bestFit="1" customWidth="1"/>
    <col min="142" max="143" width="10.42578125" style="4" bestFit="1" customWidth="1"/>
    <col min="144" max="146" width="10.42578125" style="4" customWidth="1"/>
    <col min="147" max="147" width="9" style="4" bestFit="1" customWidth="1"/>
    <col min="148" max="148" width="10.42578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42578125" style="4" bestFit="1" customWidth="1"/>
    <col min="162" max="162" width="9.42578125" style="4" bestFit="1" customWidth="1"/>
    <col min="163" max="164" width="10.42578125" style="4" bestFit="1" customWidth="1"/>
    <col min="165" max="167" width="10.42578125" style="4" customWidth="1"/>
    <col min="168" max="168" width="9" style="4" bestFit="1" customWidth="1"/>
    <col min="169" max="169" width="10.42578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42578125" style="4" bestFit="1" customWidth="1"/>
    <col min="180" max="181" width="14" style="4" bestFit="1" customWidth="1"/>
    <col min="182" max="182" width="10.42578125" style="4" bestFit="1" customWidth="1"/>
    <col min="183" max="183" width="9.42578125" style="4" bestFit="1" customWidth="1"/>
    <col min="184" max="185" width="10.42578125" style="4" bestFit="1" customWidth="1"/>
    <col min="186" max="188" width="10.42578125" style="4" customWidth="1"/>
    <col min="189" max="189" width="9" style="4" bestFit="1" customWidth="1"/>
    <col min="190" max="190" width="10.42578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42578125" style="4" bestFit="1" customWidth="1"/>
    <col min="201" max="201" width="14" style="4" customWidth="1"/>
    <col min="202" max="202" width="14.28515625" style="4" customWidth="1"/>
    <col min="203" max="203" width="10.42578125" style="4" bestFit="1" customWidth="1"/>
    <col min="204" max="204" width="9.42578125" style="4" bestFit="1" customWidth="1"/>
    <col min="205" max="206" width="10.42578125" style="4" bestFit="1" customWidth="1"/>
    <col min="207" max="209" width="10.42578125" style="4" customWidth="1"/>
    <col min="210" max="210" width="9" style="4" bestFit="1" customWidth="1"/>
    <col min="211" max="211" width="10.42578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Peuplier Polargo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/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/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/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/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196.48981288416093</v>
      </c>
      <c r="T3" s="59">
        <f>IF('Données projet'!E9&gt;30,$R$33-$H$33,LOOKUP('Données projet'!$E$9,$A$3:$A$203,R3:R203)-LOOKUP('Données projet'!$E$9,$A$3:$A$203,$H$3:$H$203))</f>
        <v>512.57293376854773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0.83333333333333337</v>
      </c>
      <c r="N4" s="13">
        <f>IF('Données projet'!$A$36&gt;35,N3+M4-V3,IF(A4&lt;'Données projet'!$A$36,$K$205^A4,IF(A4='Données projet'!$A$36,'Données projet'!$B$36,N3+M4-V3)))</f>
        <v>1.3076604860118306</v>
      </c>
      <c r="O4" s="13">
        <f>N4*VLOOKUP('Données projet'!$B$9,Paramètres!$A$1:$I$89,3,0)*VLOOKUP('Données projet'!$B$9,Paramètres!$A$1:$I$89,5,0)</f>
        <v>0.62218485924442901</v>
      </c>
      <c r="P4" s="13">
        <f>EXP(-1.0587+0.8836*LN(O4)+0.284)</f>
        <v>0.30301161815543348</v>
      </c>
      <c r="Q4" s="20">
        <f t="shared" ref="Q4:Q34" si="2">(O4+P4)*0.475*44/12</f>
        <v>1.6113838648047603</v>
      </c>
      <c r="R4" s="59">
        <f t="shared" si="0"/>
        <v>259.50027275369359</v>
      </c>
      <c r="S4" s="59">
        <f ca="1">AVERAGE(OFFSET($R$3,0,0,'Données projet'!$E$9+1,1))-AVERAGE(OFFSET($H$3,0,0,'Données projet'!$E$9+1,1))</f>
        <v>196.48981288416093</v>
      </c>
      <c r="T4" s="59">
        <f>$T$3</f>
        <v>512.57293376854773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0.83333333333333337</v>
      </c>
      <c r="N5" s="13">
        <f>IF('Données projet'!$A$36&gt;35,N4+M5-V4,IF(A5&lt;'Données projet'!$A$36,$K$205^A5,IF(A5='Données projet'!$A$36,'Données projet'!$B$36,N4+M5-V4)))</f>
        <v>1.7099759466766971</v>
      </c>
      <c r="O5" s="13">
        <f>N5*VLOOKUP('Données projet'!$B$9,Paramètres!$A$1:$I$89,3,0)*VLOOKUP('Données projet'!$B$9,Paramètres!$A$1:$I$89,5,0)</f>
        <v>0.81360655542877247</v>
      </c>
      <c r="P5" s="13">
        <f t="shared" ref="P5:P68" si="33">EXP(-1.0587+0.8836*LN(O5)+0.284)</f>
        <v>0.3840557426074015</v>
      </c>
      <c r="Q5" s="20">
        <f t="shared" si="2"/>
        <v>2.0859285024130032</v>
      </c>
      <c r="R5" s="59">
        <f t="shared" si="0"/>
        <v>261.19703961352417</v>
      </c>
      <c r="S5" s="59">
        <f ca="1">AVERAGE(OFFSET($R$3,0,0,'Données projet'!$E$9+1,1))-AVERAGE(OFFSET($H$3,0,0,'Données projet'!$E$9+1,1))</f>
        <v>196.48981288416093</v>
      </c>
      <c r="T5" s="59">
        <f t="shared" ref="T5:T68" si="34">$T$3</f>
        <v>512.57293376854773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0.83333333333333337</v>
      </c>
      <c r="N6" s="13">
        <f>IF('Données projet'!$A$36&gt;35,N5+M6-V5,IF(A6&lt;'Données projet'!$A$36,$K$205^A6,IF(A6='Données projet'!$A$36,'Données projet'!$B$36,N5+M6-V5)))</f>
        <v>2.2360679774997898</v>
      </c>
      <c r="O6" s="13">
        <f>N6*VLOOKUP('Données projet'!$B$9,Paramètres!$A$1:$I$89,3,0)*VLOOKUP('Données projet'!$B$9,Paramètres!$A$1:$I$89,5,0)</f>
        <v>1.0639211436944001</v>
      </c>
      <c r="P6" s="13">
        <f t="shared" si="33"/>
        <v>0.48677609897473068</v>
      </c>
      <c r="Q6" s="20">
        <f t="shared" si="2"/>
        <v>2.7007976976487362</v>
      </c>
      <c r="R6" s="59">
        <f t="shared" si="0"/>
        <v>263.03413103098205</v>
      </c>
      <c r="S6" s="59">
        <f ca="1">AVERAGE(OFFSET($R$3,0,0,'Données projet'!$E$9+1,1))-AVERAGE(OFFSET($H$3,0,0,'Données projet'!$E$9+1,1))</f>
        <v>196.48981288416093</v>
      </c>
      <c r="T6" s="59">
        <f t="shared" si="34"/>
        <v>512.57293376854773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0.83333333333333337</v>
      </c>
      <c r="N7" s="13">
        <f>IF('Données projet'!$A$36&gt;35,N6+M7-V6,IF(A7&lt;'Données projet'!$A$36,$K$205^A7,IF(A7='Données projet'!$A$36,'Données projet'!$B$36,N6+M7-V6)))</f>
        <v>2.9240177382128665</v>
      </c>
      <c r="O7" s="13">
        <f>N7*VLOOKUP('Données projet'!$B$9,Paramètres!$A$1:$I$89,3,0)*VLOOKUP('Données projet'!$B$9,Paramètres!$A$1:$I$89,5,0)</f>
        <v>1.3912476398416818</v>
      </c>
      <c r="P7" s="13">
        <f t="shared" si="33"/>
        <v>0.61697025781822101</v>
      </c>
      <c r="Q7" s="20">
        <f t="shared" si="2"/>
        <v>3.4976461717576641</v>
      </c>
      <c r="R7" s="59">
        <f t="shared" si="0"/>
        <v>265.05320172731319</v>
      </c>
      <c r="S7" s="59">
        <f ca="1">AVERAGE(OFFSET($R$3,0,0,'Données projet'!$E$9+1,1))-AVERAGE(OFFSET($H$3,0,0,'Données projet'!$E$9+1,1))</f>
        <v>196.48981288416093</v>
      </c>
      <c r="T7" s="59">
        <f t="shared" si="34"/>
        <v>512.57293376854773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0.83333333333333337</v>
      </c>
      <c r="N8" s="13">
        <f>IF('Données projet'!$A$36&gt;35,N7+M8-V7,IF(A8&lt;'Données projet'!$A$36,$K$205^A8,IF(A8='Données projet'!$A$36,'Données projet'!$B$36,N7+M8-V7)))</f>
        <v>3.8236224566586507</v>
      </c>
      <c r="O8" s="13">
        <f>N8*VLOOKUP('Données projet'!$B$9,Paramètres!$A$1:$I$89,3,0)*VLOOKUP('Données projet'!$B$9,Paramètres!$A$1:$I$89,5,0)</f>
        <v>1.8192795648781861</v>
      </c>
      <c r="P8" s="13">
        <f t="shared" si="33"/>
        <v>0.78198642010983865</v>
      </c>
      <c r="Q8" s="20">
        <f t="shared" si="2"/>
        <v>4.5305382571874757</v>
      </c>
      <c r="R8" s="59">
        <f t="shared" si="0"/>
        <v>267.30831603496523</v>
      </c>
      <c r="S8" s="59">
        <f ca="1">AVERAGE(OFFSET($R$3,0,0,'Données projet'!$E$9+1,1))-AVERAGE(OFFSET($H$3,0,0,'Données projet'!$E$9+1,1))</f>
        <v>196.48981288416093</v>
      </c>
      <c r="T8" s="59">
        <f t="shared" si="34"/>
        <v>512.57293376854773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>
        <f>VLOOKUP(A9,'Données projet'!$A$35:$I$55,2,0)</f>
        <v>5</v>
      </c>
      <c r="L9" s="12">
        <f>VLOOKUP(A9,'Données projet'!$A$35:$I$55,9,0)</f>
        <v>0.83333333333333337</v>
      </c>
      <c r="M9" s="12">
        <f t="array" ref="M9">INDEX(L:L,MIN(IF(ISNUMBER(L9:L205),ROW(L9:L205),"")))</f>
        <v>0.83333333333333337</v>
      </c>
      <c r="N9" s="13">
        <f>IF('Données projet'!$A$36&gt;35,N8+M9-V8,IF(A9&lt;'Données projet'!$A$36,$K$205^A9,IF(A9='Données projet'!$A$36,'Données projet'!$B$36,N8+M9-V8)))</f>
        <v>5</v>
      </c>
      <c r="O9" s="13">
        <f>N9*VLOOKUP('Données projet'!$B$9,Paramètres!$A$1:$I$89,3,0)*VLOOKUP('Données projet'!$B$9,Paramètres!$A$1:$I$89,5,0)</f>
        <v>2.379</v>
      </c>
      <c r="P9" s="13">
        <f t="shared" si="33"/>
        <v>0.99113815210257505</v>
      </c>
      <c r="Q9" s="20">
        <f t="shared" si="2"/>
        <v>5.8696572815786503</v>
      </c>
      <c r="R9" s="59">
        <f t="shared" si="0"/>
        <v>269.86965728157867</v>
      </c>
      <c r="S9" s="59">
        <f ca="1">AVERAGE(OFFSET($R$3,0,0,'Données projet'!$E$9+1,1))-AVERAGE(OFFSET($H$3,0,0,'Données projet'!$E$9+1,1))</f>
        <v>196.48981288416093</v>
      </c>
      <c r="T9" s="59">
        <f t="shared" si="34"/>
        <v>512.57293376854773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0.28199999999999997</v>
      </c>
      <c r="X9" s="16">
        <f>IF(ISNA(VLOOKUP(A9,'Données projet'!$A$35:$I$55,6,0)),0%,VLOOKUP(A9,'Données projet'!$A$35:$I$55,6,0)*VLOOKUP('Données projet'!$B$9,Paramètres!$A$1:$I$89,7,0))</f>
        <v>0.126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>
        <f>VLOOKUP(A10,'Données projet'!$A$35:$I$55,2,0)</f>
        <v>29</v>
      </c>
      <c r="L10" s="12">
        <f>VLOOKUP(A10,'Données projet'!$A$35:$I$55,9,0)</f>
        <v>24</v>
      </c>
      <c r="M10" s="12">
        <f t="array" ref="M10">INDEX(L:L,MIN(IF(ISNUMBER(L10:L206),ROW(L10:L206),"")))</f>
        <v>24</v>
      </c>
      <c r="N10" s="13">
        <f>IF('Données projet'!$A$36&gt;35,N9+M10-V9,IF(A10&lt;'Données projet'!$A$36,$K$205^A10,IF(A10='Données projet'!$A$36,'Données projet'!$B$36,N9+M10-V9)))</f>
        <v>29</v>
      </c>
      <c r="O10" s="13">
        <f>N10*VLOOKUP('Données projet'!$B$9,Paramètres!$A$1:$I$89,3,0)*VLOOKUP('Données projet'!$B$9,Paramètres!$A$1:$I$89,5,0)</f>
        <v>13.798200000000001</v>
      </c>
      <c r="P10" s="13">
        <f t="shared" si="33"/>
        <v>4.6848875269339416</v>
      </c>
      <c r="Q10" s="20">
        <f t="shared" si="2"/>
        <v>32.191377442743281</v>
      </c>
      <c r="R10" s="59">
        <f t="shared" si="0"/>
        <v>297.41359966496549</v>
      </c>
      <c r="S10" s="59">
        <f ca="1">AVERAGE(OFFSET($R$3,0,0,'Données projet'!$E$9+1,1))-AVERAGE(OFFSET($H$3,0,0,'Données projet'!$E$9+1,1))</f>
        <v>196.48981288416093</v>
      </c>
      <c r="T10" s="59">
        <f t="shared" si="34"/>
        <v>512.57293376854773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0.28199999999999997</v>
      </c>
      <c r="X10" s="16">
        <f>IF(ISNA(VLOOKUP(A10,'Données projet'!$A$35:$I$55,6,0)),0%,VLOOKUP(A10,'Données projet'!$A$35:$I$55,6,0)*VLOOKUP('Données projet'!$B$9,Paramètres!$A$1:$I$89,7,0))</f>
        <v>0.126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>
        <f>VLOOKUP(A11,'Données projet'!$A$35:$I$55,2,0)</f>
        <v>60</v>
      </c>
      <c r="L11" s="12">
        <f>VLOOKUP(A11,'Données projet'!$A$35:$I$55,9,0)</f>
        <v>31</v>
      </c>
      <c r="M11" s="12">
        <f t="array" ref="M11">INDEX(L:L,MIN(IF(ISNUMBER(L11:L207),ROW(L11:L207),"")))</f>
        <v>31</v>
      </c>
      <c r="N11" s="13">
        <f>IF('Données projet'!$A$36&gt;35,N10+M11-V10,IF(A11&lt;'Données projet'!$A$36,$K$205^A11,IF(A11='Données projet'!$A$36,'Données projet'!$B$36,N10+M11-V10)))</f>
        <v>60</v>
      </c>
      <c r="O11" s="13">
        <f>N11*VLOOKUP('Données projet'!$B$9,Paramètres!$A$1:$I$89,3,0)*VLOOKUP('Données projet'!$B$9,Paramètres!$A$1:$I$89,5,0)</f>
        <v>28.548000000000002</v>
      </c>
      <c r="P11" s="13">
        <f t="shared" si="33"/>
        <v>8.9063291829603273</v>
      </c>
      <c r="Q11" s="20">
        <f t="shared" si="2"/>
        <v>65.232956660322571</v>
      </c>
      <c r="R11" s="59">
        <f t="shared" si="0"/>
        <v>331.677401104767</v>
      </c>
      <c r="S11" s="59">
        <f ca="1">AVERAGE(OFFSET($R$3,0,0,'Données projet'!$E$9+1,1))-AVERAGE(OFFSET($H$3,0,0,'Données projet'!$E$9+1,1))</f>
        <v>196.48981288416093</v>
      </c>
      <c r="T11" s="59">
        <f t="shared" si="34"/>
        <v>512.57293376854773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0.28199999999999997</v>
      </c>
      <c r="X11" s="16">
        <f>IF(ISNA(VLOOKUP(A11,'Données projet'!$A$35:$I$55,6,0)),0%,VLOOKUP(A11,'Données projet'!$A$35:$I$55,6,0)*VLOOKUP('Données projet'!$B$9,Paramètres!$A$1:$I$89,7,0))</f>
        <v>0.126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>
        <f>VLOOKUP(A12,'Données projet'!$A$35:$I$55,2,0)</f>
        <v>97</v>
      </c>
      <c r="L12" s="12">
        <f>VLOOKUP(A12,'Données projet'!$A$35:$I$55,9,0)</f>
        <v>37</v>
      </c>
      <c r="M12" s="12">
        <f t="array" ref="M12">INDEX(L:L,MIN(IF(ISNUMBER(L12:L208),ROW(L12:L208),"")))</f>
        <v>37</v>
      </c>
      <c r="N12" s="13">
        <f>IF('Données projet'!$A$36&gt;35,N11+M12-V11,IF(A12&lt;'Données projet'!$A$36,$K$205^A12,IF(A12='Données projet'!$A$36,'Données projet'!$B$36,N11+M12-V11)))</f>
        <v>97</v>
      </c>
      <c r="O12" s="13">
        <f>N12*VLOOKUP('Données projet'!$B$9,Paramètres!$A$1:$I$89,3,0)*VLOOKUP('Données projet'!$B$9,Paramètres!$A$1:$I$89,5,0)</f>
        <v>46.1526</v>
      </c>
      <c r="P12" s="13">
        <f t="shared" si="33"/>
        <v>13.615569220305609</v>
      </c>
      <c r="Q12" s="20">
        <f t="shared" si="2"/>
        <v>104.09622805869894</v>
      </c>
      <c r="R12" s="59">
        <f t="shared" si="0"/>
        <v>371.76289472536564</v>
      </c>
      <c r="S12" s="59">
        <f ca="1">AVERAGE(OFFSET($R$3,0,0,'Données projet'!$E$9+1,1))-AVERAGE(OFFSET($H$3,0,0,'Données projet'!$E$9+1,1))</f>
        <v>196.48981288416093</v>
      </c>
      <c r="T12" s="59">
        <f t="shared" si="34"/>
        <v>512.57293376854773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0.28199999999999997</v>
      </c>
      <c r="X12" s="16">
        <f>IF(ISNA(VLOOKUP(A12,'Données projet'!$A$35:$I$55,6,0)),0%,VLOOKUP(A12,'Données projet'!$A$35:$I$55,6,0)*VLOOKUP('Données projet'!$B$9,Paramètres!$A$1:$I$89,7,0))</f>
        <v>0.126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133</v>
      </c>
      <c r="L13" s="12">
        <f>VLOOKUP(A13,'Données projet'!$A$35:$I$55,9,0)</f>
        <v>36</v>
      </c>
      <c r="M13" s="12">
        <f t="array" ref="M13">INDEX(L:L,MIN(IF(ISNUMBER(L13:L209),ROW(L13:L209),"")))</f>
        <v>36</v>
      </c>
      <c r="N13" s="13">
        <f>IF('Données projet'!$A$36&gt;35,N12+M13-V12,IF(A13&lt;'Données projet'!$A$36,$K$205^A13,IF(A13='Données projet'!$A$36,'Données projet'!$B$36,N12+M13-V12)))</f>
        <v>133</v>
      </c>
      <c r="O13" s="13">
        <f>N13*VLOOKUP('Données projet'!$B$9,Paramètres!$A$1:$I$89,3,0)*VLOOKUP('Données projet'!$B$9,Paramètres!$A$1:$I$89,5,0)</f>
        <v>63.281399999999998</v>
      </c>
      <c r="P13" s="13">
        <f t="shared" si="33"/>
        <v>17.995321413977699</v>
      </c>
      <c r="Q13" s="20">
        <f t="shared" si="2"/>
        <v>141.55695646267782</v>
      </c>
      <c r="R13" s="59">
        <f t="shared" si="0"/>
        <v>410.44584535156667</v>
      </c>
      <c r="S13" s="59">
        <f ca="1">AVERAGE(OFFSET($R$3,0,0,'Données projet'!$E$9+1,1))-AVERAGE(OFFSET($H$3,0,0,'Données projet'!$E$9+1,1))</f>
        <v>196.48981288416093</v>
      </c>
      <c r="T13" s="59">
        <f t="shared" si="34"/>
        <v>512.57293376854773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0.28199999999999997</v>
      </c>
      <c r="X13" s="16">
        <f>IF(ISNA(VLOOKUP(A13,'Données projet'!$A$35:$I$55,6,0)),0%,VLOOKUP(A13,'Données projet'!$A$35:$I$55,6,0)*VLOOKUP('Données projet'!$B$9,Paramètres!$A$1:$I$89,7,0))</f>
        <v>0.126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>
        <f>VLOOKUP(A14,'Données projet'!$A$35:$I$55,2,0)</f>
        <v>175</v>
      </c>
      <c r="L14" s="12">
        <f>VLOOKUP(A14,'Données projet'!$A$35:$I$55,9,0)</f>
        <v>42</v>
      </c>
      <c r="M14" s="12">
        <f t="array" ref="M14">INDEX(L:L,MIN(IF(ISNUMBER(L14:L210),ROW(L14:L210),"")))</f>
        <v>42</v>
      </c>
      <c r="N14" s="13">
        <f>IF('Données projet'!$A$36&gt;35,N13+M14-V13,IF(A14&lt;'Données projet'!$A$36,$K$205^A14,IF(A14='Données projet'!$A$36,'Données projet'!$B$36,N13+M14-V13)))</f>
        <v>175</v>
      </c>
      <c r="O14" s="13">
        <f>N14*VLOOKUP('Données projet'!$B$9,Paramètres!$A$1:$I$89,3,0)*VLOOKUP('Données projet'!$B$9,Paramètres!$A$1:$I$89,5,0)</f>
        <v>83.265000000000001</v>
      </c>
      <c r="P14" s="13">
        <f t="shared" si="33"/>
        <v>22.933625580531512</v>
      </c>
      <c r="Q14" s="20">
        <f t="shared" si="2"/>
        <v>184.96260621942568</v>
      </c>
      <c r="R14" s="59">
        <f t="shared" si="0"/>
        <v>455.07371733053685</v>
      </c>
      <c r="S14" s="59">
        <f ca="1">AVERAGE(OFFSET($R$3,0,0,'Données projet'!$E$9+1,1))-AVERAGE(OFFSET($H$3,0,0,'Données projet'!$E$9+1,1))</f>
        <v>196.48981288416093</v>
      </c>
      <c r="T14" s="59">
        <f t="shared" si="34"/>
        <v>512.57293376854773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0.28199999999999997</v>
      </c>
      <c r="X14" s="16">
        <f>IF(ISNA(VLOOKUP(A14,'Données projet'!$A$35:$I$55,6,0)),0%,VLOOKUP(A14,'Données projet'!$A$35:$I$55,6,0)*VLOOKUP('Données projet'!$B$9,Paramètres!$A$1:$I$89,7,0))</f>
        <v>0.126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214</v>
      </c>
      <c r="L15" s="12">
        <f>VLOOKUP(A15,'Données projet'!$A$35:$I$55,9,0)</f>
        <v>39</v>
      </c>
      <c r="M15" s="12">
        <f t="array" ref="M15">INDEX(L:L,MIN(IF(ISNUMBER(L15:L211),ROW(L15:L211),"")))</f>
        <v>39</v>
      </c>
      <c r="N15" s="13">
        <f>IF('Données projet'!$A$36&gt;35,N14+M15-V14,IF(A15&lt;'Données projet'!$A$36,$K$205^A15,IF(A15='Données projet'!$A$36,'Données projet'!$B$36,N14+M15-V14)))</f>
        <v>214</v>
      </c>
      <c r="O15" s="13">
        <f>N15*VLOOKUP('Données projet'!$B$9,Paramètres!$A$1:$I$89,3,0)*VLOOKUP('Données projet'!$B$9,Paramètres!$A$1:$I$89,5,0)</f>
        <v>101.82119999999999</v>
      </c>
      <c r="P15" s="13">
        <f t="shared" si="33"/>
        <v>27.395416540066275</v>
      </c>
      <c r="Q15" s="20">
        <f t="shared" si="2"/>
        <v>225.05227380728206</v>
      </c>
      <c r="R15" s="59">
        <f t="shared" si="0"/>
        <v>496.38560714061538</v>
      </c>
      <c r="S15" s="59">
        <f ca="1">AVERAGE(OFFSET($R$3,0,0,'Données projet'!$E$9+1,1))-AVERAGE(OFFSET($H$3,0,0,'Données projet'!$E$9+1,1))</f>
        <v>196.48981288416093</v>
      </c>
      <c r="T15" s="59">
        <f t="shared" si="34"/>
        <v>512.57293376854773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0.28199999999999997</v>
      </c>
      <c r="X15" s="16">
        <f>IF(ISNA(VLOOKUP(A15,'Données projet'!$A$35:$I$55,6,0)),0%,VLOOKUP(A15,'Données projet'!$A$35:$I$55,6,0)*VLOOKUP('Données projet'!$B$9,Paramètres!$A$1:$I$89,7,0))</f>
        <v>0.126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>
        <f>VLOOKUP(A16,'Données projet'!$A$35:$I$55,2,0)</f>
        <v>256</v>
      </c>
      <c r="L16" s="12">
        <f>VLOOKUP(A16,'Données projet'!$A$35:$I$55,9,0)</f>
        <v>42</v>
      </c>
      <c r="M16" s="12">
        <f t="array" ref="M16">INDEX(L:L,MIN(IF(ISNUMBER(L16:L212),ROW(L16:L212),"")))</f>
        <v>42</v>
      </c>
      <c r="N16" s="13">
        <f>IF('Données projet'!$A$36&gt;35,N15+M16-V15,IF(A16&lt;'Données projet'!$A$36,$K$205^A16,IF(A16='Données projet'!$A$36,'Données projet'!$B$36,N15+M16-V15)))</f>
        <v>256</v>
      </c>
      <c r="O16" s="13">
        <f>N16*VLOOKUP('Données projet'!$B$9,Paramètres!$A$1:$I$89,3,0)*VLOOKUP('Données projet'!$B$9,Paramètres!$A$1:$I$89,5,0)</f>
        <v>121.8048</v>
      </c>
      <c r="P16" s="13">
        <f t="shared" si="33"/>
        <v>32.095572841380587</v>
      </c>
      <c r="Q16" s="20">
        <f t="shared" si="2"/>
        <v>268.04314936540453</v>
      </c>
      <c r="R16" s="59">
        <f t="shared" si="0"/>
        <v>540.59870492096002</v>
      </c>
      <c r="S16" s="59">
        <f ca="1">AVERAGE(OFFSET($R$3,0,0,'Données projet'!$E$9+1,1))-AVERAGE(OFFSET($H$3,0,0,'Données projet'!$E$9+1,1))</f>
        <v>196.48981288416093</v>
      </c>
      <c r="T16" s="59">
        <f t="shared" si="34"/>
        <v>512.57293376854773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0.28199999999999997</v>
      </c>
      <c r="X16" s="16">
        <f>IF(ISNA(VLOOKUP(A16,'Données projet'!$A$35:$I$55,6,0)),0%,VLOOKUP(A16,'Données projet'!$A$35:$I$55,6,0)*VLOOKUP('Données projet'!$B$9,Paramètres!$A$1:$I$89,7,0))</f>
        <v>0.126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292</v>
      </c>
      <c r="L17" s="12">
        <f>VLOOKUP(A17,'Données projet'!$A$35:$I$55,9,0)</f>
        <v>36</v>
      </c>
      <c r="M17" s="12">
        <f t="array" ref="M17">INDEX(L:L,MIN(IF(ISNUMBER(L17:L213),ROW(L17:L213),"")))</f>
        <v>36</v>
      </c>
      <c r="N17" s="13">
        <f>IF('Données projet'!$A$36&gt;35,N16+M17-V16,IF(A17&lt;'Données projet'!$A$36,$K$205^A17,IF(A17='Données projet'!$A$36,'Données projet'!$B$36,N16+M17-V16)))</f>
        <v>292</v>
      </c>
      <c r="O17" s="13">
        <f>N17*VLOOKUP('Données projet'!$B$9,Paramètres!$A$1:$I$89,3,0)*VLOOKUP('Données projet'!$B$9,Paramètres!$A$1:$I$89,5,0)</f>
        <v>138.93360000000001</v>
      </c>
      <c r="P17" s="13">
        <f t="shared" si="33"/>
        <v>36.052599620350527</v>
      </c>
      <c r="Q17" s="20">
        <f t="shared" si="2"/>
        <v>304.76763100544377</v>
      </c>
      <c r="R17" s="59">
        <f t="shared" si="0"/>
        <v>578.54540878322155</v>
      </c>
      <c r="S17" s="59">
        <f ca="1">AVERAGE(OFFSET($R$3,0,0,'Données projet'!$E$9+1,1))-AVERAGE(OFFSET($H$3,0,0,'Données projet'!$E$9+1,1))</f>
        <v>196.48981288416093</v>
      </c>
      <c r="T17" s="59">
        <f t="shared" si="34"/>
        <v>512.57293376854773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0.28199999999999997</v>
      </c>
      <c r="X17" s="16">
        <f>IF(ISNA(VLOOKUP(A17,'Données projet'!$A$35:$I$55,6,0)),0%,VLOOKUP(A17,'Données projet'!$A$35:$I$55,6,0)*VLOOKUP('Données projet'!$B$9,Paramètres!$A$1:$I$89,7,0))</f>
        <v>0.126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329</v>
      </c>
      <c r="L18" s="12">
        <f>VLOOKUP(A18,'Données projet'!$A$35:$I$55,9,0)</f>
        <v>37</v>
      </c>
      <c r="M18" s="12">
        <f t="array" ref="M18">INDEX(L:L,MIN(IF(ISNUMBER(L18:L214),ROW(L18:L214),"")))</f>
        <v>37</v>
      </c>
      <c r="N18" s="13">
        <f>IF('Données projet'!$A$36&gt;35,N17+M18-V17,IF(A18&lt;'Données projet'!$A$36,$K$205^A18,IF(A18='Données projet'!$A$36,'Données projet'!$B$36,N17+M18-V17)))</f>
        <v>329</v>
      </c>
      <c r="O18" s="13">
        <f>N18*VLOOKUP('Données projet'!$B$9,Paramètres!$A$1:$I$89,3,0)*VLOOKUP('Données projet'!$B$9,Paramètres!$A$1:$I$89,5,0)</f>
        <v>156.53820000000002</v>
      </c>
      <c r="P18" s="13">
        <f t="shared" si="33"/>
        <v>40.060705515167577</v>
      </c>
      <c r="Q18" s="20">
        <f t="shared" si="2"/>
        <v>342.40976043891692</v>
      </c>
      <c r="R18" s="59">
        <f t="shared" si="0"/>
        <v>617.40976043891692</v>
      </c>
      <c r="S18" s="59">
        <f ca="1">AVERAGE(OFFSET($R$3,0,0,'Données projet'!$E$9+1,1))-AVERAGE(OFFSET($H$3,0,0,'Données projet'!$E$9+1,1))</f>
        <v>196.48981288416093</v>
      </c>
      <c r="T18" s="59">
        <f t="shared" si="34"/>
        <v>512.57293376854773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0.28199999999999997</v>
      </c>
      <c r="X18" s="16">
        <f>IF(ISNA(VLOOKUP(A18,'Données projet'!$A$35:$I$55,6,0)),0%,VLOOKUP(A18,'Données projet'!$A$35:$I$55,6,0)*VLOOKUP('Données projet'!$B$9,Paramètres!$A$1:$I$89,7,0))</f>
        <v>0.126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363</v>
      </c>
      <c r="L19" s="12">
        <f>VLOOKUP(A19,'Données projet'!$A$35:$I$55,9,0)</f>
        <v>34</v>
      </c>
      <c r="M19" s="12">
        <f t="array" ref="M19">INDEX(L:L,MIN(IF(ISNUMBER(L19:L215),ROW(L19:L215),"")))</f>
        <v>34</v>
      </c>
      <c r="N19" s="13">
        <f>IF('Données projet'!$A$36&gt;35,N18+M19-V18,IF(A19&lt;'Données projet'!$A$36,$K$205^A19,IF(A19='Données projet'!$A$36,'Données projet'!$B$36,N18+M19-V18)))</f>
        <v>363</v>
      </c>
      <c r="O19" s="13">
        <f>N19*VLOOKUP('Données projet'!$B$9,Paramètres!$A$1:$I$89,3,0)*VLOOKUP('Données projet'!$B$9,Paramètres!$A$1:$I$89,5,0)</f>
        <v>172.71540000000002</v>
      </c>
      <c r="P19" s="13">
        <f t="shared" si="33"/>
        <v>43.697620828020462</v>
      </c>
      <c r="Q19" s="20">
        <f t="shared" si="2"/>
        <v>376.91934460880231</v>
      </c>
      <c r="R19" s="59">
        <f t="shared" si="0"/>
        <v>653.14156683102453</v>
      </c>
      <c r="S19" s="59">
        <f ca="1">AVERAGE(OFFSET($R$3,0,0,'Données projet'!$E$9+1,1))-AVERAGE(OFFSET($H$3,0,0,'Données projet'!$E$9+1,1))</f>
        <v>196.48981288416093</v>
      </c>
      <c r="T19" s="59">
        <f t="shared" si="34"/>
        <v>512.57293376854773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0.28199999999999997</v>
      </c>
      <c r="X19" s="16">
        <f>IF(ISNA(VLOOKUP(A19,'Données projet'!$A$35:$I$55,6,0)),0%,VLOOKUP(A19,'Données projet'!$A$35:$I$55,6,0)*VLOOKUP('Données projet'!$B$9,Paramètres!$A$1:$I$89,7,0))</f>
        <v>0.126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397</v>
      </c>
      <c r="L20" s="12">
        <f>VLOOKUP(A20,'Données projet'!$A$35:$I$55,9,0)</f>
        <v>34</v>
      </c>
      <c r="M20" s="12">
        <f t="array" ref="M20">INDEX(L:L,MIN(IF(ISNUMBER(L20:L216),ROW(L20:L216),"")))</f>
        <v>34</v>
      </c>
      <c r="N20" s="13">
        <f>IF('Données projet'!$A$36&gt;35,N19+M20-V19,IF(A20&lt;'Données projet'!$A$36,$K$205^A20,IF(A20='Données projet'!$A$36,'Données projet'!$B$36,N19+M20-V19)))</f>
        <v>397</v>
      </c>
      <c r="O20" s="13">
        <f>N20*VLOOKUP('Données projet'!$B$9,Paramètres!$A$1:$I$89,3,0)*VLOOKUP('Données projet'!$B$9,Paramètres!$A$1:$I$89,5,0)</f>
        <v>188.89259999999999</v>
      </c>
      <c r="P20" s="13">
        <f t="shared" si="33"/>
        <v>47.295039203710722</v>
      </c>
      <c r="Q20" s="20">
        <f t="shared" si="2"/>
        <v>411.36013827979622</v>
      </c>
      <c r="R20" s="59">
        <f t="shared" si="0"/>
        <v>688.80458272424062</v>
      </c>
      <c r="S20" s="59">
        <f ca="1">AVERAGE(OFFSET($R$3,0,0,'Données projet'!$E$9+1,1))-AVERAGE(OFFSET($H$3,0,0,'Données projet'!$E$9+1,1))</f>
        <v>196.48981288416093</v>
      </c>
      <c r="T20" s="59">
        <f t="shared" si="34"/>
        <v>512.57293376854773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0.28199999999999997</v>
      </c>
      <c r="X20" s="16">
        <f>IF(ISNA(VLOOKUP(A20,'Données projet'!$A$35:$I$55,6,0)),0%,VLOOKUP(A20,'Données projet'!$A$35:$I$55,6,0)*VLOOKUP('Données projet'!$B$9,Paramètres!$A$1:$I$89,7,0))</f>
        <v>0.126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426</v>
      </c>
      <c r="L21" s="12">
        <f>VLOOKUP(A21,'Données projet'!$A$35:$I$55,9,0)</f>
        <v>29</v>
      </c>
      <c r="M21" s="12">
        <f t="array" ref="M21">INDEX(L:L,MIN(IF(ISNUMBER(L21:L217),ROW(L21:L217),"")))</f>
        <v>29</v>
      </c>
      <c r="N21" s="13">
        <f>IF('Données projet'!$A$36&gt;35,N20+M21-V20,IF(A21&lt;'Données projet'!$A$36,$K$205^A21,IF(A21='Données projet'!$A$36,'Données projet'!$B$36,N20+M21-V20)))</f>
        <v>426</v>
      </c>
      <c r="O21" s="13">
        <f>N21*VLOOKUP('Données projet'!$B$9,Paramètres!$A$1:$I$89,3,0)*VLOOKUP('Données projet'!$B$9,Paramètres!$A$1:$I$89,5,0)</f>
        <v>202.69080000000002</v>
      </c>
      <c r="P21" s="13">
        <f t="shared" si="33"/>
        <v>50.335063379382106</v>
      </c>
      <c r="Q21" s="20">
        <f t="shared" si="2"/>
        <v>440.6867120524239</v>
      </c>
      <c r="R21" s="59">
        <f t="shared" si="0"/>
        <v>719.35337871909064</v>
      </c>
      <c r="S21" s="59">
        <f ca="1">AVERAGE(OFFSET($R$3,0,0,'Données projet'!$E$9+1,1))-AVERAGE(OFFSET($H$3,0,0,'Données projet'!$E$9+1,1))</f>
        <v>196.48981288416093</v>
      </c>
      <c r="T21" s="59">
        <f t="shared" si="34"/>
        <v>512.57293376854773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0.28199999999999997</v>
      </c>
      <c r="X21" s="16">
        <f>IF(ISNA(VLOOKUP(A21,'Données projet'!$A$35:$I$55,6,0)),0%,VLOOKUP(A21,'Données projet'!$A$35:$I$55,6,0)*VLOOKUP('Données projet'!$B$9,Paramètres!$A$1:$I$89,7,0))</f>
        <v>0.126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449</v>
      </c>
      <c r="L22" s="12">
        <f>VLOOKUP(A22,'Données projet'!$A$35:$I$55,9,0)</f>
        <v>23</v>
      </c>
      <c r="M22" s="12">
        <f t="array" ref="M22">INDEX(L:L,MIN(IF(ISNUMBER(L22:L218),ROW(L22:L218),"")))</f>
        <v>23</v>
      </c>
      <c r="N22" s="13">
        <f>IF('Données projet'!$A$36&gt;35,N21+M22-V21,IF(A22&lt;'Données projet'!$A$36,$K$205^A22,IF(A22='Données projet'!$A$36,'Données projet'!$B$36,N21+M22-V21)))</f>
        <v>449</v>
      </c>
      <c r="O22" s="13">
        <f>N22*VLOOKUP('Données projet'!$B$9,Paramètres!$A$1:$I$89,3,0)*VLOOKUP('Données projet'!$B$9,Paramètres!$A$1:$I$89,5,0)</f>
        <v>213.63419999999999</v>
      </c>
      <c r="P22" s="13">
        <f t="shared" si="33"/>
        <v>52.72895506178849</v>
      </c>
      <c r="Q22" s="20">
        <f t="shared" si="2"/>
        <v>463.91582839928157</v>
      </c>
      <c r="R22" s="59">
        <f t="shared" si="0"/>
        <v>743.80471728817042</v>
      </c>
      <c r="S22" s="59">
        <f ca="1">AVERAGE(OFFSET($R$3,0,0,'Données projet'!$E$9+1,1))-AVERAGE(OFFSET($H$3,0,0,'Données projet'!$E$9+1,1))</f>
        <v>196.48981288416093</v>
      </c>
      <c r="T22" s="59">
        <f t="shared" si="34"/>
        <v>512.57293376854773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0.28199999999999997</v>
      </c>
      <c r="X22" s="16">
        <f>IF(ISNA(VLOOKUP(A22,'Données projet'!$A$35:$I$55,6,0)),0%,VLOOKUP(A22,'Données projet'!$A$35:$I$55,6,0)*VLOOKUP('Données projet'!$B$9,Paramètres!$A$1:$I$89,7,0))</f>
        <v>0.126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473</v>
      </c>
      <c r="L23" s="12">
        <f>VLOOKUP(A23,'Données projet'!$A$35:$I$55,9,0)</f>
        <v>24</v>
      </c>
      <c r="M23" s="12">
        <f t="array" ref="M23">INDEX(L:L,MIN(IF(ISNUMBER(L23:L219),ROW(L23:L219),"")))</f>
        <v>24</v>
      </c>
      <c r="N23" s="13">
        <f>IF('Données projet'!$A$36&gt;35,N22+M23-V22,IF(A23&lt;'Données projet'!$A$36,$K$205^A23,IF(A23='Données projet'!$A$36,'Données projet'!$B$36,N22+M23-V22)))</f>
        <v>473</v>
      </c>
      <c r="O23" s="13">
        <f>N23*VLOOKUP('Données projet'!$B$9,Paramètres!$A$1:$I$89,3,0)*VLOOKUP('Données projet'!$B$9,Paramètres!$A$1:$I$89,5,0)</f>
        <v>225.05339999999998</v>
      </c>
      <c r="P23" s="13">
        <f t="shared" si="33"/>
        <v>55.211761334413396</v>
      </c>
      <c r="Q23" s="20">
        <f t="shared" si="2"/>
        <v>488.12848932410321</v>
      </c>
      <c r="R23" s="59">
        <f t="shared" si="0"/>
        <v>769.23960043521436</v>
      </c>
      <c r="S23" s="59">
        <f ca="1">AVERAGE(OFFSET($R$3,0,0,'Données projet'!$E$9+1,1))-AVERAGE(OFFSET($H$3,0,0,'Données projet'!$E$9+1,1))</f>
        <v>196.48981288416093</v>
      </c>
      <c r="T23" s="59">
        <f t="shared" si="34"/>
        <v>512.57293376854773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473</v>
      </c>
      <c r="W23" s="16">
        <f>IF(ISNA(VLOOKUP(A23,'Données projet'!$A$35:$I$55,5,0)),0%,VLOOKUP(A23,'Données projet'!$A$35:$I$55,5,0)*VLOOKUP('Données projet'!$B$9,Paramètres!$A$1:$I$89,7,0))</f>
        <v>0.28199999999999997</v>
      </c>
      <c r="X23" s="16">
        <f>IF(ISNA(VLOOKUP(A23,'Données projet'!$A$35:$I$55,6,0)),0%,VLOOKUP(A23,'Données projet'!$A$35:$I$55,6,0)*VLOOKUP('Données projet'!$B$9,Paramètres!$A$1:$I$89,7,0))</f>
        <v>0.126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70.158742638716987</v>
      </c>
      <c r="AA23" s="21">
        <f>EXP(-LN(2)/25)*AA22+(1-EXP(-LN(2)/25))/(LN(2)/25)*Calculateur!V23*Calculateur!X23*VLOOKUP('Données projet'!$B$9,Paramètres!$A$1:$I$89,3,0)*0.475*44/12</f>
        <v>31.224096163059659</v>
      </c>
      <c r="AB23" s="21">
        <f>EXP(-LN(2)/2)*AB22+(1-EXP(-LN(2)/2))/(LN(2)/2)*V23*Y23*VLOOKUP('Données projet'!$B$9,Paramètres!$A$1:$I$89,3,0)*0.475*44/12</f>
        <v>0</v>
      </c>
      <c r="AC23" s="22">
        <f t="shared" si="3"/>
        <v>101.38283880177664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196.48981288416093</v>
      </c>
      <c r="T24" s="59">
        <f t="shared" si="34"/>
        <v>512.57293376854773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68.78297248817934</v>
      </c>
      <c r="AA24" s="21">
        <f>EXP(-LN(2)/25)*AA23+(1-EXP(-LN(2)/25))/(LN(2)/25)*Calculateur!V24*Calculateur!X24*VLOOKUP('Données projet'!$B$9,Paramètres!$A$1:$I$89,3,0)*0.475*44/12</f>
        <v>30.370271611476941</v>
      </c>
      <c r="AB24" s="21">
        <f>EXP(-LN(2)/2)*AB23+(1-EXP(-LN(2)/2))/(LN(2)/2)*V24*Y24*VLOOKUP('Données projet'!$B$9,Paramètres!$A$1:$I$89,3,0)*0.475*44/12</f>
        <v>0</v>
      </c>
      <c r="AC24" s="22">
        <f t="shared" si="3"/>
        <v>99.153244099656277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196.48981288416093</v>
      </c>
      <c r="T25" s="59">
        <f t="shared" si="34"/>
        <v>512.57293376854773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67.434180351156797</v>
      </c>
      <c r="AA25" s="21">
        <f>EXP(-LN(2)/25)*AA24+(1-EXP(-LN(2)/25))/(LN(2)/25)*Calculateur!V25*Calculateur!X25*VLOOKUP('Données projet'!$B$9,Paramètres!$A$1:$I$89,3,0)*0.475*44/12</f>
        <v>29.539794937157932</v>
      </c>
      <c r="AB25" s="21">
        <f>EXP(-LN(2)/2)*AB24+(1-EXP(-LN(2)/2))/(LN(2)/2)*V25*Y25*VLOOKUP('Données projet'!$B$9,Paramètres!$A$1:$I$89,3,0)*0.475*44/12</f>
        <v>0</v>
      </c>
      <c r="AC25" s="22">
        <f t="shared" si="3"/>
        <v>96.973975288314733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196.48981288416093</v>
      </c>
      <c r="T26" s="59">
        <f t="shared" si="34"/>
        <v>512.57293376854773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66.111837205259292</v>
      </c>
      <c r="AA26" s="21">
        <f>EXP(-LN(2)/25)*AA25+(1-EXP(-LN(2)/25))/(LN(2)/25)*Calculateur!V26*Calculateur!X26*VLOOKUP('Données projet'!$B$9,Paramètres!$A$1:$I$89,3,0)*0.475*44/12</f>
        <v>28.732027691171048</v>
      </c>
      <c r="AB26" s="21">
        <f>EXP(-LN(2)/2)*AB25+(1-EXP(-LN(2)/2))/(LN(2)/2)*V26*Y26*VLOOKUP('Données projet'!$B$9,Paramètres!$A$1:$I$89,3,0)*0.475*44/12</f>
        <v>0</v>
      </c>
      <c r="AC26" s="22">
        <f t="shared" si="3"/>
        <v>94.843864896430347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196.48981288416093</v>
      </c>
      <c r="T27" s="59">
        <f t="shared" si="34"/>
        <v>512.57293376854773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64.815424401903158</v>
      </c>
      <c r="AA27" s="21">
        <f>EXP(-LN(2)/25)*AA26+(1-EXP(-LN(2)/25))/(LN(2)/25)*Calculateur!V27*Calculateur!X27*VLOOKUP('Données projet'!$B$9,Paramètres!$A$1:$I$89,3,0)*0.475*44/12</f>
        <v>27.946348883004308</v>
      </c>
      <c r="AB27" s="21">
        <f>EXP(-LN(2)/2)*AB26+(1-EXP(-LN(2)/2))/(LN(2)/2)*V27*Y27*VLOOKUP('Données projet'!$B$9,Paramètres!$A$1:$I$89,3,0)*0.475*44/12</f>
        <v>0</v>
      </c>
      <c r="AC27" s="22">
        <f t="shared" si="3"/>
        <v>92.761773284907463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196.48981288416093</v>
      </c>
      <c r="T28" s="59">
        <f t="shared" si="34"/>
        <v>512.57293376854773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63.544433462887113</v>
      </c>
      <c r="AA28" s="21">
        <f>EXP(-LN(2)/25)*AA27+(1-EXP(-LN(2)/25))/(LN(2)/25)*Calculateur!V28*Calculateur!X28*VLOOKUP('Données projet'!$B$9,Paramètres!$A$1:$I$89,3,0)*0.475*44/12</f>
        <v>27.18215450316394</v>
      </c>
      <c r="AB28" s="21">
        <f>EXP(-LN(2)/2)*AB27+(1-EXP(-LN(2)/2))/(LN(2)/2)*V28*Y28*VLOOKUP('Données projet'!$B$9,Paramètres!$A$1:$I$89,3,0)*0.475*44/12</f>
        <v>0</v>
      </c>
      <c r="AC28" s="22">
        <f t="shared" si="3"/>
        <v>90.726587966051056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196.48981288416093</v>
      </c>
      <c r="T29" s="59">
        <f t="shared" si="34"/>
        <v>512.57293376854773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62.298365880957249</v>
      </c>
      <c r="AA29" s="21">
        <f>EXP(-LN(2)/25)*AA28+(1-EXP(-LN(2)/25))/(LN(2)/25)*Calculateur!V29*Calculateur!X29*VLOOKUP('Données projet'!$B$9,Paramètres!$A$1:$I$89,3,0)*0.475*44/12</f>
        <v>26.438857058827541</v>
      </c>
      <c r="AB29" s="21">
        <f>EXP(-LN(2)/2)*AB28+(1-EXP(-LN(2)/2))/(LN(2)/2)*V29*Y29*VLOOKUP('Données projet'!$B$9,Paramètres!$A$1:$I$89,3,0)*0.475*44/12</f>
        <v>0</v>
      </c>
      <c r="AC29" s="22">
        <f t="shared" si="3"/>
        <v>88.737222939784786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196.48981288416093</v>
      </c>
      <c r="T30" s="59">
        <f t="shared" si="34"/>
        <v>512.57293376854773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61.076732924282851</v>
      </c>
      <c r="AA30" s="21">
        <f>EXP(-LN(2)/25)*AA29+(1-EXP(-LN(2)/25))/(LN(2)/25)*Calculateur!V30*Calculateur!X30*VLOOKUP('Données projet'!$B$9,Paramètres!$A$1:$I$89,3,0)*0.475*44/12</f>
        <v>25.715885122194834</v>
      </c>
      <c r="AB30" s="21">
        <f>EXP(-LN(2)/2)*AB29+(1-EXP(-LN(2)/2))/(LN(2)/2)*V30*Y30*VLOOKUP('Données projet'!$B$9,Paramètres!$A$1:$I$89,3,0)*0.475*44/12</f>
        <v>0</v>
      </c>
      <c r="AC30" s="22">
        <f t="shared" si="3"/>
        <v>86.792618046477685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196.48981288416093</v>
      </c>
      <c r="T31" s="59">
        <f t="shared" si="34"/>
        <v>512.57293376854773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59.879055444766308</v>
      </c>
      <c r="AA31" s="21">
        <f>EXP(-LN(2)/25)*AA30+(1-EXP(-LN(2)/25))/(LN(2)/25)*Calculateur!V31*Calculateur!X31*VLOOKUP('Données projet'!$B$9,Paramètres!$A$1:$I$89,3,0)*0.475*44/12</f>
        <v>25.012682891188792</v>
      </c>
      <c r="AB31" s="21">
        <f>EXP(-LN(2)/2)*AB30+(1-EXP(-LN(2)/2))/(LN(2)/2)*V31*Y31*VLOOKUP('Données projet'!$B$9,Paramètres!$A$1:$I$89,3,0)*0.475*44/12</f>
        <v>0</v>
      </c>
      <c r="AC31" s="22">
        <f t="shared" si="3"/>
        <v>84.891738335955097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196.48981288416093</v>
      </c>
      <c r="T32" s="59">
        <f t="shared" si="34"/>
        <v>512.57293376854773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58.704863690111956</v>
      </c>
      <c r="AA32" s="21">
        <f>EXP(-LN(2)/25)*AA31+(1-EXP(-LN(2)/25))/(LN(2)/25)*Calculateur!V32*Calculateur!X32*VLOOKUP('Données projet'!$B$9,Paramètres!$A$1:$I$89,3,0)*0.475*44/12</f>
        <v>24.32870976216941</v>
      </c>
      <c r="AB32" s="21">
        <f>EXP(-LN(2)/2)*AB31+(1-EXP(-LN(2)/2))/(LN(2)/2)*V32*Y32*VLOOKUP('Données projet'!$B$9,Paramètres!$A$1:$I$89,3,0)*0.475*44/12</f>
        <v>0</v>
      </c>
      <c r="AC32" s="22">
        <f t="shared" si="3"/>
        <v>83.03357345228136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196.48981288416093</v>
      </c>
      <c r="T33" s="59">
        <f t="shared" si="34"/>
        <v>512.57293376854773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57.553697119580121</v>
      </c>
      <c r="AA33" s="21">
        <f>EXP(-LN(2)/25)*AA32+(1-EXP(-LN(2)/25))/(LN(2)/25)*Calculateur!V33*Calculateur!X33*VLOOKUP('Données projet'!$B$9,Paramètres!$A$1:$I$89,3,0)*0.475*44/12</f>
        <v>23.663439914331644</v>
      </c>
      <c r="AB33" s="21">
        <f>EXP(-LN(2)/2)*AB32+(1-EXP(-LN(2)/2))/(LN(2)/2)*V33*Y33*VLOOKUP('Données projet'!$B$9,Paramètres!$A$1:$I$89,3,0)*0.475*44/12</f>
        <v>0</v>
      </c>
      <c r="AC33" s="22">
        <f t="shared" si="3"/>
        <v>81.217137033911769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196.48981288416093</v>
      </c>
      <c r="T34" s="59">
        <f t="shared" si="34"/>
        <v>512.57293376854773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56.42510422335414</v>
      </c>
      <c r="AA34" s="21">
        <f>EXP(-LN(2)/25)*AA33+(1-EXP(-LN(2)/25))/(LN(2)/25)*Calculateur!V34*Calculateur!X34*VLOOKUP('Données projet'!$B$9,Paramètres!$A$1:$I$89,3,0)*0.475*44/12</f>
        <v>23.016361905468024</v>
      </c>
      <c r="AB34" s="21">
        <f>EXP(-LN(2)/2)*AB33+(1-EXP(-LN(2)/2))/(LN(2)/2)*V34*Y34*VLOOKUP('Données projet'!$B$9,Paramètres!$A$1:$I$89,3,0)*0.475*44/12</f>
        <v>0</v>
      </c>
      <c r="AC34" s="22">
        <f t="shared" si="3"/>
        <v>79.441466128822157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196.48981288416093</v>
      </c>
      <c r="T35" s="59">
        <f t="shared" si="34"/>
        <v>512.57293376854773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55.318642345449454</v>
      </c>
      <c r="AA35" s="21">
        <f>EXP(-LN(2)/25)*AA34+(1-EXP(-LN(2)/25))/(LN(2)/25)*Calculateur!V35*Calculateur!X35*VLOOKUP('Données projet'!$B$9,Paramètres!$A$1:$I$89,3,0)*0.475*44/12</f>
        <v>22.386978278785133</v>
      </c>
      <c r="AB35" s="21">
        <f>EXP(-LN(2)/2)*AB34+(1-EXP(-LN(2)/2))/(LN(2)/2)*V35*Y35*VLOOKUP('Données projet'!$B$9,Paramètres!$A$1:$I$89,3,0)*0.475*44/12</f>
        <v>0</v>
      </c>
      <c r="AC35" s="22">
        <f t="shared" si="3"/>
        <v>77.705620624234584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196.48981288416093</v>
      </c>
      <c r="T36" s="59">
        <f t="shared" si="34"/>
        <v>512.57293376854773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54.233877510095368</v>
      </c>
      <c r="AA36" s="21">
        <f>EXP(-LN(2)/25)*AA35+(1-EXP(-LN(2)/25))/(LN(2)/25)*Calculateur!V36*Calculateur!X36*VLOOKUP('Données projet'!$B$9,Paramètres!$A$1:$I$89,3,0)*0.475*44/12</f>
        <v>21.774805180471731</v>
      </c>
      <c r="AB36" s="21">
        <f>EXP(-LN(2)/2)*AB35+(1-EXP(-LN(2)/2))/(LN(2)/2)*V36*Y36*VLOOKUP('Données projet'!$B$9,Paramètres!$A$1:$I$89,3,0)*0.475*44/12</f>
        <v>0</v>
      </c>
      <c r="AC36" s="22">
        <f t="shared" si="3"/>
        <v>76.008682690567099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196.48981288416093</v>
      </c>
      <c r="T37" s="59">
        <f t="shared" si="34"/>
        <v>512.57293376854773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53.170384251521362</v>
      </c>
      <c r="AA37" s="21">
        <f>EXP(-LN(2)/25)*AA36+(1-EXP(-LN(2)/25))/(LN(2)/25)*Calculateur!V37*Calculateur!X37*VLOOKUP('Données projet'!$B$9,Paramètres!$A$1:$I$89,3,0)*0.475*44/12</f>
        <v>21.179371987724494</v>
      </c>
      <c r="AB37" s="21">
        <f>EXP(-LN(2)/2)*AB36+(1-EXP(-LN(2)/2))/(LN(2)/2)*V37*Y37*VLOOKUP('Données projet'!$B$9,Paramètres!$A$1:$I$89,3,0)*0.475*44/12</f>
        <v>0</v>
      </c>
      <c r="AC37" s="22">
        <f t="shared" si="3"/>
        <v>74.349756239245863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196.48981288416093</v>
      </c>
      <c r="T38" s="59">
        <f t="shared" si="34"/>
        <v>512.57293376854773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52.127745447081153</v>
      </c>
      <c r="AA38" s="21">
        <f>EXP(-LN(2)/25)*AA37+(1-EXP(-LN(2)/25))/(LN(2)/25)*Calculateur!V38*Calculateur!X38*VLOOKUP('Données projet'!$B$9,Paramètres!$A$1:$I$89,3,0)*0.475*44/12</f>
        <v>20.600220946945402</v>
      </c>
      <c r="AB38" s="21">
        <f>EXP(-LN(2)/2)*AB37+(1-EXP(-LN(2)/2))/(LN(2)/2)*V38*Y38*VLOOKUP('Données projet'!$B$9,Paramètres!$A$1:$I$89,3,0)*0.475*44/12</f>
        <v>0</v>
      </c>
      <c r="AC38" s="22">
        <f t="shared" si="3"/>
        <v>72.727966394026552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196.48981288416093</v>
      </c>
      <c r="T39" s="59">
        <f t="shared" si="34"/>
        <v>512.57293376854773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51.105552153649143</v>
      </c>
      <c r="AA39" s="21">
        <f>EXP(-LN(2)/25)*AA38+(1-EXP(-LN(2)/25))/(LN(2)/25)*Calculateur!V39*Calculateur!X39*VLOOKUP('Données projet'!$B$9,Paramètres!$A$1:$I$89,3,0)*0.475*44/12</f>
        <v>20.036906821832645</v>
      </c>
      <c r="AB39" s="21">
        <f>EXP(-LN(2)/2)*AB38+(1-EXP(-LN(2)/2))/(LN(2)/2)*V39*Y39*VLOOKUP('Données projet'!$B$9,Paramètres!$A$1:$I$89,3,0)*0.475*44/12</f>
        <v>0</v>
      </c>
      <c r="AC39" s="22">
        <f t="shared" si="3"/>
        <v>71.142458975481787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196.48981288416093</v>
      </c>
      <c r="T40" s="59">
        <f t="shared" si="34"/>
        <v>512.57293376854773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50.103403447224984</v>
      </c>
      <c r="AA40" s="21">
        <f>EXP(-LN(2)/25)*AA39+(1-EXP(-LN(2)/25))/(LN(2)/25)*Calculateur!V40*Calculateur!X40*VLOOKUP('Données projet'!$B$9,Paramètres!$A$1:$I$89,3,0)*0.475*44/12</f>
        <v>19.488996551094495</v>
      </c>
      <c r="AB40" s="21">
        <f>EXP(-LN(2)/2)*AB39+(1-EXP(-LN(2)/2))/(LN(2)/2)*V40*Y40*VLOOKUP('Données projet'!$B$9,Paramètres!$A$1:$I$89,3,0)*0.475*44/12</f>
        <v>0</v>
      </c>
      <c r="AC40" s="22">
        <f t="shared" si="3"/>
        <v>69.592399998319479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196.48981288416093</v>
      </c>
      <c r="T41" s="59">
        <f t="shared" si="34"/>
        <v>512.57293376854773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49.120906265683452</v>
      </c>
      <c r="AA41" s="21">
        <f>EXP(-LN(2)/25)*AA40+(1-EXP(-LN(2)/25))/(LN(2)/25)*Calculateur!V41*Calculateur!X41*VLOOKUP('Données projet'!$B$9,Paramètres!$A$1:$I$89,3,0)*0.475*44/12</f>
        <v>18.95606891552303</v>
      </c>
      <c r="AB41" s="21">
        <f>EXP(-LN(2)/2)*AB40+(1-EXP(-LN(2)/2))/(LN(2)/2)*V41*Y41*VLOOKUP('Données projet'!$B$9,Paramètres!$A$1:$I$89,3,0)*0.475*44/12</f>
        <v>0</v>
      </c>
      <c r="AC41" s="22">
        <f t="shared" si="3"/>
        <v>68.076975181206478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196.48981288416093</v>
      </c>
      <c r="T42" s="59">
        <f t="shared" si="34"/>
        <v>512.57293376854773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48.157675254607838</v>
      </c>
      <c r="AA42" s="21">
        <f>EXP(-LN(2)/25)*AA41+(1-EXP(-LN(2)/25))/(LN(2)/25)*Calculateur!V42*Calculateur!X42*VLOOKUP('Données projet'!$B$9,Paramètres!$A$1:$I$89,3,0)*0.475*44/12</f>
        <v>18.437714214171713</v>
      </c>
      <c r="AB42" s="21">
        <f>EXP(-LN(2)/2)*AB41+(1-EXP(-LN(2)/2))/(LN(2)/2)*V42*Y42*VLOOKUP('Données projet'!$B$9,Paramètres!$A$1:$I$89,3,0)*0.475*44/12</f>
        <v>0</v>
      </c>
      <c r="AC42" s="22">
        <f t="shared" si="3"/>
        <v>66.595389468779558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196.48981288416093</v>
      </c>
      <c r="T43" s="59">
        <f t="shared" si="34"/>
        <v>512.57293376854773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47.213332616146516</v>
      </c>
      <c r="AA43" s="21">
        <f>EXP(-LN(2)/25)*AA42+(1-EXP(-LN(2)/25))/(LN(2)/25)*Calculateur!V43*Calculateur!X43*VLOOKUP('Données projet'!$B$9,Paramètres!$A$1:$I$89,3,0)*0.475*44/12</f>
        <v>17.933533949387936</v>
      </c>
      <c r="AB43" s="21">
        <f>EXP(-LN(2)/2)*AB42+(1-EXP(-LN(2)/2))/(LN(2)/2)*V43*Y43*VLOOKUP('Données projet'!$B$9,Paramètres!$A$1:$I$89,3,0)*0.475*44/12</f>
        <v>0</v>
      </c>
      <c r="AC43" s="22">
        <f t="shared" si="3"/>
        <v>65.146866565534452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196.48981288416093</v>
      </c>
      <c r="T44" s="59">
        <f t="shared" si="34"/>
        <v>512.57293376854773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46.287507960833281</v>
      </c>
      <c r="AA44" s="21">
        <f>EXP(-LN(2)/25)*AA43+(1-EXP(-LN(2)/25))/(LN(2)/25)*Calculateur!V44*Calculateur!X44*VLOOKUP('Données projet'!$B$9,Paramètres!$A$1:$I$89,3,0)*0.475*44/12</f>
        <v>17.44314052045836</v>
      </c>
      <c r="AB44" s="21">
        <f>EXP(-LN(2)/2)*AB43+(1-EXP(-LN(2)/2))/(LN(2)/2)*V44*Y44*VLOOKUP('Données projet'!$B$9,Paramètres!$A$1:$I$89,3,0)*0.475*44/12</f>
        <v>0</v>
      </c>
      <c r="AC44" s="22">
        <f t="shared" si="3"/>
        <v>63.730648481291638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196.48981288416093</v>
      </c>
      <c r="T45" s="59">
        <f t="shared" si="34"/>
        <v>512.57293376854773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45.379838162313462</v>
      </c>
      <c r="AA45" s="21">
        <f>EXP(-LN(2)/25)*AA44+(1-EXP(-LN(2)/25))/(LN(2)/25)*Calculateur!V45*Calculateur!X45*VLOOKUP('Données projet'!$B$9,Paramètres!$A$1:$I$89,3,0)*0.475*44/12</f>
        <v>16.966156925631534</v>
      </c>
      <c r="AB45" s="21">
        <f>EXP(-LN(2)/2)*AB44+(1-EXP(-LN(2)/2))/(LN(2)/2)*V45*Y45*VLOOKUP('Données projet'!$B$9,Paramètres!$A$1:$I$89,3,0)*0.475*44/12</f>
        <v>0</v>
      </c>
      <c r="AC45" s="22">
        <f t="shared" si="3"/>
        <v>62.345995087944999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196.48981288416093</v>
      </c>
      <c r="T46" s="59">
        <f t="shared" si="34"/>
        <v>512.57293376854773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44.4899672149187</v>
      </c>
      <c r="AA46" s="21">
        <f>EXP(-LN(2)/25)*AA45+(1-EXP(-LN(2)/25))/(LN(2)/25)*Calculateur!V46*Calculateur!X46*VLOOKUP('Données projet'!$B$9,Paramètres!$A$1:$I$89,3,0)*0.475*44/12</f>
        <v>16.502216472288723</v>
      </c>
      <c r="AB46" s="21">
        <f>EXP(-LN(2)/2)*AB45+(1-EXP(-LN(2)/2))/(LN(2)/2)*V46*Y46*VLOOKUP('Données projet'!$B$9,Paramètres!$A$1:$I$89,3,0)*0.475*44/12</f>
        <v>0</v>
      </c>
      <c r="AC46" s="22">
        <f t="shared" si="3"/>
        <v>60.992183687207422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196.48981288416093</v>
      </c>
      <c r="T47" s="59">
        <f t="shared" si="34"/>
        <v>512.57293376854773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43.617546094034665</v>
      </c>
      <c r="AA47" s="21">
        <f>EXP(-LN(2)/25)*AA46+(1-EXP(-LN(2)/25))/(LN(2)/25)*Calculateur!V47*Calculateur!X47*VLOOKUP('Données projet'!$B$9,Paramètres!$A$1:$I$89,3,0)*0.475*44/12</f>
        <v>16.050962495040139</v>
      </c>
      <c r="AB47" s="21">
        <f>EXP(-LN(2)/2)*AB46+(1-EXP(-LN(2)/2))/(LN(2)/2)*V47*Y47*VLOOKUP('Données projet'!$B$9,Paramètres!$A$1:$I$89,3,0)*0.475*44/12</f>
        <v>0</v>
      </c>
      <c r="AC47" s="22">
        <f t="shared" si="3"/>
        <v>59.668508589074804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196.48981288416093</v>
      </c>
      <c r="T48" s="59">
        <f t="shared" si="34"/>
        <v>512.57293376854773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42.762232619206827</v>
      </c>
      <c r="AA48" s="21">
        <f>EXP(-LN(2)/25)*AA47+(1-EXP(-LN(2)/25))/(LN(2)/25)*Calculateur!V48*Calculateur!X48*VLOOKUP('Données projet'!$B$9,Paramètres!$A$1:$I$89,3,0)*0.475*44/12</f>
        <v>15.612048081529833</v>
      </c>
      <c r="AB48" s="21">
        <f>EXP(-LN(2)/2)*AB47+(1-EXP(-LN(2)/2))/(LN(2)/2)*V48*Y48*VLOOKUP('Données projet'!$B$9,Paramètres!$A$1:$I$89,3,0)*0.475*44/12</f>
        <v>0</v>
      </c>
      <c r="AC48" s="22">
        <f t="shared" si="3"/>
        <v>58.374280700736662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196.48981288416093</v>
      </c>
      <c r="T49" s="59">
        <f t="shared" si="34"/>
        <v>512.57293376854773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41.923691319930654</v>
      </c>
      <c r="AA49" s="21">
        <f>EXP(-LN(2)/25)*AA48+(1-EXP(-LN(2)/25))/(LN(2)/25)*Calculateur!V49*Calculateur!X49*VLOOKUP('Données projet'!$B$9,Paramètres!$A$1:$I$89,3,0)*0.475*44/12</f>
        <v>15.185135805738474</v>
      </c>
      <c r="AB49" s="21">
        <f>EXP(-LN(2)/2)*AB48+(1-EXP(-LN(2)/2))/(LN(2)/2)*V49*Y49*VLOOKUP('Données projet'!$B$9,Paramètres!$A$1:$I$89,3,0)*0.475*44/12</f>
        <v>0</v>
      </c>
      <c r="AC49" s="22">
        <f t="shared" si="3"/>
        <v>57.10882712566913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196.48981288416093</v>
      </c>
      <c r="T50" s="59">
        <f t="shared" si="34"/>
        <v>512.57293376854773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41.101593304073603</v>
      </c>
      <c r="AA50" s="21">
        <f>EXP(-LN(2)/25)*AA49+(1-EXP(-LN(2)/25))/(LN(2)/25)*Calculateur!V50*Calculateur!X50*VLOOKUP('Données projet'!$B$9,Paramètres!$A$1:$I$89,3,0)*0.475*44/12</f>
        <v>14.76989746857897</v>
      </c>
      <c r="AB50" s="21">
        <f>EXP(-LN(2)/2)*AB49+(1-EXP(-LN(2)/2))/(LN(2)/2)*V50*Y50*VLOOKUP('Données projet'!$B$9,Paramètres!$A$1:$I$89,3,0)*0.475*44/12</f>
        <v>0</v>
      </c>
      <c r="AC50" s="22">
        <f t="shared" si="3"/>
        <v>55.871490772652571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196.48981288416093</v>
      </c>
      <c r="T51" s="59">
        <f t="shared" si="34"/>
        <v>512.57293376854773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40.295616128877228</v>
      </c>
      <c r="AA51" s="21">
        <f>EXP(-LN(2)/25)*AA50+(1-EXP(-LN(2)/25))/(LN(2)/25)*Calculateur!V51*Calculateur!X51*VLOOKUP('Données projet'!$B$9,Paramètres!$A$1:$I$89,3,0)*0.475*44/12</f>
        <v>14.366013845585528</v>
      </c>
      <c r="AB51" s="21">
        <f>EXP(-LN(2)/2)*AB50+(1-EXP(-LN(2)/2))/(LN(2)/2)*V51*Y51*VLOOKUP('Données projet'!$B$9,Paramètres!$A$1:$I$89,3,0)*0.475*44/12</f>
        <v>0</v>
      </c>
      <c r="AC51" s="22">
        <f t="shared" si="3"/>
        <v>54.661629974462755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196.48981288416093</v>
      </c>
      <c r="T52" s="59">
        <f t="shared" si="34"/>
        <v>512.57293376854773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39.505443674488916</v>
      </c>
      <c r="AA52" s="21">
        <f>EXP(-LN(2)/25)*AA51+(1-EXP(-LN(2)/25))/(LN(2)/25)*Calculateur!V52*Calculateur!X52*VLOOKUP('Données projet'!$B$9,Paramètres!$A$1:$I$89,3,0)*0.475*44/12</f>
        <v>13.973174441502158</v>
      </c>
      <c r="AB52" s="21">
        <f>EXP(-LN(2)/2)*AB51+(1-EXP(-LN(2)/2))/(LN(2)/2)*V52*Y52*VLOOKUP('Données projet'!$B$9,Paramètres!$A$1:$I$89,3,0)*0.475*44/12</f>
        <v>0</v>
      </c>
      <c r="AC52" s="22">
        <f t="shared" si="3"/>
        <v>53.478618115991075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196.48981288416093</v>
      </c>
      <c r="T53" s="59">
        <f t="shared" si="34"/>
        <v>512.57293376854773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38.730766019973551</v>
      </c>
      <c r="AA53" s="21">
        <f>EXP(-LN(2)/25)*AA52+(1-EXP(-LN(2)/25))/(LN(2)/25)*Calculateur!V53*Calculateur!X53*VLOOKUP('Données projet'!$B$9,Paramètres!$A$1:$I$89,3,0)*0.475*44/12</f>
        <v>13.591077251581973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52.321843271555522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196.48981288416093</v>
      </c>
      <c r="T54" s="59">
        <f t="shared" si="34"/>
        <v>512.57293376854773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37.971279321756519</v>
      </c>
      <c r="AA54" s="21">
        <f>EXP(-LN(2)/25)*AA53+(1-EXP(-LN(2)/25))/(LN(2)/25)*Calculateur!V54*Calculateur!X54*VLOOKUP('Données projet'!$B$9,Paramètres!$A$1:$I$89,3,0)*0.475*44/12</f>
        <v>13.219428529413774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51.190707851170295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196.48981288416093</v>
      </c>
      <c r="T55" s="59">
        <f t="shared" si="34"/>
        <v>512.57293376854773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37.226685694450381</v>
      </c>
      <c r="AA55" s="21">
        <f>EXP(-LN(2)/25)*AA54+(1-EXP(-LN(2)/25))/(LN(2)/25)*Calculateur!V55*Calculateur!X55*VLOOKUP('Données projet'!$B$9,Paramètres!$A$1:$I$89,3,0)*0.475*44/12</f>
        <v>12.857942561097421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50.084628255547798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196.48981288416093</v>
      </c>
      <c r="T56" s="59">
        <f t="shared" si="34"/>
        <v>512.57293376854773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36.496693094018447</v>
      </c>
      <c r="AA56" s="21">
        <f>EXP(-LN(2)/25)*AA55+(1-EXP(-LN(2)/25))/(LN(2)/25)*Calculateur!V56*Calculateur!X56*VLOOKUP('Données projet'!$B$9,Paramètres!$A$1:$I$89,3,0)*0.475*44/12</f>
        <v>12.5063414455944</v>
      </c>
      <c r="AB56" s="21">
        <f>EXP(-LN(2)/2)*AB55+(1-EXP(-LN(2)/2))/(LN(2)/2)*V56*Y56*VLOOKUP('Données projet'!$B$9,Paramètres!$A$1:$I$89,3,0)*0.475*44/12</f>
        <v>0</v>
      </c>
      <c r="AC56" s="22">
        <f t="shared" si="3"/>
        <v>49.003034539612848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196.48981288416093</v>
      </c>
      <c r="T57" s="59">
        <f t="shared" si="34"/>
        <v>512.57293376854773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35.781015203229465</v>
      </c>
      <c r="AA57" s="21">
        <f>EXP(-LN(2)/25)*AA56+(1-EXP(-LN(2)/25))/(LN(2)/25)*Calculateur!V57*Calculateur!X57*VLOOKUP('Données projet'!$B$9,Paramètres!$A$1:$I$89,3,0)*0.475*44/12</f>
        <v>12.164354881084707</v>
      </c>
      <c r="AB57" s="21">
        <f>EXP(-LN(2)/2)*AB56+(1-EXP(-LN(2)/2))/(LN(2)/2)*V57*Y57*VLOOKUP('Données projet'!$B$9,Paramètres!$A$1:$I$89,3,0)*0.475*44/12</f>
        <v>0</v>
      </c>
      <c r="AC57" s="22">
        <f t="shared" si="3"/>
        <v>47.94537008431417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196.48981288416093</v>
      </c>
      <c r="T58" s="59">
        <f t="shared" si="34"/>
        <v>512.57293376854773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35.079371319358444</v>
      </c>
      <c r="AA58" s="21">
        <f>EXP(-LN(2)/25)*AA57+(1-EXP(-LN(2)/25))/(LN(2)/25)*Calculateur!V58*Calculateur!X58*VLOOKUP('Données projet'!$B$9,Paramètres!$A$1:$I$89,3,0)*0.475*44/12</f>
        <v>11.831719957165824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46.911091276524267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196.48981288416093</v>
      </c>
      <c r="T59" s="59">
        <f t="shared" si="34"/>
        <v>512.57293376854773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34.39148624408962</v>
      </c>
      <c r="AA59" s="21">
        <f>EXP(-LN(2)/25)*AA58+(1-EXP(-LN(2)/25))/(LN(2)/25)*Calculateur!V59*Calculateur!X59*VLOOKUP('Données projet'!$B$9,Paramètres!$A$1:$I$89,3,0)*0.475*44/12</f>
        <v>11.508180952734014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45.899667196823636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196.48981288416093</v>
      </c>
      <c r="T60" s="59">
        <f t="shared" si="34"/>
        <v>512.57293376854773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33.717090175578349</v>
      </c>
      <c r="AA60" s="21">
        <f>EXP(-LN(2)/25)*AA59+(1-EXP(-LN(2)/25))/(LN(2)/25)*Calculateur!V60*Calculateur!X60*VLOOKUP('Données projet'!$B$9,Paramètres!$A$1:$I$89,3,0)*0.475*44/12</f>
        <v>11.193489139392568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44.910579314970917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196.48981288416093</v>
      </c>
      <c r="T61" s="59">
        <f t="shared" si="34"/>
        <v>512.57293376854773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33.055918602629603</v>
      </c>
      <c r="AA61" s="21">
        <f>EXP(-LN(2)/25)*AA60+(1-EXP(-LN(2)/25))/(LN(2)/25)*Calculateur!V61*Calculateur!X61*VLOOKUP('Données projet'!$B$9,Paramètres!$A$1:$I$89,3,0)*0.475*44/12</f>
        <v>10.887402590235867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43.943321192865469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196.48981288416093</v>
      </c>
      <c r="T62" s="59">
        <f t="shared" si="34"/>
        <v>512.57293376854773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32.407712200951543</v>
      </c>
      <c r="AA62" s="21">
        <f>EXP(-LN(2)/25)*AA61+(1-EXP(-LN(2)/25))/(LN(2)/25)*Calculateur!V62*Calculateur!X62*VLOOKUP('Données projet'!$B$9,Paramètres!$A$1:$I$89,3,0)*0.475*44/12</f>
        <v>10.589685993862249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42.99739819481379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196.48981288416093</v>
      </c>
      <c r="T63" s="59">
        <f t="shared" si="34"/>
        <v>512.57293376854773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31.772216731443521</v>
      </c>
      <c r="AA63" s="21">
        <f>EXP(-LN(2)/25)*AA62+(1-EXP(-LN(2)/25))/(LN(2)/25)*Calculateur!V63*Calculateur!X63*VLOOKUP('Données projet'!$B$9,Paramètres!$A$1:$I$89,3,0)*0.475*44/12</f>
        <v>10.300110473472703</v>
      </c>
      <c r="AB63" s="21">
        <f>EXP(-LN(2)/2)*AB62+(1-EXP(-LN(2)/2))/(LN(2)/2)*V63*Y63*VLOOKUP('Données projet'!$B$9,Paramètres!$A$1:$I$89,3,0)*0.475*44/12</f>
        <v>0</v>
      </c>
      <c r="AC63" s="22">
        <f t="shared" si="3"/>
        <v>42.07232720491622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196.48981288416093</v>
      </c>
      <c r="T64" s="59">
        <f t="shared" si="34"/>
        <v>512.57293376854773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31.149182940478589</v>
      </c>
      <c r="AA64" s="21">
        <f>EXP(-LN(2)/25)*AA63+(1-EXP(-LN(2)/25))/(LN(2)/25)*Calculateur!V64*Calculateur!X64*VLOOKUP('Données projet'!$B$9,Paramètres!$A$1:$I$89,3,0)*0.475*44/12</f>
        <v>10.018453410916324</v>
      </c>
      <c r="AB64" s="21">
        <f>EXP(-LN(2)/2)*AB63+(1-EXP(-LN(2)/2))/(LN(2)/2)*V64*Y64*VLOOKUP('Données projet'!$B$9,Paramètres!$A$1:$I$89,3,0)*0.475*44/12</f>
        <v>0</v>
      </c>
      <c r="AC64" s="22">
        <f t="shared" si="3"/>
        <v>41.167636351394911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196.48981288416093</v>
      </c>
      <c r="T65" s="59">
        <f t="shared" si="34"/>
        <v>512.57293376854773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30.53836646214139</v>
      </c>
      <c r="AA65" s="21">
        <f>EXP(-LN(2)/25)*AA64+(1-EXP(-LN(2)/25))/(LN(2)/25)*Calculateur!V65*Calculateur!X65*VLOOKUP('Données projet'!$B$9,Paramètres!$A$1:$I$89,3,0)*0.475*44/12</f>
        <v>9.7444982755472491</v>
      </c>
      <c r="AB65" s="21">
        <f>EXP(-LN(2)/2)*AB64+(1-EXP(-LN(2)/2))/(LN(2)/2)*V65*Y65*VLOOKUP('Données projet'!$B$9,Paramètres!$A$1:$I$89,3,0)*0.475*44/12</f>
        <v>0</v>
      </c>
      <c r="AC65" s="22">
        <f t="shared" si="3"/>
        <v>40.282864737688641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196.48981288416093</v>
      </c>
      <c r="T66" s="59">
        <f t="shared" si="34"/>
        <v>512.57293376854773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29.939527722383119</v>
      </c>
      <c r="AA66" s="21">
        <f>EXP(-LN(2)/25)*AA65+(1-EXP(-LN(2)/25))/(LN(2)/25)*Calculateur!V66*Calculateur!X66*VLOOKUP('Données projet'!$B$9,Paramètres!$A$1:$I$89,3,0)*0.475*44/12</f>
        <v>9.4780344577615168</v>
      </c>
      <c r="AB66" s="21">
        <f>EXP(-LN(2)/2)*AB65+(1-EXP(-LN(2)/2))/(LN(2)/2)*V66*Y66*VLOOKUP('Données projet'!$B$9,Paramètres!$A$1:$I$89,3,0)*0.475*44/12</f>
        <v>0</v>
      </c>
      <c r="AC66" s="22">
        <f t="shared" si="3"/>
        <v>39.417562180144635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196.48981288416093</v>
      </c>
      <c r="T67" s="59">
        <f t="shared" si="34"/>
        <v>512.57293376854773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29.352431845055943</v>
      </c>
      <c r="AA67" s="21">
        <f>EXP(-LN(2)/25)*AA66+(1-EXP(-LN(2)/25))/(LN(2)/25)*Calculateur!V67*Calculateur!X67*VLOOKUP('Données projet'!$B$9,Paramètres!$A$1:$I$89,3,0)*0.475*44/12</f>
        <v>9.2188571070858583</v>
      </c>
      <c r="AB67" s="21">
        <f>EXP(-LN(2)/2)*AB66+(1-EXP(-LN(2)/2))/(LN(2)/2)*V67*Y67*VLOOKUP('Données projet'!$B$9,Paramètres!$A$1:$I$89,3,0)*0.475*44/12</f>
        <v>0</v>
      </c>
      <c r="AC67" s="22">
        <f t="shared" si="3"/>
        <v>38.571288952141799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196.48981288416093</v>
      </c>
      <c r="T68" s="59">
        <f t="shared" si="34"/>
        <v>512.57293376854773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28.776848559790025</v>
      </c>
      <c r="AA68" s="21">
        <f>EXP(-LN(2)/25)*AA67+(1-EXP(-LN(2)/25))/(LN(2)/25)*Calculateur!V68*Calculateur!X68*VLOOKUP('Données projet'!$B$9,Paramètres!$A$1:$I$89,3,0)*0.475*44/12</f>
        <v>8.9667669746939698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37.743615534483993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196.48981288416093</v>
      </c>
      <c r="T69" s="59">
        <f t="shared" ref="T69:T132" si="88">$T$3</f>
        <v>512.57293376854773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28.212552111677034</v>
      </c>
      <c r="AA69" s="21">
        <f>EXP(-LN(2)/25)*AA68+(1-EXP(-LN(2)/25))/(LN(2)/25)*Calculateur!V69*Calculateur!X69*VLOOKUP('Données projet'!$B$9,Paramètres!$A$1:$I$89,3,0)*0.475*44/12</f>
        <v>8.721570260229182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36.934122371906213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196.48981288416093</v>
      </c>
      <c r="T70" s="59">
        <f t="shared" si="88"/>
        <v>512.57293376854773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27.659321172724692</v>
      </c>
      <c r="AA70" s="21">
        <f>EXP(-LN(2)/25)*AA69+(1-EXP(-LN(2)/25))/(LN(2)/25)*Calculateur!V70*Calculateur!X70*VLOOKUP('Données projet'!$B$9,Paramètres!$A$1:$I$89,3,0)*0.475*44/12</f>
        <v>8.4830784628157687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36.142399635540457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196.48981288416093</v>
      </c>
      <c r="T71" s="59">
        <f t="shared" si="88"/>
        <v>512.57293376854773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27.116938755047649</v>
      </c>
      <c r="AA71" s="21">
        <f>EXP(-LN(2)/25)*AA70+(1-EXP(-LN(2)/25))/(LN(2)/25)*Calculateur!V71*Calculateur!X71*VLOOKUP('Données projet'!$B$9,Paramètres!$A$1:$I$89,3,0)*0.475*44/12</f>
        <v>8.2511082361443631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35.36804699119201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196.48981288416093</v>
      </c>
      <c r="T72" s="59">
        <f t="shared" si="88"/>
        <v>512.57293376854773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26.585192125760646</v>
      </c>
      <c r="AA72" s="21">
        <f>EXP(-LN(2)/25)*AA71+(1-EXP(-LN(2)/25))/(LN(2)/25)*Calculateur!V72*Calculateur!X72*VLOOKUP('Données projet'!$B$9,Paramètres!$A$1:$I$89,3,0)*0.475*44/12</f>
        <v>8.0254812475200712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34.610673373280719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196.48981288416093</v>
      </c>
      <c r="T73" s="59">
        <f t="shared" si="88"/>
        <v>512.57293376854773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26.063872723540541</v>
      </c>
      <c r="AA73" s="21">
        <f>EXP(-LN(2)/25)*AA72+(1-EXP(-LN(2)/25))/(LN(2)/25)*Calculateur!V73*Calculateur!X73*VLOOKUP('Données projet'!$B$9,Paramètres!$A$1:$I$89,3,0)*0.475*44/12</f>
        <v>7.8060240407649184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33.869896764305459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196.48981288416093</v>
      </c>
      <c r="T74" s="59">
        <f t="shared" si="88"/>
        <v>512.57293376854773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25.552776076824536</v>
      </c>
      <c r="AA74" s="21">
        <f>EXP(-LN(2)/25)*AA73+(1-EXP(-LN(2)/25))/(LN(2)/25)*Calculateur!V74*Calculateur!X74*VLOOKUP('Données projet'!$B$9,Paramètres!$A$1:$I$89,3,0)*0.475*44/12</f>
        <v>7.5925679028692379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33.145343979693777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196.48981288416093</v>
      </c>
      <c r="T75" s="59">
        <f t="shared" si="88"/>
        <v>512.57293376854773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25.051701723612457</v>
      </c>
      <c r="AA75" s="21">
        <f>EXP(-LN(2)/25)*AA74+(1-EXP(-LN(2)/25))/(LN(2)/25)*Calculateur!V75*Calculateur!X75*VLOOKUP('Données projet'!$B$9,Paramètres!$A$1:$I$89,3,0)*0.475*44/12</f>
        <v>7.3849487342894857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32.436650457901941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196.48981288416093</v>
      </c>
      <c r="T76" s="59">
        <f t="shared" si="88"/>
        <v>512.57293376854773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24.56045313284169</v>
      </c>
      <c r="AA76" s="21">
        <f>EXP(-LN(2)/25)*AA75+(1-EXP(-LN(2)/25))/(LN(2)/25)*Calculateur!V76*Calculateur!X76*VLOOKUP('Données projet'!$B$9,Paramètres!$A$1:$I$89,3,0)*0.475*44/12</f>
        <v>7.1830069227927646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31.743460055634454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196.48981288416093</v>
      </c>
      <c r="T77" s="59">
        <f t="shared" si="88"/>
        <v>512.57293376854773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24.078837627303884</v>
      </c>
      <c r="AA77" s="21">
        <f>EXP(-LN(2)/25)*AA76+(1-EXP(-LN(2)/25))/(LN(2)/25)*Calculateur!V77*Calculateur!X77*VLOOKUP('Données projet'!$B$9,Paramètres!$A$1:$I$89,3,0)*0.475*44/12</f>
        <v>6.9865872207510797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31.065424848054963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196.48981288416093</v>
      </c>
      <c r="T78" s="59">
        <f t="shared" si="88"/>
        <v>512.57293376854773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23.606666308073223</v>
      </c>
      <c r="AA78" s="21">
        <f>EXP(-LN(2)/25)*AA77+(1-EXP(-LN(2)/25))/(LN(2)/25)*Calculateur!V78*Calculateur!X78*VLOOKUP('Données projet'!$B$9,Paramètres!$A$1:$I$89,3,0)*0.475*44/12</f>
        <v>6.7955386257909876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30.402204933864212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196.48981288416093</v>
      </c>
      <c r="T79" s="59">
        <f t="shared" si="88"/>
        <v>512.57293376854773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23.143753980416605</v>
      </c>
      <c r="AA79" s="21">
        <f>EXP(-LN(2)/25)*AA78+(1-EXP(-LN(2)/25))/(LN(2)/25)*Calculateur!V79*Calculateur!X79*VLOOKUP('Données projet'!$B$9,Paramètres!$A$1:$I$89,3,0)*0.475*44/12</f>
        <v>6.6097142647068878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29.753468245123493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196.48981288416093</v>
      </c>
      <c r="T80" s="59">
        <f t="shared" si="88"/>
        <v>512.57293376854773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22.689919081156695</v>
      </c>
      <c r="AA80" s="21">
        <f>EXP(-LN(2)/25)*AA79+(1-EXP(-LN(2)/25))/(LN(2)/25)*Calculateur!V80*Calculateur!X80*VLOOKUP('Données projet'!$B$9,Paramètres!$A$1:$I$89,3,0)*0.475*44/12</f>
        <v>6.4289712805487111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29.118890361705407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196.48981288416093</v>
      </c>
      <c r="T81" s="59">
        <f t="shared" si="88"/>
        <v>512.57293376854773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22.244983607459318</v>
      </c>
      <c r="AA81" s="21">
        <f>EXP(-LN(2)/25)*AA80+(1-EXP(-LN(2)/25))/(LN(2)/25)*Calculateur!V81*Calculateur!X81*VLOOKUP('Données projet'!$B$9,Paramètres!$A$1:$I$89,3,0)*0.475*44/12</f>
        <v>6.2531707227972007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28.498154330256519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196.48981288416093</v>
      </c>
      <c r="T82" s="59">
        <f t="shared" si="88"/>
        <v>512.57293376854773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21.808773047017304</v>
      </c>
      <c r="AA82" s="21">
        <f>EXP(-LN(2)/25)*AA81+(1-EXP(-LN(2)/25))/(LN(2)/25)*Calculateur!V82*Calculateur!X82*VLOOKUP('Données projet'!$B$9,Paramètres!$A$1:$I$89,3,0)*0.475*44/12</f>
        <v>6.0821774405423543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27.890950487559657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196.48981288416093</v>
      </c>
      <c r="T83" s="59">
        <f t="shared" si="88"/>
        <v>512.57293376854773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21.381116309603385</v>
      </c>
      <c r="AA83" s="21">
        <f>EXP(-LN(2)/25)*AA82+(1-EXP(-LN(2)/25))/(LN(2)/25)*Calculateur!V83*Calculateur!X83*VLOOKUP('Données projet'!$B$9,Paramètres!$A$1:$I$89,3,0)*0.475*44/12</f>
        <v>5.9158599785829127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27.296976288186297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196.48981288416093</v>
      </c>
      <c r="T84" s="59">
        <f t="shared" si="88"/>
        <v>512.57293376854773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20.961845659965302</v>
      </c>
      <c r="AA84" s="21">
        <f>EXP(-LN(2)/25)*AA83+(1-EXP(-LN(2)/25))/(LN(2)/25)*Calculateur!V84*Calculateur!X84*VLOOKUP('Données projet'!$B$9,Paramètres!$A$1:$I$89,3,0)*0.475*44/12</f>
        <v>5.7540904763670078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26.71593613633231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196.48981288416093</v>
      </c>
      <c r="T85" s="59">
        <f t="shared" si="88"/>
        <v>512.57293376854773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20.550796652036777</v>
      </c>
      <c r="AA85" s="21">
        <f>EXP(-LN(2)/25)*AA84+(1-EXP(-LN(2)/25))/(LN(2)/25)*Calculateur!V85*Calculateur!X85*VLOOKUP('Données projet'!$B$9,Paramètres!$A$1:$I$89,3,0)*0.475*44/12</f>
        <v>5.596744569696285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26.147541221733061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196.48981288416093</v>
      </c>
      <c r="T86" s="59">
        <f t="shared" si="88"/>
        <v>512.57293376854773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20.147808064438589</v>
      </c>
      <c r="AA86" s="21">
        <f>EXP(-LN(2)/25)*AA85+(1-EXP(-LN(2)/25))/(LN(2)/25)*Calculateur!V86*Calculateur!X86*VLOOKUP('Données projet'!$B$9,Paramètres!$A$1:$I$89,3,0)*0.475*44/12</f>
        <v>5.4437012951179344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25.591509359556525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196.48981288416093</v>
      </c>
      <c r="T87" s="59">
        <f t="shared" si="88"/>
        <v>512.57293376854773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19.752721837244433</v>
      </c>
      <c r="AA87" s="21">
        <f>EXP(-LN(2)/25)*AA86+(1-EXP(-LN(2)/25))/(LN(2)/25)*Calculateur!V87*Calculateur!X87*VLOOKUP('Données projet'!$B$9,Paramètres!$A$1:$I$89,3,0)*0.475*44/12</f>
        <v>5.2948429969311253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25.04756483417556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196.48981288416093</v>
      </c>
      <c r="T88" s="59">
        <f t="shared" si="88"/>
        <v>512.57293376854773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19.365383009986751</v>
      </c>
      <c r="AA88" s="21">
        <f>EXP(-LN(2)/25)*AA87+(1-EXP(-LN(2)/25))/(LN(2)/25)*Calculateur!V88*Calculateur!X88*VLOOKUP('Données projet'!$B$9,Paramètres!$A$1:$I$89,3,0)*0.475*44/12</f>
        <v>5.1500552367363523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24.515438246723104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196.48981288416093</v>
      </c>
      <c r="T89" s="59">
        <f t="shared" si="88"/>
        <v>512.57293376854773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18.985639660878235</v>
      </c>
      <c r="AA89" s="21">
        <f>EXP(-LN(2)/25)*AA88+(1-EXP(-LN(2)/25))/(LN(2)/25)*Calculateur!V89*Calculateur!X89*VLOOKUP('Données projet'!$B$9,Paramètres!$A$1:$I$89,3,0)*0.475*44/12</f>
        <v>5.0092267054581621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23.994866366336396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196.48981288416093</v>
      </c>
      <c r="T90" s="59">
        <f t="shared" si="88"/>
        <v>512.57293376854773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18.613342847225166</v>
      </c>
      <c r="AA90" s="21">
        <f>EXP(-LN(2)/25)*AA89+(1-EXP(-LN(2)/25))/(LN(2)/25)*Calculateur!V90*Calculateur!X90*VLOOKUP('Données projet'!$B$9,Paramètres!$A$1:$I$89,3,0)*0.475*44/12</f>
        <v>4.8722491377736246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23.485591984998791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196.48981288416093</v>
      </c>
      <c r="T91" s="59">
        <f t="shared" si="88"/>
        <v>512.57293376854773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18.248346547009199</v>
      </c>
      <c r="AA91" s="21">
        <f>EXP(-LN(2)/25)*AA90+(1-EXP(-LN(2)/25))/(LN(2)/25)*Calculateur!V91*Calculateur!X91*VLOOKUP('Données projet'!$B$9,Paramètres!$A$1:$I$89,3,0)*0.475*44/12</f>
        <v>4.7390172288807584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22.987363775889957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196.48981288416093</v>
      </c>
      <c r="T92" s="59">
        <f t="shared" si="88"/>
        <v>512.57293376854773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17.890507601614708</v>
      </c>
      <c r="AA92" s="21">
        <f>EXP(-LN(2)/25)*AA91+(1-EXP(-LN(2)/25))/(LN(2)/25)*Calculateur!V92*Calculateur!X92*VLOOKUP('Données projet'!$B$9,Paramètres!$A$1:$I$89,3,0)*0.475*44/12</f>
        <v>4.6094285535429291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22.499936155157638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196.48981288416093</v>
      </c>
      <c r="T93" s="59">
        <f t="shared" si="88"/>
        <v>512.57293376854773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17.539685659679197</v>
      </c>
      <c r="AA93" s="21">
        <f>EXP(-LN(2)/25)*AA92+(1-EXP(-LN(2)/25))/(LN(2)/25)*Calculateur!V93*Calculateur!X93*VLOOKUP('Données projet'!$B$9,Paramètres!$A$1:$I$89,3,0)*0.475*44/12</f>
        <v>4.4833834873469849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22.023069147026181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196.48981288416093</v>
      </c>
      <c r="T94" s="59">
        <f t="shared" si="88"/>
        <v>512.57293376854773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17.195743122044785</v>
      </c>
      <c r="AA94" s="21">
        <f>EXP(-LN(2)/25)*AA93+(1-EXP(-LN(2)/25))/(LN(2)/25)*Calculateur!V94*Calculateur!X94*VLOOKUP('Données projet'!$B$9,Paramètres!$A$1:$I$89,3,0)*0.475*44/12</f>
        <v>4.360785130114591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21.556528252159374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196.48981288416093</v>
      </c>
      <c r="T95" s="59">
        <f t="shared" si="88"/>
        <v>512.57293376854773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16.85854508778915</v>
      </c>
      <c r="AA95" s="21">
        <f>EXP(-LN(2)/25)*AA94+(1-EXP(-LN(2)/25))/(LN(2)/25)*Calculateur!V95*Calculateur!X95*VLOOKUP('Données projet'!$B$9,Paramètres!$A$1:$I$89,3,0)*0.475*44/12</f>
        <v>4.2415392314078844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21.100084319197034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196.48981288416093</v>
      </c>
      <c r="T96" s="59">
        <f t="shared" si="88"/>
        <v>512.57293376854773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16.527959301314777</v>
      </c>
      <c r="AA96" s="21">
        <f>EXP(-LN(2)/25)*AA95+(1-EXP(-LN(2)/25))/(LN(2)/25)*Calculateur!V96*Calculateur!X96*VLOOKUP('Données projet'!$B$9,Paramètres!$A$1:$I$89,3,0)*0.475*44/12</f>
        <v>4.1255541180721815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20.653513419386957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196.48981288416093</v>
      </c>
      <c r="T97" s="59">
        <f t="shared" si="88"/>
        <v>512.57293376854773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16.203856100475747</v>
      </c>
      <c r="AA97" s="21">
        <f>EXP(-LN(2)/25)*AA96+(1-EXP(-LN(2)/25))/(LN(2)/25)*Calculateur!V97*Calculateur!X97*VLOOKUP('Données projet'!$B$9,Paramètres!$A$1:$I$89,3,0)*0.475*44/12</f>
        <v>4.0127406237600356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20.216596724235782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196.48981288416093</v>
      </c>
      <c r="T98" s="59">
        <f t="shared" si="88"/>
        <v>512.57293376854773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15.886108365721736</v>
      </c>
      <c r="AA98" s="21">
        <f>EXP(-LN(2)/25)*AA97+(1-EXP(-LN(2)/25))/(LN(2)/25)*Calculateur!V98*Calculateur!X98*VLOOKUP('Données projet'!$B$9,Paramètres!$A$1:$I$89,3,0)*0.475*44/12</f>
        <v>3.9030120203824592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19.789120386104194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196.48981288416093</v>
      </c>
      <c r="T99" s="59">
        <f t="shared" si="88"/>
        <v>512.57293376854773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15.57459147023927</v>
      </c>
      <c r="AA99" s="21">
        <f>EXP(-LN(2)/25)*AA98+(1-EXP(-LN(2)/25))/(LN(2)/25)*Calculateur!V99*Calculateur!X99*VLOOKUP('Données projet'!$B$9,Paramètres!$A$1:$I$89,3,0)*0.475*44/12</f>
        <v>3.7962839514346189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19.370875421673887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196.48981288416093</v>
      </c>
      <c r="T100" s="59">
        <f t="shared" si="88"/>
        <v>512.57293376854773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15.26918323107067</v>
      </c>
      <c r="AA100" s="21">
        <f>EXP(-LN(2)/25)*AA99+(1-EXP(-LN(2)/25))/(LN(2)/25)*Calculateur!V100*Calculateur!X100*VLOOKUP('Données projet'!$B$9,Paramètres!$A$1:$I$89,3,0)*0.475*44/12</f>
        <v>3.6924743671447429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18.961657598215414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196.48981288416093</v>
      </c>
      <c r="T101" s="59">
        <f t="shared" si="88"/>
        <v>512.57293376854773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14.969763861191534</v>
      </c>
      <c r="AA101" s="21">
        <f>EXP(-LN(2)/25)*AA100+(1-EXP(-LN(2)/25))/(LN(2)/25)*Calculateur!V101*Calculateur!X101*VLOOKUP('Données projet'!$B$9,Paramètres!$A$1:$I$89,3,0)*0.475*44/12</f>
        <v>3.5915034613963823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18.561267322587916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196.48981288416093</v>
      </c>
      <c r="T102" s="59">
        <f t="shared" si="88"/>
        <v>512.57293376854773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14.676215922527946</v>
      </c>
      <c r="AA102" s="21">
        <f>EXP(-LN(2)/25)*AA101+(1-EXP(-LN(2)/25))/(LN(2)/25)*Calculateur!V102*Calculateur!X102*VLOOKUP('Données projet'!$B$9,Paramètres!$A$1:$I$89,3,0)*0.475*44/12</f>
        <v>3.4932936103755399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18.169509532903486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196.48981288416093</v>
      </c>
      <c r="T103" s="59">
        <f t="shared" si="88"/>
        <v>512.57293376854773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14.388424279894988</v>
      </c>
      <c r="AA103" s="21">
        <f>EXP(-LN(2)/25)*AA102+(1-EXP(-LN(2)/25))/(LN(2)/25)*Calculateur!V103*Calculateur!X103*VLOOKUP('Données projet'!$B$9,Paramètres!$A$1:$I$89,3,0)*0.475*44/12</f>
        <v>3.3977693128954938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17.786193592790482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196.48981288416093</v>
      </c>
      <c r="T104" s="59">
        <f t="shared" si="88"/>
        <v>512.57293376854773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14.106276055838492</v>
      </c>
      <c r="AA104" s="21">
        <f>EXP(-LN(2)/25)*AA103+(1-EXP(-LN(2)/25))/(LN(2)/25)*Calculateur!V104*Calculateur!X104*VLOOKUP('Données projet'!$B$9,Paramètres!$A$1:$I$89,3,0)*0.475*44/12</f>
        <v>3.3048571323534439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17.411133188191936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196.48981288416093</v>
      </c>
      <c r="T105" s="59">
        <f t="shared" si="88"/>
        <v>512.57293376854773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13.829660586362321</v>
      </c>
      <c r="AA105" s="21">
        <f>EXP(-LN(2)/25)*AA104+(1-EXP(-LN(2)/25))/(LN(2)/25)*Calculateur!V105*Calculateur!X105*VLOOKUP('Données projet'!$B$9,Paramètres!$A$1:$I$89,3,0)*0.475*44/12</f>
        <v>3.2144856402743556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17.044146226636677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196.48981288416093</v>
      </c>
      <c r="T106" s="59">
        <f t="shared" si="88"/>
        <v>512.57293376854773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13.558469377523801</v>
      </c>
      <c r="AA106" s="21">
        <f>EXP(-LN(2)/25)*AA105+(1-EXP(-LN(2)/25))/(LN(2)/25)*Calculateur!V106*Calculateur!X106*VLOOKUP('Données projet'!$B$9,Paramètres!$A$1:$I$89,3,0)*0.475*44/12</f>
        <v>3.1265853613986003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16.685054738922403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196.48981288416093</v>
      </c>
      <c r="T107" s="59">
        <f t="shared" si="88"/>
        <v>512.57293376854773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13.2925960628803</v>
      </c>
      <c r="AA107" s="21">
        <f>EXP(-LN(2)/25)*AA106+(1-EXP(-LN(2)/25))/(LN(2)/25)*Calculateur!V107*Calculateur!X107*VLOOKUP('Données projet'!$B$9,Paramètres!$A$1:$I$89,3,0)*0.475*44/12</f>
        <v>3.0410887202711772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16.333684783151476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196.48981288416093</v>
      </c>
      <c r="T108" s="59">
        <f t="shared" si="88"/>
        <v>512.57293376854773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13.031936361770248</v>
      </c>
      <c r="AA108" s="21">
        <f>EXP(-LN(2)/25)*AA107+(1-EXP(-LN(2)/25))/(LN(2)/25)*Calculateur!V108*Calculateur!X108*VLOOKUP('Données projet'!$B$9,Paramètres!$A$1:$I$89,3,0)*0.475*44/12</f>
        <v>2.9579299892914563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15.989866351061703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196.48981288416093</v>
      </c>
      <c r="T109" s="59">
        <f t="shared" si="88"/>
        <v>512.57293376854773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12.776388038412245</v>
      </c>
      <c r="AA109" s="21">
        <f>EXP(-LN(2)/25)*AA108+(1-EXP(-LN(2)/25))/(LN(2)/25)*Calculateur!V109*Calculateur!X109*VLOOKUP('Données projet'!$B$9,Paramètres!$A$1:$I$89,3,0)*0.475*44/12</f>
        <v>2.8770452381835039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15.653433276595749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196.48981288416093</v>
      </c>
      <c r="T110" s="59">
        <f t="shared" si="88"/>
        <v>512.57293376854773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12.525850861806207</v>
      </c>
      <c r="AA110" s="21">
        <f>EXP(-LN(2)/25)*AA109+(1-EXP(-LN(2)/25))/(LN(2)/25)*Calculateur!V110*Calculateur!X110*VLOOKUP('Données projet'!$B$9,Paramètres!$A$1:$I$89,3,0)*0.475*44/12</f>
        <v>2.7983722848481425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15.324223146654349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196.48981288416093</v>
      </c>
      <c r="T111" s="59">
        <f t="shared" si="88"/>
        <v>512.57293376854773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12.280226566420824</v>
      </c>
      <c r="AA111" s="21">
        <f>EXP(-LN(2)/25)*AA110+(1-EXP(-LN(2)/25))/(LN(2)/25)*Calculateur!V111*Calculateur!X111*VLOOKUP('Données projet'!$B$9,Paramètres!$A$1:$I$89,3,0)*0.475*44/12</f>
        <v>2.7218506475589672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15.002077213979792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196.48981288416093</v>
      </c>
      <c r="T112" s="59">
        <f t="shared" si="88"/>
        <v>512.57293376854773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12.039418813651922</v>
      </c>
      <c r="AA112" s="21">
        <f>EXP(-LN(2)/25)*AA111+(1-EXP(-LN(2)/25))/(LN(2)/25)*Calculateur!V112*Calculateur!X112*VLOOKUP('Données projet'!$B$9,Paramètres!$A$1:$I$89,3,0)*0.475*44/12</f>
        <v>2.6474214984655626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14.686840312117486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196.48981288416093</v>
      </c>
      <c r="T113" s="59">
        <f t="shared" si="88"/>
        <v>512.57293376854773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11.803333154036592</v>
      </c>
      <c r="AA113" s="21">
        <f>EXP(-LN(2)/25)*AA112+(1-EXP(-LN(2)/25))/(LN(2)/25)*Calculateur!V113*Calculateur!X113*VLOOKUP('Données projet'!$B$9,Paramètres!$A$1:$I$89,3,0)*0.475*44/12</f>
        <v>2.5750276183681762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14.378360772404768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196.48981288416093</v>
      </c>
      <c r="T114" s="59">
        <f t="shared" si="88"/>
        <v>512.57293376854773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11.571876990208285</v>
      </c>
      <c r="AA114" s="21">
        <f>EXP(-LN(2)/25)*AA113+(1-EXP(-LN(2)/25))/(LN(2)/25)*Calculateur!V114*Calculateur!X114*VLOOKUP('Données projet'!$B$9,Paramètres!$A$1:$I$89,3,0)*0.475*44/12</f>
        <v>2.504613352729081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14.076490342937365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196.48981288416093</v>
      </c>
      <c r="T115" s="59">
        <f t="shared" si="88"/>
        <v>512.57293376854773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11.34495954057833</v>
      </c>
      <c r="AA115" s="21">
        <f>EXP(-LN(2)/25)*AA114+(1-EXP(-LN(2)/25))/(LN(2)/25)*Calculateur!V115*Calculateur!X115*VLOOKUP('Données projet'!$B$9,Paramètres!$A$1:$I$89,3,0)*0.475*44/12</f>
        <v>2.4361245688868123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13.781084109465143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196.48981288416093</v>
      </c>
      <c r="T116" s="59">
        <f t="shared" si="88"/>
        <v>512.57293376854773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11.122491803729641</v>
      </c>
      <c r="AA116" s="21">
        <f>EXP(-LN(2)/25)*AA115+(1-EXP(-LN(2)/25))/(LN(2)/25)*Calculateur!V116*Calculateur!X116*VLOOKUP('Données projet'!$B$9,Paramètres!$A$1:$I$89,3,0)*0.475*44/12</f>
        <v>2.3695086144403792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13.49200041817002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196.48981288416093</v>
      </c>
      <c r="T117" s="59">
        <f t="shared" si="88"/>
        <v>512.57293376854773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10.904386523508634</v>
      </c>
      <c r="AA117" s="21">
        <f>EXP(-LN(2)/25)*AA116+(1-EXP(-LN(2)/25))/(LN(2)/25)*Calculateur!V117*Calculateur!X117*VLOOKUP('Données projet'!$B$9,Paramètres!$A$1:$I$89,3,0)*0.475*44/12</f>
        <v>2.3047142767714646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13.209100800280099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196.48981288416093</v>
      </c>
      <c r="T118" s="59">
        <f t="shared" si="88"/>
        <v>512.57293376854773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10.690558154801677</v>
      </c>
      <c r="AA118" s="21">
        <f>EXP(-LN(2)/25)*AA117+(1-EXP(-LN(2)/25))/(LN(2)/25)*Calculateur!V118*Calculateur!X118*VLOOKUP('Données projet'!$B$9,Paramètres!$A$1:$I$89,3,0)*0.475*44/12</f>
        <v>2.2416917436734924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12.932249898475169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196.48981288416093</v>
      </c>
      <c r="T119" s="59">
        <f t="shared" si="88"/>
        <v>512.57293376854773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10.480922829982635</v>
      </c>
      <c r="AA119" s="21">
        <f>EXP(-LN(2)/25)*AA118+(1-EXP(-LN(2)/25))/(LN(2)/25)*Calculateur!V119*Calculateur!X119*VLOOKUP('Données projet'!$B$9,Paramètres!$A$1:$I$89,3,0)*0.475*44/12</f>
        <v>2.1803925650572955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12.661315395039932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196.48981288416093</v>
      </c>
      <c r="T120" s="59">
        <f t="shared" si="88"/>
        <v>512.57293376854773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10.275398326018372</v>
      </c>
      <c r="AA120" s="21">
        <f>EXP(-LN(2)/25)*AA119+(1-EXP(-LN(2)/25))/(LN(2)/25)*Calculateur!V120*Calculateur!X120*VLOOKUP('Données projet'!$B$9,Paramètres!$A$1:$I$89,3,0)*0.475*44/12</f>
        <v>2.1207696157039422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12.396167941722315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196.48981288416093</v>
      </c>
      <c r="T121" s="59">
        <f t="shared" si="88"/>
        <v>512.57293376854773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10.073904032219279</v>
      </c>
      <c r="AA121" s="21">
        <f>EXP(-LN(2)/25)*AA120+(1-EXP(-LN(2)/25))/(LN(2)/25)*Calculateur!V121*Calculateur!X121*VLOOKUP('Données projet'!$B$9,Paramètres!$A$1:$I$89,3,0)*0.475*44/12</f>
        <v>2.0627770590360908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12.136681091255369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196.48981288416093</v>
      </c>
      <c r="T122" s="59">
        <f t="shared" si="88"/>
        <v>512.57293376854773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9.8763609186222023</v>
      </c>
      <c r="AA122" s="21">
        <f>EXP(-LN(2)/25)*AA121+(1-EXP(-LN(2)/25))/(LN(2)/25)*Calculateur!V122*Calculateur!X122*VLOOKUP('Données projet'!$B$9,Paramètres!$A$1:$I$89,3,0)*0.475*44/12</f>
        <v>2.0063703118800178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11.88273123050222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196.48981288416093</v>
      </c>
      <c r="T123" s="59">
        <f t="shared" si="88"/>
        <v>512.57293376854773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9.6826915049933628</v>
      </c>
      <c r="AA123" s="21">
        <f>EXP(-LN(2)/25)*AA122+(1-EXP(-LN(2)/25))/(LN(2)/25)*Calculateur!V123*Calculateur!X123*VLOOKUP('Données projet'!$B$9,Paramètres!$A$1:$I$89,3,0)*0.475*44/12</f>
        <v>1.9515060101912296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11.634197515184592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196.48981288416093</v>
      </c>
      <c r="T124" s="59">
        <f t="shared" si="88"/>
        <v>512.57293376854773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9.4928198304391067</v>
      </c>
      <c r="AA124" s="21">
        <f>EXP(-LN(2)/25)*AA123+(1-EXP(-LN(2)/25))/(LN(2)/25)*Calculateur!V124*Calculateur!X124*VLOOKUP('Données projet'!$B$9,Paramètres!$A$1:$I$89,3,0)*0.475*44/12</f>
        <v>1.8981419757173095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11.390961806156415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196.48981288416093</v>
      </c>
      <c r="T125" s="59">
        <f t="shared" si="88"/>
        <v>512.57293376854773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9.3066714236125723</v>
      </c>
      <c r="AA125" s="21">
        <f>EXP(-LN(2)/25)*AA124+(1-EXP(-LN(2)/25))/(LN(2)/25)*Calculateur!V125*Calculateur!X125*VLOOKUP('Données projet'!$B$9,Paramètres!$A$1:$I$89,3,0)*0.475*44/12</f>
        <v>1.8462371835723714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11.152908607184944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196.48981288416093</v>
      </c>
      <c r="T126" s="59">
        <f t="shared" si="88"/>
        <v>512.57293376854773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9.1241732735045886</v>
      </c>
      <c r="AA126" s="21">
        <f>EXP(-LN(2)/25)*AA125+(1-EXP(-LN(2)/25))/(LN(2)/25)*Calculateur!V126*Calculateur!X126*VLOOKUP('Données projet'!$B$9,Paramètres!$A$1:$I$89,3,0)*0.475*44/12</f>
        <v>1.7957517306981912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10.91992500420278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196.48981288416093</v>
      </c>
      <c r="T127" s="59">
        <f t="shared" si="88"/>
        <v>512.57293376854773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8.9452538008073432</v>
      </c>
      <c r="AA127" s="21">
        <f>EXP(-LN(2)/25)*AA126+(1-EXP(-LN(2)/25))/(LN(2)/25)*Calculateur!V127*Calculateur!X127*VLOOKUP('Données projet'!$B$9,Paramètres!$A$1:$I$89,3,0)*0.475*44/12</f>
        <v>1.7466468051877699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10.691900605995112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196.48981288416093</v>
      </c>
      <c r="T128" s="59">
        <f t="shared" si="88"/>
        <v>512.57293376854773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8.7698428298395878</v>
      </c>
      <c r="AA128" s="21">
        <f>EXP(-LN(2)/25)*AA127+(1-EXP(-LN(2)/25))/(LN(2)/25)*Calculateur!V128*Calculateur!X128*VLOOKUP('Données projet'!$B$9,Paramètres!$A$1:$I$89,3,0)*0.475*44/12</f>
        <v>1.6988846564477469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10.468727486287335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196.48981288416093</v>
      </c>
      <c r="T129" s="59">
        <f t="shared" si="88"/>
        <v>512.57293376854773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8.5978715610223819</v>
      </c>
      <c r="AA129" s="21">
        <f>EXP(-LN(2)/25)*AA128+(1-EXP(-LN(2)/25))/(LN(2)/25)*Calculateur!V129*Calculateur!X129*VLOOKUP('Données projet'!$B$9,Paramètres!$A$1:$I$89,3,0)*0.475*44/12</f>
        <v>1.652428566176722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10.250300127199104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196.48981288416093</v>
      </c>
      <c r="T130" s="59">
        <f t="shared" si="88"/>
        <v>512.57293376854773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8.4292725438945659</v>
      </c>
      <c r="AA130" s="21">
        <f>EXP(-LN(2)/25)*AA129+(1-EXP(-LN(2)/25))/(LN(2)/25)*Calculateur!V130*Calculateur!X130*VLOOKUP('Données projet'!$B$9,Paramètres!$A$1:$I$89,3,0)*0.475*44/12</f>
        <v>1.6072428201371778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10.036515364031743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196.48981288416093</v>
      </c>
      <c r="T131" s="59">
        <f t="shared" si="88"/>
        <v>512.57293376854773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8.2639796506573795</v>
      </c>
      <c r="AA131" s="21">
        <f>EXP(-LN(2)/25)*AA130+(1-EXP(-LN(2)/25))/(LN(2)/25)*Calculateur!V131*Calculateur!X131*VLOOKUP('Données projet'!$B$9,Paramètres!$A$1:$I$89,3,0)*0.475*44/12</f>
        <v>1.5632926806993002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9.8272723313566797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196.48981288416093</v>
      </c>
      <c r="T132" s="59">
        <f t="shared" si="88"/>
        <v>512.57293376854773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8.1019280502378646</v>
      </c>
      <c r="AA132" s="21">
        <f>EXP(-LN(2)/25)*AA131+(1-EXP(-LN(2)/25))/(LN(2)/25)*Calculateur!V132*Calculateur!X132*VLOOKUP('Données projet'!$B$9,Paramètres!$A$1:$I$89,3,0)*0.475*44/12</f>
        <v>1.5205443601355886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9.6224724103734527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196.48981288416093</v>
      </c>
      <c r="T133" s="59">
        <f t="shared" ref="T133:T196" si="142">$T$3</f>
        <v>512.57293376854773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7.9430541828608598</v>
      </c>
      <c r="AA133" s="21">
        <f>EXP(-LN(2)/25)*AA132+(1-EXP(-LN(2)/25))/(LN(2)/25)*Calculateur!V133*Calculateur!X133*VLOOKUP('Données projet'!$B$9,Paramètres!$A$1:$I$89,3,0)*0.475*44/12</f>
        <v>1.4789649946457282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9.4220191775065878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196.48981288416093</v>
      </c>
      <c r="T134" s="59">
        <f t="shared" si="142"/>
        <v>512.57293376854773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7.7872957351196268</v>
      </c>
      <c r="AA134" s="21">
        <f>EXP(-LN(2)/25)*AA133+(1-EXP(-LN(2)/25))/(LN(2)/25)*Calculateur!V134*Calculateur!X134*VLOOKUP('Données projet'!$B$9,Paramètres!$A$1:$I$89,3,0)*0.475*44/12</f>
        <v>1.4385226190917519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9.2258183542113787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196.48981288416093</v>
      </c>
      <c r="T135" s="59">
        <f t="shared" si="142"/>
        <v>512.57293376854773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7.6345916155353271</v>
      </c>
      <c r="AA135" s="21">
        <f>EXP(-LN(2)/25)*AA134+(1-EXP(-LN(2)/25))/(LN(2)/25)*Calculateur!V135*Calculateur!X135*VLOOKUP('Données projet'!$B$9,Paramètres!$A$1:$I$89,3,0)*0.475*44/12</f>
        <v>1.3991861424240712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9.033777757959399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196.48981288416093</v>
      </c>
      <c r="T136" s="59">
        <f t="shared" si="142"/>
        <v>512.57293376854773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7.4848819305957592</v>
      </c>
      <c r="AA136" s="21">
        <f>EXP(-LN(2)/25)*AA135+(1-EXP(-LN(2)/25))/(LN(2)/25)*Calculateur!V136*Calculateur!X136*VLOOKUP('Données projet'!$B$9,Paramètres!$A$1:$I$89,3,0)*0.475*44/12</f>
        <v>1.3609253237794836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8.8458072543752433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196.48981288416093</v>
      </c>
      <c r="T137" s="59">
        <f t="shared" si="142"/>
        <v>512.57293376854773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7.3381079612639653</v>
      </c>
      <c r="AA137" s="21">
        <f>EXP(-LN(2)/25)*AA136+(1-EXP(-LN(2)/25))/(LN(2)/25)*Calculateur!V137*Calculateur!X137*VLOOKUP('Données projet'!$B$9,Paramètres!$A$1:$I$89,3,0)*0.475*44/12</f>
        <v>1.3237107492327813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8.6618187104967461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196.48981288416093</v>
      </c>
      <c r="T138" s="59">
        <f t="shared" si="142"/>
        <v>512.57293376854773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7.1942121399474868</v>
      </c>
      <c r="AA138" s="21">
        <f>EXP(-LN(2)/25)*AA137+(1-EXP(-LN(2)/25))/(LN(2)/25)*Calculateur!V138*Calculateur!X138*VLOOKUP('Données projet'!$B$9,Paramètres!$A$1:$I$89,3,0)*0.475*44/12</f>
        <v>1.2875138091840881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8.4817259491315742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196.48981288416093</v>
      </c>
      <c r="T139" s="59">
        <f t="shared" si="142"/>
        <v>512.57293376854773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7.0531380279192391</v>
      </c>
      <c r="AA139" s="21">
        <f>EXP(-LN(2)/25)*AA138+(1-EXP(-LN(2)/25))/(LN(2)/25)*Calculateur!V139*Calculateur!X139*VLOOKUP('Données projet'!$B$9,Paramètres!$A$1:$I$89,3,0)*0.475*44/12</f>
        <v>1.2523066763645405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8.3054447042837793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196.48981288416093</v>
      </c>
      <c r="T140" s="59">
        <f t="shared" si="142"/>
        <v>512.57293376854773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6.9148302931811534</v>
      </c>
      <c r="AA140" s="21">
        <f>EXP(-LN(2)/25)*AA139+(1-EXP(-LN(2)/25))/(LN(2)/25)*Calculateur!V140*Calculateur!X140*VLOOKUP('Données projet'!$B$9,Paramètres!$A$1:$I$89,3,0)*0.475*44/12</f>
        <v>1.2180622844434061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8.1328925776245597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196.48981288416093</v>
      </c>
      <c r="T141" s="59">
        <f t="shared" si="142"/>
        <v>512.57293376854773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6.7792346887618935</v>
      </c>
      <c r="AA141" s="21">
        <f>EXP(-LN(2)/25)*AA140+(1-EXP(-LN(2)/25))/(LN(2)/25)*Calculateur!V141*Calculateur!X141*VLOOKUP('Données projet'!$B$9,Paramètres!$A$1:$I$89,3,0)*0.475*44/12</f>
        <v>1.1847543072201896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7.9639889959820831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196.48981288416093</v>
      </c>
      <c r="T142" s="59">
        <f t="shared" si="142"/>
        <v>512.57293376854773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6.6462980314401428</v>
      </c>
      <c r="AA142" s="21">
        <f>EXP(-LN(2)/25)*AA141+(1-EXP(-LN(2)/25))/(LN(2)/25)*Calculateur!V142*Calculateur!X142*VLOOKUP('Données projet'!$B$9,Paramètres!$A$1:$I$89,3,0)*0.475*44/12</f>
        <v>1.1523571383857323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7.7986551698258753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196.48981288416093</v>
      </c>
      <c r="T143" s="59">
        <f t="shared" si="142"/>
        <v>512.57293376854773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6.5159681808851175</v>
      </c>
      <c r="AA143" s="21">
        <f>EXP(-LN(2)/25)*AA142+(1-EXP(-LN(2)/25))/(LN(2)/25)*Calculateur!V143*Calculateur!X143*VLOOKUP('Données projet'!$B$9,Paramètres!$A$1:$I$89,3,0)*0.475*44/12</f>
        <v>1.1208458718367462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7.6368140527218635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196.48981288416093</v>
      </c>
      <c r="T144" s="59">
        <f t="shared" si="142"/>
        <v>512.57293376854773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6.3881940192061162</v>
      </c>
      <c r="AA144" s="21">
        <f>EXP(-LN(2)/25)*AA143+(1-EXP(-LN(2)/25))/(LN(2)/25)*Calculateur!V144*Calculateur!X144*VLOOKUP('Données projet'!$B$9,Paramètres!$A$1:$I$89,3,0)*0.475*44/12</f>
        <v>1.0901962825286478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7.4783903017347644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196.48981288416093</v>
      </c>
      <c r="T145" s="59">
        <f t="shared" si="142"/>
        <v>512.57293376854773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6.2629254309030973</v>
      </c>
      <c r="AA145" s="21">
        <f>EXP(-LN(2)/25)*AA144+(1-EXP(-LN(2)/25))/(LN(2)/25)*Calculateur!V145*Calculateur!X145*VLOOKUP('Données projet'!$B$9,Paramètres!$A$1:$I$89,3,0)*0.475*44/12</f>
        <v>1.0603848078519711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7.3233102387550684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196.48981288416093</v>
      </c>
      <c r="T146" s="59">
        <f t="shared" si="142"/>
        <v>512.57293376854773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6.1401132832104057</v>
      </c>
      <c r="AA146" s="21">
        <f>EXP(-LN(2)/25)*AA145+(1-EXP(-LN(2)/25))/(LN(2)/25)*Calculateur!V146*Calculateur!X146*VLOOKUP('Données projet'!$B$9,Paramètres!$A$1:$I$89,3,0)*0.475*44/12</f>
        <v>1.0313885295180454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7.1715018127284509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196.48981288416093</v>
      </c>
      <c r="T147" s="59">
        <f t="shared" si="142"/>
        <v>512.57293376854773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6.0197094068259549</v>
      </c>
      <c r="AA147" s="21">
        <f>EXP(-LN(2)/25)*AA146+(1-EXP(-LN(2)/25))/(LN(2)/25)*Calculateur!V147*Calculateur!X147*VLOOKUP('Données projet'!$B$9,Paramètres!$A$1:$I$89,3,0)*0.475*44/12</f>
        <v>1.0031851559400089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7.0228945627659636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196.48981288416093</v>
      </c>
      <c r="T148" s="59">
        <f t="shared" si="142"/>
        <v>512.57293376854773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5.9016665770182897</v>
      </c>
      <c r="AA148" s="21">
        <f>EXP(-LN(2)/25)*AA147+(1-EXP(-LN(2)/25))/(LN(2)/25)*Calculateur!V148*Calculateur!X148*VLOOKUP('Données projet'!$B$9,Paramètres!$A$1:$I$89,3,0)*0.475*44/12</f>
        <v>0.9757530050956148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6.8774195821139044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196.48981288416093</v>
      </c>
      <c r="T149" s="59">
        <f t="shared" si="142"/>
        <v>512.57293376854773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5.7859384951041362</v>
      </c>
      <c r="AA149" s="21">
        <f>EXP(-LN(2)/25)*AA148+(1-EXP(-LN(2)/25))/(LN(2)/25)*Calculateur!V149*Calculateur!X149*VLOOKUP('Données projet'!$B$9,Paramètres!$A$1:$I$89,3,0)*0.475*44/12</f>
        <v>0.94907098785865474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6.7350094829627913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196.48981288416093</v>
      </c>
      <c r="T150" s="59">
        <f t="shared" si="142"/>
        <v>512.57293376854773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5.6724797702891587</v>
      </c>
      <c r="AA150" s="21">
        <f>EXP(-LN(2)/25)*AA149+(1-EXP(-LN(2)/25))/(LN(2)/25)*Calculateur!V150*Calculateur!X150*VLOOKUP('Données projet'!$B$9,Paramètres!$A$1:$I$89,3,0)*0.475*44/12</f>
        <v>0.92311859178618572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6.5955983620753447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196.48981288416093</v>
      </c>
      <c r="T151" s="59">
        <f t="shared" si="142"/>
        <v>512.57293376854773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5.5612459018648144</v>
      </c>
      <c r="AA151" s="21">
        <f>EXP(-LN(2)/25)*AA150+(1-EXP(-LN(2)/25))/(LN(2)/25)*Calculateur!V151*Calculateur!X151*VLOOKUP('Données projet'!$B$9,Paramètres!$A$1:$I$89,3,0)*0.475*44/12</f>
        <v>0.89787586534909558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6.4591217672139098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196.48981288416093</v>
      </c>
      <c r="T152" s="59">
        <f t="shared" si="142"/>
        <v>512.57293376854773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5.452193261754311</v>
      </c>
      <c r="AA152" s="21">
        <f>EXP(-LN(2)/25)*AA151+(1-EXP(-LN(2)/25))/(LN(2)/25)*Calculateur!V152*Calculateur!X152*VLOOKUP('Données projet'!$B$9,Paramètres!$A$1:$I$89,3,0)*0.475*44/12</f>
        <v>0.87332340259388497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6.3255166643481964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196.48981288416093</v>
      </c>
      <c r="T153" s="59">
        <f t="shared" si="142"/>
        <v>512.57293376854773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5.3452790774008321</v>
      </c>
      <c r="AA153" s="21">
        <f>EXP(-LN(2)/25)*AA152+(1-EXP(-LN(2)/25))/(LN(2)/25)*Calculateur!V153*Calculateur!X153*VLOOKUP('Données projet'!$B$9,Paramètres!$A$1:$I$89,3,0)*0.475*44/12</f>
        <v>0.84944232822387344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6.1947214056247057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196.48981288416093</v>
      </c>
      <c r="T154" s="59">
        <f t="shared" si="142"/>
        <v>512.57293376854773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5.2404614149913114</v>
      </c>
      <c r="AA154" s="21">
        <f>EXP(-LN(2)/25)*AA153+(1-EXP(-LN(2)/25))/(LN(2)/25)*Calculateur!V154*Calculateur!X154*VLOOKUP('Données projet'!$B$9,Paramètres!$A$1:$I$89,3,0)*0.475*44/12</f>
        <v>0.82621428308836098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6.0666756980796723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196.48981288416093</v>
      </c>
      <c r="T155" s="59">
        <f t="shared" si="142"/>
        <v>512.57293376854773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5.1376991630091799</v>
      </c>
      <c r="AA155" s="21">
        <f>EXP(-LN(2)/25)*AA154+(1-EXP(-LN(2)/25))/(LN(2)/25)*Calculateur!V155*Calculateur!X155*VLOOKUP('Données projet'!$B$9,Paramètres!$A$1:$I$89,3,0)*0.475*44/12</f>
        <v>0.80362141006858889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5.9413205730777685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196.48981288416093</v>
      </c>
      <c r="T156" s="59">
        <f t="shared" si="142"/>
        <v>512.57293376854773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5.0369520161096331</v>
      </c>
      <c r="AA156" s="21">
        <f>EXP(-LN(2)/25)*AA155+(1-EXP(-LN(2)/25))/(LN(2)/25)*Calculateur!V156*Calculateur!X156*VLOOKUP('Données projet'!$B$9,Paramètres!$A$1:$I$89,3,0)*0.475*44/12</f>
        <v>0.78164634034965008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5.8185983564592831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196.48981288416093</v>
      </c>
      <c r="T157" s="59">
        <f t="shared" si="142"/>
        <v>512.57293376854773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4.9381804593110949</v>
      </c>
      <c r="AA157" s="21">
        <f>EXP(-LN(2)/25)*AA156+(1-EXP(-LN(2)/25))/(LN(2)/25)*Calculateur!V157*Calculateur!X157*VLOOKUP('Données projet'!$B$9,Paramètres!$A$1:$I$89,3,0)*0.475*44/12</f>
        <v>0.76027218006779429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5.698452639378889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196.48981288416093</v>
      </c>
      <c r="T158" s="59">
        <f t="shared" si="142"/>
        <v>512.57293376854773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4.8413457524966752</v>
      </c>
      <c r="AA158" s="21">
        <f>EXP(-LN(2)/25)*AA157+(1-EXP(-LN(2)/25))/(LN(2)/25)*Calculateur!V158*Calculateur!X158*VLOOKUP('Données projet'!$B$9,Paramètres!$A$1:$I$89,3,0)*0.475*44/12</f>
        <v>0.73948249732286409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5.5808282498195396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196.48981288416093</v>
      </c>
      <c r="T159" s="59">
        <f t="shared" si="142"/>
        <v>512.57293376854773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4.7464099152195471</v>
      </c>
      <c r="AA159" s="21">
        <f>EXP(-LN(2)/25)*AA158+(1-EXP(-LN(2)/25))/(LN(2)/25)*Calculateur!V159*Calculateur!X159*VLOOKUP('Données projet'!$B$9,Paramètres!$A$1:$I$89,3,0)*0.475*44/12</f>
        <v>0.71926130954587597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5.4656712247654227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196.48981288416093</v>
      </c>
      <c r="T160" s="59">
        <f t="shared" si="142"/>
        <v>512.57293376854773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4.6533357118062799</v>
      </c>
      <c r="AA160" s="21">
        <f>EXP(-LN(2)/25)*AA159+(1-EXP(-LN(2)/25))/(LN(2)/25)*Calculateur!V160*Calculateur!X160*VLOOKUP('Données projet'!$B$9,Paramètres!$A$1:$I$89,3,0)*0.475*44/12</f>
        <v>0.69959307121203562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5.3529287830183154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196.48981288416093</v>
      </c>
      <c r="T161" s="59">
        <f t="shared" si="142"/>
        <v>512.57293376854773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4.562086636752289</v>
      </c>
      <c r="AA161" s="21">
        <f>EXP(-LN(2)/25)*AA160+(1-EXP(-LN(2)/25))/(LN(2)/25)*Calculateur!V161*Calculateur!X161*VLOOKUP('Données projet'!$B$9,Paramètres!$A$1:$I$89,3,0)*0.475*44/12</f>
        <v>0.6804626618897418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5.2425492986420306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196.48981288416093</v>
      </c>
      <c r="T162" s="59">
        <f t="shared" si="142"/>
        <v>512.57293376854773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4.4726269004036663</v>
      </c>
      <c r="AA162" s="21">
        <f>EXP(-LN(2)/25)*AA161+(1-EXP(-LN(2)/25))/(LN(2)/25)*Calculateur!V162*Calculateur!X162*VLOOKUP('Données projet'!$B$9,Paramètres!$A$1:$I$89,3,0)*0.475*44/12</f>
        <v>0.66185537461639066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5.1344822750200567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196.48981288416093</v>
      </c>
      <c r="T163" s="59">
        <f t="shared" si="142"/>
        <v>512.57293376854773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4.3849214149197886</v>
      </c>
      <c r="AA163" s="21">
        <f>EXP(-LN(2)/25)*AA162+(1-EXP(-LN(2)/25))/(LN(2)/25)*Calculateur!V163*Calculateur!X163*VLOOKUP('Données projet'!$B$9,Paramètres!$A$1:$I$89,3,0)*0.475*44/12</f>
        <v>0.64375690459204404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5.0286783195118323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196.48981288416093</v>
      </c>
      <c r="T164" s="59">
        <f t="shared" si="142"/>
        <v>512.57293376854773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4.2989357805111856</v>
      </c>
      <c r="AA164" s="21">
        <f>EXP(-LN(2)/25)*AA163+(1-EXP(-LN(2)/25))/(LN(2)/25)*Calculateur!V164*Calculateur!X164*VLOOKUP('Données projet'!$B$9,Paramètres!$A$1:$I$89,3,0)*0.475*44/12</f>
        <v>0.62615333818227026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4.9250891186934558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196.48981288416093</v>
      </c>
      <c r="T165" s="59">
        <f t="shared" si="142"/>
        <v>512.57293376854773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4.2146362719472776</v>
      </c>
      <c r="AA165" s="21">
        <f>EXP(-LN(2)/25)*AA164+(1-EXP(-LN(2)/25))/(LN(2)/25)*Calculateur!V165*Calculateur!X165*VLOOKUP('Données projet'!$B$9,Paramètres!$A$1:$I$89,3,0)*0.475*44/12</f>
        <v>0.60903114222170307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4.8236674141689804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196.48981288416093</v>
      </c>
      <c r="T166" s="59">
        <f t="shared" si="142"/>
        <v>512.57293376854773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4.1319898253286844</v>
      </c>
      <c r="AA166" s="21">
        <f>EXP(-LN(2)/25)*AA165+(1-EXP(-LN(2)/25))/(LN(2)/25)*Calculateur!V166*Calculateur!X166*VLOOKUP('Données projet'!$B$9,Paramètres!$A$1:$I$89,3,0)*0.475*44/12</f>
        <v>0.5923771536100948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4.7243669789387788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196.48981288416093</v>
      </c>
      <c r="T167" s="59">
        <f t="shared" si="142"/>
        <v>512.57293376854773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4.0509640251189269</v>
      </c>
      <c r="AA167" s="21">
        <f>EXP(-LN(2)/25)*AA166+(1-EXP(-LN(2)/25))/(LN(2)/25)*Calculateur!V167*Calculateur!X167*VLOOKUP('Données projet'!$B$9,Paramètres!$A$1:$I$89,3,0)*0.475*44/12</f>
        <v>0.57617856919286614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4.6271425943117928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196.48981288416093</v>
      </c>
      <c r="T168" s="59">
        <f t="shared" si="142"/>
        <v>512.57293376854773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3.9715270914304246</v>
      </c>
      <c r="AA168" s="21">
        <f>EXP(-LN(2)/25)*AA167+(1-EXP(-LN(2)/25))/(LN(2)/25)*Calculateur!V168*Calculateur!X168*VLOOKUP('Données projet'!$B$9,Paramètres!$A$1:$I$89,3,0)*0.475*44/12</f>
        <v>0.56042293591837311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4.531950027348798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196.48981288416093</v>
      </c>
      <c r="T169" s="59">
        <f t="shared" si="142"/>
        <v>512.57293376854773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3.8936478675598085</v>
      </c>
      <c r="AA169" s="21">
        <f>EXP(-LN(2)/25)*AA168+(1-EXP(-LN(2)/25))/(LN(2)/25)*Calculateur!V169*Calculateur!X169*VLOOKUP('Données projet'!$B$9,Paramètres!$A$1:$I$89,3,0)*0.475*44/12</f>
        <v>0.54509814126432388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4.4387460088241326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196.48981288416093</v>
      </c>
      <c r="T170" s="59">
        <f t="shared" si="142"/>
        <v>512.57293376854773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3.8172958077676591</v>
      </c>
      <c r="AA170" s="21">
        <f>EXP(-LN(2)/25)*AA169+(1-EXP(-LN(2)/25))/(LN(2)/25)*Calculateur!V170*Calculateur!X170*VLOOKUP('Données projet'!$B$9,Paramètres!$A$1:$I$89,3,0)*0.475*44/12</f>
        <v>0.53019240392598554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4.3474882116936442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196.48981288416093</v>
      </c>
      <c r="T171" s="59">
        <f t="shared" si="142"/>
        <v>512.57293376854773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3.7424409652978756</v>
      </c>
      <c r="AA171" s="21">
        <f>EXP(-LN(2)/25)*AA170+(1-EXP(-LN(2)/25))/(LN(2)/25)*Calculateur!V171*Calculateur!X171*VLOOKUP('Données projet'!$B$9,Paramètres!$A$1:$I$89,3,0)*0.475*44/12</f>
        <v>0.51569426475902269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4.2581352300568982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196.48981288416093</v>
      </c>
      <c r="T172" s="59">
        <f t="shared" si="142"/>
        <v>512.57293376854773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3.6690539806319786</v>
      </c>
      <c r="AA172" s="21">
        <f>EXP(-LN(2)/25)*AA171+(1-EXP(-LN(2)/25))/(LN(2)/25)*Calculateur!V172*Calculateur!X172*VLOOKUP('Données projet'!$B$9,Paramètres!$A$1:$I$89,3,0)*0.475*44/12</f>
        <v>0.50159257797000445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4.170646558601983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196.48981288416093</v>
      </c>
      <c r="T173" s="59">
        <f t="shared" si="142"/>
        <v>512.57293376854773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3.5971060699737394</v>
      </c>
      <c r="AA173" s="21">
        <f>EXP(-LN(2)/25)*AA172+(1-EXP(-LN(2)/25))/(LN(2)/25)*Calculateur!V173*Calculateur!X173*VLOOKUP('Données projet'!$B$9,Paramètres!$A$1:$I$89,3,0)*0.475*44/12</f>
        <v>0.4878765025478074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4.0849825725215467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196.48981288416093</v>
      </c>
      <c r="T174" s="59">
        <f t="shared" si="142"/>
        <v>512.57293376854773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3.5265690139596155</v>
      </c>
      <c r="AA174" s="21">
        <f>EXP(-LN(2)/25)*AA173+(1-EXP(-LN(2)/25))/(LN(2)/25)*Calculateur!V174*Calculateur!X174*VLOOKUP('Données projet'!$B$9,Paramètres!$A$1:$I$89,3,0)*0.475*44/12</f>
        <v>0.47453549392932737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4.0011045078889431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196.48981288416093</v>
      </c>
      <c r="T175" s="59">
        <f t="shared" si="142"/>
        <v>512.57293376854773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3.4574151465905727</v>
      </c>
      <c r="AA175" s="21">
        <f>EXP(-LN(2)/25)*AA174+(1-EXP(-LN(2)/25))/(LN(2)/25)*Calculateur!V175*Calculateur!X175*VLOOKUP('Données projet'!$B$9,Paramètres!$A$1:$I$89,3,0)*0.475*44/12</f>
        <v>0.46155929589309286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3.9189744424836657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196.48981288416093</v>
      </c>
      <c r="T176" s="59">
        <f t="shared" si="142"/>
        <v>512.57293376854773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3.3896173443809428</v>
      </c>
      <c r="AA176" s="21">
        <f>EXP(-LN(2)/25)*AA175+(1-EXP(-LN(2)/25))/(LN(2)/25)*Calculateur!V176*Calculateur!X176*VLOOKUP('Données projet'!$B$9,Paramètres!$A$1:$I$89,3,0)*0.475*44/12</f>
        <v>0.44893793267454779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3.8385552770554905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196.48981288416093</v>
      </c>
      <c r="T177" s="59">
        <f t="shared" si="142"/>
        <v>512.57293376854773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3.3231490157200674</v>
      </c>
      <c r="AA177" s="21">
        <f>EXP(-LN(2)/25)*AA176+(1-EXP(-LN(2)/25))/(LN(2)/25)*Calculateur!V177*Calculateur!X177*VLOOKUP('Données projet'!$B$9,Paramètres!$A$1:$I$89,3,0)*0.475*44/12</f>
        <v>0.43666170129694248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3.7598107170170101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196.48981288416093</v>
      </c>
      <c r="T178" s="59">
        <f t="shared" si="142"/>
        <v>512.57293376854773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3.2579840904425548</v>
      </c>
      <c r="AA178" s="21">
        <f>EXP(-LN(2)/25)*AA177+(1-EXP(-LN(2)/25))/(LN(2)/25)*Calculateur!V178*Calculateur!X178*VLOOKUP('Données projet'!$B$9,Paramètres!$A$1:$I$89,3,0)*0.475*44/12</f>
        <v>0.42472116411193672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3.6827052545544916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196.48981288416093</v>
      </c>
      <c r="T179" s="59">
        <f t="shared" si="142"/>
        <v>512.57293376854773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3.1940970096030541</v>
      </c>
      <c r="AA179" s="21">
        <f>EXP(-LN(2)/25)*AA178+(1-EXP(-LN(2)/25))/(LN(2)/25)*Calculateur!V179*Calculateur!X179*VLOOKUP('Données projet'!$B$9,Paramètres!$A$1:$I$89,3,0)*0.475*44/12</f>
        <v>0.41310714154418049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3.6072041511472346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196.48981288416093</v>
      </c>
      <c r="T180" s="59">
        <f t="shared" si="142"/>
        <v>512.57293376854773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3.1314627154515446</v>
      </c>
      <c r="AA180" s="21">
        <f>EXP(-LN(2)/25)*AA179+(1-EXP(-LN(2)/25))/(LN(2)/25)*Calculateur!V180*Calculateur!X180*VLOOKUP('Données projet'!$B$9,Paramètres!$A$1:$I$89,3,0)*0.475*44/12</f>
        <v>0.40181070503429445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3.5332734204858389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196.48981288416093</v>
      </c>
      <c r="T181" s="59">
        <f t="shared" si="142"/>
        <v>512.57293376854773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3.0700566416051989</v>
      </c>
      <c r="AA181" s="21">
        <f>EXP(-LN(2)/25)*AA180+(1-EXP(-LN(2)/25))/(LN(2)/25)*Calculateur!V181*Calculateur!X181*VLOOKUP('Données projet'!$B$9,Paramètres!$A$1:$I$89,3,0)*0.475*44/12</f>
        <v>0.39082317017482504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3.4608798117800239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196.48981288416093</v>
      </c>
      <c r="T182" s="59">
        <f t="shared" si="142"/>
        <v>512.57293376854773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3.0098547034129735</v>
      </c>
      <c r="AA182" s="21">
        <f>EXP(-LN(2)/25)*AA181+(1-EXP(-LN(2)/25))/(LN(2)/25)*Calculateur!V182*Calculateur!X182*VLOOKUP('Données projet'!$B$9,Paramètres!$A$1:$I$89,3,0)*0.475*44/12</f>
        <v>0.38013609003389714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3.3899907934468705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196.48981288416093</v>
      </c>
      <c r="T183" s="59">
        <f t="shared" si="142"/>
        <v>512.57293376854773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2.9508332885091408</v>
      </c>
      <c r="AA183" s="21">
        <f>EXP(-LN(2)/25)*AA182+(1-EXP(-LN(2)/25))/(LN(2)/25)*Calculateur!V183*Calculateur!X183*VLOOKUP('Données projet'!$B$9,Paramètres!$A$1:$I$89,3,0)*0.475*44/12</f>
        <v>0.36974124866143204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3.320574537170573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196.48981288416093</v>
      </c>
      <c r="T184" s="59">
        <f t="shared" si="142"/>
        <v>512.57293376854773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2.8929692475520641</v>
      </c>
      <c r="AA184" s="21">
        <f>EXP(-LN(2)/25)*AA183+(1-EXP(-LN(2)/25))/(LN(2)/25)*Calculateur!V184*Calculateur!X184*VLOOKUP('Données projet'!$B$9,Paramètres!$A$1:$I$89,3,0)*0.475*44/12</f>
        <v>0.35963065477293799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3.2525999023250023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196.48981288416093</v>
      </c>
      <c r="T185" s="59">
        <f t="shared" si="142"/>
        <v>512.57293376854773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2.8362398851445754</v>
      </c>
      <c r="AA185" s="21">
        <f>EXP(-LN(2)/25)*AA184+(1-EXP(-LN(2)/25))/(LN(2)/25)*Calculateur!V185*Calculateur!X185*VLOOKUP('Données projet'!$B$9,Paramètres!$A$1:$I$89,3,0)*0.475*44/12</f>
        <v>0.34979653560601781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3.1860364207505931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196.48981288416093</v>
      </c>
      <c r="T186" s="59">
        <f t="shared" si="142"/>
        <v>512.57293376854773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2.7806229509324032</v>
      </c>
      <c r="AA186" s="21">
        <f>EXP(-LN(2)/25)*AA185+(1-EXP(-LN(2)/25))/(LN(2)/25)*Calculateur!V186*Calculateur!X186*VLOOKUP('Données projet'!$B$9,Paramètres!$A$1:$I$89,3,0)*0.475*44/12</f>
        <v>0.3402313309448709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3.120854281877274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196.48981288416093</v>
      </c>
      <c r="T187" s="59">
        <f t="shared" si="142"/>
        <v>512.57293376854773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2.7260966308771515</v>
      </c>
      <c r="AA187" s="21">
        <f>EXP(-LN(2)/25)*AA186+(1-EXP(-LN(2)/25))/(LN(2)/25)*Calculateur!V187*Calculateur!X187*VLOOKUP('Données projet'!$B$9,Paramètres!$A$1:$I$89,3,0)*0.475*44/12</f>
        <v>0.33092768730819533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3.0570243181853467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196.48981288416093</v>
      </c>
      <c r="T188" s="59">
        <f t="shared" si="142"/>
        <v>512.57293376854773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2.672639538700412</v>
      </c>
      <c r="AA188" s="21">
        <f>EXP(-LN(2)/25)*AA187+(1-EXP(-LN(2)/25))/(LN(2)/25)*Calculateur!V188*Calculateur!X188*VLOOKUP('Données projet'!$B$9,Paramètres!$A$1:$I$89,3,0)*0.475*44/12</f>
        <v>0.32187845229602202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2.9945179909964339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196.48981288416093</v>
      </c>
      <c r="T189" s="59">
        <f t="shared" si="142"/>
        <v>512.57293376854773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2.6202307074956517</v>
      </c>
      <c r="AA189" s="21">
        <f>EXP(-LN(2)/25)*AA188+(1-EXP(-LN(2)/25))/(LN(2)/25)*Calculateur!V189*Calculateur!X189*VLOOKUP('Données projet'!$B$9,Paramètres!$A$1:$I$89,3,0)*0.475*44/12</f>
        <v>0.31307666909113513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2.9333073765867868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196.48981288416093</v>
      </c>
      <c r="T190" s="59">
        <f t="shared" si="142"/>
        <v>512.57293376854773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2.568849581504586</v>
      </c>
      <c r="AA190" s="21">
        <f>EXP(-LN(2)/25)*AA189+(1-EXP(-LN(2)/25))/(LN(2)/25)*Calculateur!V190*Calculateur!X190*VLOOKUP('Données projet'!$B$9,Paramètres!$A$1:$I$89,3,0)*0.475*44/12</f>
        <v>0.30451557111085154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2.8733651526154373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196.48981288416093</v>
      </c>
      <c r="T191" s="59">
        <f t="shared" si="142"/>
        <v>512.57293376854773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2.518476008054813</v>
      </c>
      <c r="AA191" s="21">
        <f>EXP(-LN(2)/25)*AA190+(1-EXP(-LN(2)/25))/(LN(2)/25)*Calculateur!V191*Calculateur!X191*VLOOKUP('Données projet'!$B$9,Paramètres!$A$1:$I$89,3,0)*0.475*44/12</f>
        <v>0.2961885768050474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2.8146645848598606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196.48981288416093</v>
      </c>
      <c r="T192" s="59">
        <f t="shared" si="142"/>
        <v>512.57293376854773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2.4690902296555439</v>
      </c>
      <c r="AA192" s="21">
        <f>EXP(-LN(2)/25)*AA191+(1-EXP(-LN(2)/25))/(LN(2)/25)*Calculateur!V192*Calculateur!X192*VLOOKUP('Données projet'!$B$9,Paramètres!$A$1:$I$89,3,0)*0.475*44/12</f>
        <v>0.28808928459643307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2.7571795142519768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196.48981288416093</v>
      </c>
      <c r="T193" s="59">
        <f t="shared" si="142"/>
        <v>512.57293376854773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2.420672876248334</v>
      </c>
      <c r="AA193" s="21">
        <f>EXP(-LN(2)/25)*AA192+(1-EXP(-LN(2)/25))/(LN(2)/25)*Calculateur!V193*Calculateur!X193*VLOOKUP('Données projet'!$B$9,Paramètres!$A$1:$I$89,3,0)*0.475*44/12</f>
        <v>0.28021146795918656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2.7008843442075205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196.48981288416093</v>
      </c>
      <c r="T194" s="59">
        <f t="shared" si="142"/>
        <v>512.57293376854773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2.37320495760977</v>
      </c>
      <c r="AA194" s="21">
        <f>EXP(-LN(2)/25)*AA193+(1-EXP(-LN(2)/25))/(LN(2)/25)*Calculateur!V194*Calculateur!X194*VLOOKUP('Données projet'!$B$9,Paramètres!$A$1:$I$89,3,0)*0.475*44/12</f>
        <v>0.27254907063216194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2.6457540282419321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196.48981288416093</v>
      </c>
      <c r="T195" s="59">
        <f t="shared" si="142"/>
        <v>512.57293376854773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2.3266678559031364</v>
      </c>
      <c r="AA195" s="21">
        <f>EXP(-LN(2)/25)*AA194+(1-EXP(-LN(2)/25))/(LN(2)/25)*Calculateur!V195*Calculateur!X195*VLOOKUP('Données projet'!$B$9,Paramètres!$A$1:$I$89,3,0)*0.475*44/12</f>
        <v>0.26509620196299277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2.5917640578661292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196.48981288416093</v>
      </c>
      <c r="T196" s="59">
        <f t="shared" si="142"/>
        <v>512.57293376854773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2.2810433183761409</v>
      </c>
      <c r="AA196" s="21">
        <f>EXP(-LN(2)/25)*AA195+(1-EXP(-LN(2)/25))/(LN(2)/25)*Calculateur!V196*Calculateur!X196*VLOOKUP('Données projet'!$B$9,Paramètres!$A$1:$I$89,3,0)*0.475*44/12</f>
        <v>0.25784713237951135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2.5388904507556522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196.48981288416093</v>
      </c>
      <c r="T197" s="59">
        <f t="shared" ref="T197:T203" si="204">$T$3</f>
        <v>512.57293376854773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2.2363134502018296</v>
      </c>
      <c r="AA197" s="21">
        <f>EXP(-LN(2)/25)*AA196+(1-EXP(-LN(2)/25))/(LN(2)/25)*Calculateur!V197*Calculateur!X197*VLOOKUP('Données projet'!$B$9,Paramètres!$A$1:$I$89,3,0)*0.475*44/12</f>
        <v>0.25079628898500222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2.487109739186832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196.48981288416093</v>
      </c>
      <c r="T198" s="59">
        <f t="shared" si="204"/>
        <v>512.57293376854773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2.1924607074598907</v>
      </c>
      <c r="AA198" s="21">
        <f>EXP(-LN(2)/25)*AA197+(1-EXP(-LN(2)/25))/(LN(2)/25)*Calculateur!V198*Calculateur!X198*VLOOKUP('Données projet'!$B$9,Paramètres!$A$1:$I$89,3,0)*0.475*44/12</f>
        <v>0.2439382512739037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2.4363989587337946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196.48981288416093</v>
      </c>
      <c r="T199" s="59">
        <f t="shared" si="204"/>
        <v>512.57293376854773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2.1494678902555897</v>
      </c>
      <c r="AA199" s="21">
        <f>EXP(-LN(2)/25)*AA198+(1-EXP(-LN(2)/25))/(LN(2)/25)*Calculateur!V199*Calculateur!X199*VLOOKUP('Données projet'!$B$9,Paramètres!$A$1:$I$89,3,0)*0.475*44/12</f>
        <v>0.23726774696466368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2.3867356372202533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196.48981288416093</v>
      </c>
      <c r="T200" s="59">
        <f t="shared" si="204"/>
        <v>512.57293376854773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2.1073181359736357</v>
      </c>
      <c r="AA200" s="21">
        <f>EXP(-LN(2)/25)*AA199+(1-EXP(-LN(2)/25))/(LN(2)/25)*Calculateur!V200*Calculateur!X200*VLOOKUP('Données projet'!$B$9,Paramètres!$A$1:$I$89,3,0)*0.475*44/12</f>
        <v>0.23077964794654643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2.338097783920182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196.48981288416093</v>
      </c>
      <c r="T201" s="59">
        <f t="shared" si="204"/>
        <v>512.57293376854773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2.0659949126643391</v>
      </c>
      <c r="AA201" s="21">
        <f>EXP(-LN(2)/25)*AA200+(1-EXP(-LN(2)/25))/(LN(2)/25)*Calculateur!V201*Calculateur!X201*VLOOKUP('Données projet'!$B$9,Paramètres!$A$1:$I$89,3,0)*0.475*44/12</f>
        <v>0.2244689663372739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2.2904638790016132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196.48981288416093</v>
      </c>
      <c r="T202" s="59">
        <f t="shared" si="204"/>
        <v>512.57293376854773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2.0254820125594604</v>
      </c>
      <c r="AA202" s="21">
        <f>EXP(-LN(2)/25)*AA201+(1-EXP(-LN(2)/25))/(LN(2)/25)*Calculateur!V202*Calculateur!X202*VLOOKUP('Données projet'!$B$9,Paramètres!$A$1:$I$89,3,0)*0.475*44/12</f>
        <v>0.21833085064847124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2.2438128632079315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196.48981288416093</v>
      </c>
      <c r="T203" s="59">
        <f t="shared" si="204"/>
        <v>512.57293376854773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1.9857635457152092</v>
      </c>
      <c r="AA203" s="21">
        <f>EXP(-LN(2)/25)*AA202+(1-EXP(-LN(2)/25))/(LN(2)/25)*Calculateur!V203*Calculateur!X203*VLOOKUP('Données projet'!$B$9,Paramètres!$A$1:$I$89,3,0)*0.475*44/12</f>
        <v>0.21236058205596836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2.1981241277711776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1.3076604860118306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2" zoomScale="90" zoomScaleNormal="90" workbookViewId="0">
      <selection activeCell="O16" sqref="O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42578125" style="1" bestFit="1" customWidth="1"/>
    <col min="3" max="3" width="15.42578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Peuplier Polargo</v>
      </c>
      <c r="B6" s="146">
        <f>'Données projet'!D9</f>
        <v>5.0214999999999996</v>
      </c>
      <c r="C6" s="147">
        <f ca="1">IF(OR('Données projet'!B9="",'Données projet'!C9="",'Données projet'!C9=0%),0,Calculateur!S3)</f>
        <v>196.48981288416093</v>
      </c>
      <c r="D6" s="147">
        <f>IF(OR('Données projet'!B9="",'Données projet'!C9="",'Données projet'!C9=0%),0,Calculateur!T3)</f>
        <v>512.57293376854773</v>
      </c>
      <c r="E6" s="147">
        <f ca="1">MIN(C6,D6)</f>
        <v>196.48981288416093</v>
      </c>
      <c r="F6" s="147">
        <f ca="1">E6*B6</f>
        <v>986.67359539781398</v>
      </c>
      <c r="G6" s="147">
        <f ca="1">F6*(100%-'Données projet'!$C$24)*(100%-'Données projet'!$C$25)*(100%-'Données projet'!$C$26)*(100%-'Données projet'!$C$27)</f>
        <v>674.88473925210474</v>
      </c>
      <c r="H6" s="148">
        <f>IF(OR('Données projet'!B9="",'Données projet'!C9="",'Données projet'!C9=0%),0,AVERAGE(Calculateur!$AC$3:$AC$33)*B6)</f>
        <v>162.06722367973757</v>
      </c>
      <c r="I6" s="149">
        <f>H6*(100%-'Données projet'!$C$24)*(100%-'Données projet'!$C$25)*(100%-'Données projet'!$C$26)*(100%-'Données projet'!$C$27)</f>
        <v>110.85398099694049</v>
      </c>
      <c r="J6" s="150">
        <f>IF(OR('Données projet'!B9="",'Données projet'!C9="",'Données projet'!C9=0%),0,SUM(Calculateur!$V$3:$V$33)*VLOOKUP('Données projet'!$B$9,Paramètres!$A$1:$I$89,9,0)*B6)</f>
        <v>2446.4245849999998</v>
      </c>
      <c r="K6" s="151">
        <f>J6*(100%-'Données projet'!$C$24)*(100%-'Données projet'!$C$25)*(100%-'Données projet'!$C$26)*(100%-'Données projet'!$C$27)</f>
        <v>1673.3544161399998</v>
      </c>
      <c r="L6" s="152">
        <f ca="1">G6+I6+K6</f>
        <v>2459.093136389045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8"/>
      <c r="B16" s="212"/>
      <c r="C16" s="213"/>
      <c r="D16" s="23"/>
      <c r="E16" s="23"/>
      <c r="F16" s="165">
        <f t="shared" ref="F16:L16" ca="1" si="3">SUM(F6:F15)</f>
        <v>986.67359539781398</v>
      </c>
      <c r="G16" s="166">
        <f t="shared" ca="1" si="3"/>
        <v>674.88473925210474</v>
      </c>
      <c r="H16" s="167">
        <f t="shared" si="3"/>
        <v>162.06722367973757</v>
      </c>
      <c r="I16" s="167">
        <f t="shared" si="3"/>
        <v>110.85398099694049</v>
      </c>
      <c r="J16" s="168">
        <f t="shared" si="3"/>
        <v>2446.4245849999998</v>
      </c>
      <c r="K16" s="168">
        <f t="shared" si="3"/>
        <v>1673.3544161399998</v>
      </c>
      <c r="L16" s="169">
        <f t="shared" ca="1" si="3"/>
        <v>2459.093136389045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Peuplier Polargo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56" zoomScaleNormal="80" workbookViewId="0">
      <selection activeCell="C42" sqref="C4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42578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7" t="s">
        <v>315</v>
      </c>
      <c r="I4" s="257"/>
      <c r="K4" s="299" t="s">
        <v>253</v>
      </c>
      <c r="L4" s="300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1" t="s">
        <v>310</v>
      </c>
      <c r="S7" s="292"/>
      <c r="T7" s="292"/>
      <c r="U7" s="292"/>
      <c r="V7" s="29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Peuplier Polargo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5.0214999999999996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/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/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/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Peuplier Polargo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29"/>
      <c r="G15" s="302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302"/>
      <c r="H16" s="190"/>
      <c r="I16" s="191"/>
      <c r="J16" s="201"/>
      <c r="K16" s="207"/>
      <c r="L16" s="299" t="s">
        <v>254</v>
      </c>
      <c r="M16" s="300"/>
      <c r="N16" s="2"/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8" t="s">
        <v>132</v>
      </c>
      <c r="C17" s="197" t="s">
        <v>132</v>
      </c>
      <c r="D17" s="196" t="s">
        <v>132</v>
      </c>
      <c r="E17" s="193"/>
      <c r="F17" s="229"/>
      <c r="G17" s="302"/>
      <c r="J17" s="201"/>
      <c r="K17" s="207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302"/>
      <c r="J18" s="201"/>
      <c r="K18" s="207"/>
      <c r="L18" s="259" t="s">
        <v>255</v>
      </c>
      <c r="M18" s="261"/>
      <c r="N18" s="192"/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302"/>
      <c r="H19" s="211" t="s">
        <v>178</v>
      </c>
      <c r="I19" s="211" t="s">
        <v>287</v>
      </c>
      <c r="J19" s="93"/>
      <c r="K19" s="173"/>
      <c r="L19" s="299" t="s">
        <v>288</v>
      </c>
      <c r="M19" s="300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302"/>
      <c r="H20" s="190">
        <v>0</v>
      </c>
      <c r="I20" s="191"/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/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8" t="s">
        <v>132</v>
      </c>
      <c r="C22" s="197"/>
      <c r="D22" s="196" t="s">
        <v>132</v>
      </c>
      <c r="E22" s="193"/>
      <c r="F22" s="229"/>
      <c r="H22" s="190">
        <v>2</v>
      </c>
      <c r="I22" s="191"/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6</v>
      </c>
      <c r="B23" s="181">
        <f>'Données projet'!D36</f>
        <v>0</v>
      </c>
      <c r="C23" s="193"/>
      <c r="D23" s="182">
        <f>B23*C23</f>
        <v>0</v>
      </c>
      <c r="E23" s="193"/>
      <c r="F23" s="229"/>
      <c r="H23" s="190">
        <v>3</v>
      </c>
      <c r="I23" s="191"/>
      <c r="K23" s="207"/>
      <c r="L23" s="301" t="s">
        <v>260</v>
      </c>
      <c r="M23" s="301"/>
      <c r="N23" s="301"/>
      <c r="O23" s="23"/>
      <c r="P23" s="23"/>
      <c r="Q23" s="233"/>
      <c r="R23" s="23"/>
      <c r="S23" s="36" t="s">
        <v>264</v>
      </c>
      <c r="T23" s="29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6"/>
      <c r="V23" s="29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7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29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7"/>
      <c r="V24" s="29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8</v>
      </c>
      <c r="B25" s="181">
        <f>'Données projet'!D38</f>
        <v>0</v>
      </c>
      <c r="C25" s="193"/>
      <c r="D25" s="182">
        <f t="shared" si="2"/>
        <v>0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298">
        <f ca="1">T23-T24</f>
        <v>0</v>
      </c>
      <c r="U25" s="298"/>
      <c r="V25" s="29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9</v>
      </c>
      <c r="B26" s="181">
        <f>'Données projet'!D39</f>
        <v>0</v>
      </c>
      <c r="C26" s="193"/>
      <c r="D26" s="182">
        <f t="shared" si="2"/>
        <v>0</v>
      </c>
      <c r="E26" s="193"/>
      <c r="F26" s="232"/>
      <c r="G26" s="228"/>
      <c r="H26" s="190"/>
      <c r="I26" s="191"/>
      <c r="K26" s="207"/>
      <c r="L26" s="285" t="s">
        <v>258</v>
      </c>
      <c r="M26" s="286"/>
      <c r="N26" s="286"/>
      <c r="O26" s="286"/>
      <c r="P26" s="287"/>
      <c r="Q26" s="233"/>
      <c r="R26" s="23"/>
      <c r="S26" s="186" t="s">
        <v>265</v>
      </c>
      <c r="T26" s="295" t="str">
        <f ca="1">IF(T25&lt;0,"Votre projet est additionnel","Votre projet n'est pas additionnel")</f>
        <v>Votre projet n'est pas additionnel</v>
      </c>
      <c r="U26" s="295"/>
      <c r="V26" s="29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10</v>
      </c>
      <c r="B27" s="181">
        <f>'Données projet'!D40</f>
        <v>0</v>
      </c>
      <c r="C27" s="193"/>
      <c r="D27" s="182">
        <f t="shared" si="2"/>
        <v>0</v>
      </c>
      <c r="E27" s="193"/>
      <c r="F27" s="232"/>
      <c r="G27" s="228"/>
      <c r="H27" s="190"/>
      <c r="I27" s="191"/>
      <c r="K27" s="207"/>
      <c r="L27" s="288"/>
      <c r="M27" s="289"/>
      <c r="N27" s="289"/>
      <c r="O27" s="289"/>
      <c r="P27" s="290"/>
      <c r="Q27" s="233"/>
      <c r="R27" s="23"/>
      <c r="S27" s="294" t="s">
        <v>267</v>
      </c>
      <c r="T27" s="294"/>
      <c r="U27" s="294"/>
      <c r="V27" s="29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11</v>
      </c>
      <c r="B28" s="181">
        <f>'Données projet'!D41</f>
        <v>0</v>
      </c>
      <c r="C28" s="193"/>
      <c r="D28" s="182">
        <f t="shared" si="2"/>
        <v>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12</v>
      </c>
      <c r="B29" s="181">
        <f>'Données projet'!D42</f>
        <v>0</v>
      </c>
      <c r="C29" s="193"/>
      <c r="D29" s="182">
        <f t="shared" si="2"/>
        <v>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13</v>
      </c>
      <c r="B30" s="181">
        <f>'Données projet'!D43</f>
        <v>0</v>
      </c>
      <c r="C30" s="193"/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14</v>
      </c>
      <c r="B31" s="181">
        <f>'Données projet'!D44</f>
        <v>0</v>
      </c>
      <c r="C31" s="193"/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15</v>
      </c>
      <c r="B32" s="181">
        <f>'Données projet'!D45</f>
        <v>0</v>
      </c>
      <c r="C32" s="193"/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16</v>
      </c>
      <c r="B33" s="181">
        <f>'Données projet'!D46</f>
        <v>0</v>
      </c>
      <c r="C33" s="193"/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17</v>
      </c>
      <c r="B34" s="181">
        <f>'Données projet'!D47</f>
        <v>0</v>
      </c>
      <c r="C34" s="193"/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18</v>
      </c>
      <c r="B35" s="181">
        <f>'Données projet'!D48</f>
        <v>0</v>
      </c>
      <c r="C35" s="193"/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19</v>
      </c>
      <c r="B36" s="181">
        <f>'Données projet'!D49</f>
        <v>0</v>
      </c>
      <c r="C36" s="193"/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20</v>
      </c>
      <c r="B37" s="181">
        <f>'Données projet'!D50</f>
        <v>473</v>
      </c>
      <c r="C37" s="193"/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8" t="s">
        <v>132</v>
      </c>
      <c r="C48" s="197" t="s">
        <v>132</v>
      </c>
      <c r="D48" s="196" t="s">
        <v>132</v>
      </c>
      <c r="E48" s="193"/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0</v>
      </c>
      <c r="B54" s="181">
        <f>'Données projet'!D62</f>
        <v>0</v>
      </c>
      <c r="C54" s="191">
        <f>17.5*'Données projet'!E62+13.8*('Données projet'!F62+'Données projet'!G62)+10*'Données projet'!H62</f>
        <v>0</v>
      </c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0</v>
      </c>
      <c r="B55" s="181">
        <f>'Données projet'!D63</f>
        <v>0</v>
      </c>
      <c r="C55" s="191">
        <f>17.5*'Données projet'!E63+13.8*('Données projet'!F63+'Données projet'!G63)+10*'Données projet'!H63</f>
        <v>0</v>
      </c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0</v>
      </c>
      <c r="B56" s="181">
        <f>'Données projet'!D64</f>
        <v>0</v>
      </c>
      <c r="C56" s="191">
        <f>17.5*'Données projet'!E64+13.8*('Données projet'!F64+'Données projet'!G64)+10*'Données projet'!H64</f>
        <v>0</v>
      </c>
      <c r="D56" s="179">
        <f t="shared" si="4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0</v>
      </c>
      <c r="B57" s="181">
        <f>'Données projet'!D65</f>
        <v>0</v>
      </c>
      <c r="C57" s="191">
        <f>17.5*'Données projet'!E65+13.8*('Données projet'!F65+'Données projet'!G65)+10*'Données projet'!H65</f>
        <v>0</v>
      </c>
      <c r="D57" s="179">
        <f t="shared" si="4"/>
        <v>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0</v>
      </c>
      <c r="B58" s="181">
        <f>'Données projet'!D66</f>
        <v>0</v>
      </c>
      <c r="C58" s="191">
        <f>17.5*'Données projet'!E66+13.8*('Données projet'!F66+'Données projet'!G66)+10*'Données projet'!H66</f>
        <v>0</v>
      </c>
      <c r="D58" s="179">
        <f t="shared" si="4"/>
        <v>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0</v>
      </c>
      <c r="B59" s="181">
        <f>'Données projet'!D67</f>
        <v>0</v>
      </c>
      <c r="C59" s="191">
        <f>17.5*'Données projet'!E67+13.8*('Données projet'!F67+'Données projet'!G67)+10*'Données projet'!H67</f>
        <v>0</v>
      </c>
      <c r="D59" s="179">
        <f t="shared" si="4"/>
        <v>0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0</v>
      </c>
      <c r="B60" s="181">
        <f>'Données projet'!D68</f>
        <v>0</v>
      </c>
      <c r="C60" s="191">
        <f>17.5*'Données projet'!E68+13.8*('Données projet'!F68+'Données projet'!G68)+10*'Données projet'!H68</f>
        <v>0</v>
      </c>
      <c r="D60" s="179">
        <f t="shared" si="4"/>
        <v>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>
        <f>17.5*'Données projet'!E69+13.8*('Données projet'!F69+'Données projet'!G69)+10*'Données projet'!H69</f>
        <v>0</v>
      </c>
      <c r="D61" s="179">
        <f t="shared" si="4"/>
        <v>0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>
        <f>17.5*'Données projet'!E70+13.8*('Données projet'!F70+'Données projet'!G70)+10*'Données projet'!H70</f>
        <v>0</v>
      </c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>
        <f>17.5*'Données projet'!E71+13.8*('Données projet'!F71+'Données projet'!G71)+10*'Données projet'!H71</f>
        <v>0</v>
      </c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>
        <f>17.5*'Données projet'!E72+13.8*('Données projet'!F72+'Données projet'!G72)+10*'Données projet'!H72</f>
        <v>0</v>
      </c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>
        <f>17.5*'Données projet'!E73+13.8*('Données projet'!F73+'Données projet'!G73)+10*'Données projet'!H73</f>
        <v>0</v>
      </c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>
        <f>17.5*'Données projet'!E74+13.8*('Données projet'!F74+'Données projet'!G74)+10*'Données projet'!H74</f>
        <v>0</v>
      </c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>
        <f>17.5*'Données projet'!E75+13.8*('Données projet'!F75+'Données projet'!G75)+10*'Données projet'!H75</f>
        <v>0</v>
      </c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>
        <f>17.5*'Données projet'!E76+13.8*('Données projet'!F76+'Données projet'!G76)+10*'Données projet'!H76</f>
        <v>0</v>
      </c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>
        <f>17.5*'Données projet'!E77+13.8*('Données projet'!F77+'Données projet'!G77)+10*'Données projet'!H77</f>
        <v>0</v>
      </c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>
        <f>17.5*'Données projet'!E78+13.8*('Données projet'!F78+'Données projet'!G78)+10*'Données projet'!H78</f>
        <v>0</v>
      </c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>
        <f>17.5*'Données projet'!E79+13.8*('Données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>
        <f>17.5*'Données projet'!E80+13.8*('Données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>
        <f>17.5*'Données projet'!E81+13.8*('Données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8" t="s">
        <v>132</v>
      </c>
      <c r="C79" s="197" t="s">
        <v>132</v>
      </c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0</v>
      </c>
      <c r="B85" s="181">
        <f>'Données projet'!D88</f>
        <v>0</v>
      </c>
      <c r="C85" s="191">
        <f>42*'Données projet'!E88+19.4*('Données projet'!F88+'Données projet'!G88)+10*'Données projet'!H88</f>
        <v>0</v>
      </c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0</v>
      </c>
      <c r="B86" s="181">
        <f>'Données projet'!D89</f>
        <v>0</v>
      </c>
      <c r="C86" s="191">
        <f>42*'Données projet'!E89+19.4*('Données projet'!F89+'Données projet'!G89)+10*'Données projet'!H89</f>
        <v>0</v>
      </c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>
        <f>42*'Données projet'!E90+19.4*('Données projet'!F90+'Données projet'!G90)+10*'Données projet'!H90</f>
        <v>0</v>
      </c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>
        <f>42*'Données projet'!E91+19.4*('Données projet'!F91+'Données projet'!G91)+10*'Données projet'!H91</f>
        <v>0</v>
      </c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>
        <f>42*'Données projet'!E92+19.4*('Données projet'!F92+'Données projet'!G92)+10*'Données projet'!H92</f>
        <v>0</v>
      </c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>
        <f>42*'Données projet'!E93+19.4*('Données projet'!F93+'Données projet'!G93)+10*'Données projet'!H93</f>
        <v>0</v>
      </c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>
        <f>42*'Données projet'!E94+19.4*('Données projet'!F94+'Données projet'!G94)+10*'Données projet'!H94</f>
        <v>0</v>
      </c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>
        <f>42*'Données projet'!E95+19.4*('Données projet'!F95+'Données projet'!G95)+10*'Données projet'!H95</f>
        <v>0</v>
      </c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>
        <f>42*'Données projet'!E96+19.4*('Données projet'!F96+'Données projet'!G96)+10*'Données projet'!H96</f>
        <v>0</v>
      </c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>
        <f>42*'Données projet'!E97+19.4*('Données projet'!F97+'Données projet'!G97)+10*'Données projet'!H97</f>
        <v>0</v>
      </c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>
        <f>42*'Données projet'!E98+19.4*('Données projet'!F98+'Données projet'!G98)+10*'Données projet'!H98</f>
        <v>0</v>
      </c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>
        <f>42*'Données projet'!E99+19.4*('Données projet'!F99+'Données projet'!G99)+10*'Données projet'!H99</f>
        <v>0</v>
      </c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>
        <f>42*'Données projet'!E100+19.4*('Données projet'!F100+'Données projet'!G100)+10*'Données projet'!H100</f>
        <v>0</v>
      </c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>
        <f>42*'Données projet'!E101+19.4*('Données projet'!F101+'Données projet'!G101)+10*'Données projet'!H101</f>
        <v>0</v>
      </c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>
        <f>42*'Données projet'!E102+19.4*('Données projet'!F102+'Données projet'!G102)+10*'Données projet'!H102</f>
        <v>0</v>
      </c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>
        <f>42*'Données projet'!E103+19.4*('Données projet'!F103+'Données projet'!G103)+10*'Données projet'!H103</f>
        <v>0</v>
      </c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>
        <f>42*'Données projet'!E104+19.4*('Données projet'!F104+'Données projet'!G104)+10*'Données projet'!H104</f>
        <v>0</v>
      </c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>
        <f>42*'Données projet'!E105+19.4*('Données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>
        <f>42*'Données projet'!E106+19.4*('Données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>
        <f>42*'Données projet'!E107+19.4*('Données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8" t="s">
        <v>132</v>
      </c>
      <c r="C110" s="197" t="s">
        <v>132</v>
      </c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>
        <f>42*'Données projet'!E114+19.5*('Données projet'!F114+'Données projet'!G114)+10*'Données projet'!H114</f>
        <v>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>
        <f>42*'Données projet'!E115+19.5*('Données projet'!F115+'Données projet'!G115)+10*'Données projet'!H115</f>
        <v>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>
        <f>42*'Données projet'!E116+19.5*('Données projet'!F116+'Données projet'!G116)+10*'Données projet'!H116</f>
        <v>0</v>
      </c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>
        <f>42*'Données projet'!E117+19.5*('Données projet'!F117+'Données projet'!G117)+10*'Données projet'!H117</f>
        <v>0</v>
      </c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>
        <f>42*'Données projet'!E118+19.5*('Données projet'!F118+'Données projet'!G118)+10*'Données projet'!H118</f>
        <v>0</v>
      </c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>
        <f>42*'Données projet'!E119+19.5*('Données projet'!F119+'Données projet'!G119)+10*'Données projet'!H119</f>
        <v>0</v>
      </c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>
        <f>42*'Données projet'!E120+19.5*('Données projet'!F120+'Données projet'!G120)+10*'Données projet'!H120</f>
        <v>0</v>
      </c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>
        <f>42*'Données projet'!E121+19.5*('Données projet'!F121+'Données projet'!G121)+10*'Données projet'!H121</f>
        <v>0</v>
      </c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>
        <f>42*'Données projet'!E122+19.5*('Données projet'!F122+'Données projet'!G122)+10*'Données projet'!H122</f>
        <v>0</v>
      </c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>
        <f>42*'Données projet'!E123+19.5*('Données projet'!F123+'Données projet'!G123)+10*'Données projet'!H123</f>
        <v>0</v>
      </c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>
        <f>42*'Données projet'!E124+19.5*('Données projet'!F124+'Données projet'!G124)+10*'Données projet'!H124</f>
        <v>0</v>
      </c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>
        <f>42*'Données projet'!E125+19.5*('Données projet'!F125+'Données projet'!G125)+10*'Données projet'!H125</f>
        <v>0</v>
      </c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>
        <f>42*'Données projet'!E126+19.5*('Données projet'!F126+'Données projet'!G126)+10*'Données projet'!H126</f>
        <v>0</v>
      </c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>
        <f>42*'Données projet'!E127+19.5*('Données projet'!F127+'Données projet'!G127)+10*'Données projet'!H127</f>
        <v>0</v>
      </c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>
        <f>42*'Données projet'!E128+19.5*('Données projet'!F128+'Données projet'!G128)+10*'Données projet'!H128</f>
        <v>0</v>
      </c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>
        <f>42*'Données projet'!E129+19.5*('Données projet'!F129+'Données projet'!G129)+10*'Données projet'!H129</f>
        <v>0</v>
      </c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>
        <f>42*'Données projet'!E130+19.5*('Données projet'!F130+'Données projet'!G130)+10*'Données projet'!H130</f>
        <v>0</v>
      </c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>
        <f>42*'Données projet'!E131+19.5*('Données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>
        <f>42*'Données projet'!E132+19.5*('Données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>
        <f>42*'Données projet'!E133+19.5*('Données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8" t="s">
        <v>132</v>
      </c>
      <c r="C141" s="197" t="s">
        <v>132</v>
      </c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>
        <f>150*'Données projet'!E140+13.8*('Données projet'!F140+'Données projet'!G140)+10*'Données projet'!H140</f>
        <v>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>
        <f>150*'Données projet'!E141+13.8*('Données projet'!F141+'Données projet'!G141)+10*'Données projet'!H141</f>
        <v>0</v>
      </c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>
        <f>150*'Données projet'!E142+13.8*('Données projet'!F142+'Données projet'!G142)+10*'Données projet'!H142</f>
        <v>0</v>
      </c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>
        <f>150*'Données projet'!E143+13.8*('Données projet'!F143+'Données projet'!G143)+10*'Données projet'!H143</f>
        <v>0</v>
      </c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>
        <f>150*'Données projet'!E144+13.8*('Données projet'!F144+'Données projet'!G144)+10*'Données projet'!H144</f>
        <v>0</v>
      </c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>
        <f>150*'Données projet'!E145+13.8*('Données projet'!F145+'Données projet'!G145)+10*'Données projet'!H145</f>
        <v>0</v>
      </c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>
        <f>150*'Données projet'!E146+13.8*('Données projet'!F146+'Données projet'!G146)+10*'Données projet'!H146</f>
        <v>0</v>
      </c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>
        <f>150*'Données projet'!E147+13.8*('Données projet'!F147+'Données projet'!G147)+10*'Données projet'!H147</f>
        <v>0</v>
      </c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>
        <f>150*'Données projet'!E148+13.8*('Données projet'!F148+'Données projet'!G148)+10*'Données projet'!H148</f>
        <v>0</v>
      </c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>
        <f>150*'Données projet'!E149+13.8*('Données projet'!F149+'Données projet'!G149)+10*'Données projet'!H149</f>
        <v>0</v>
      </c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>
        <f>150*'Données projet'!E150+13.8*('Données projet'!F150+'Données projet'!G150)+10*'Données projet'!H150</f>
        <v>0</v>
      </c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>
        <f>150*'Données projet'!E151+13.8*('Données projet'!F151+'Données projet'!G151)+10*'Données projet'!H151</f>
        <v>0</v>
      </c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>
        <f>150*'Données projet'!E152+13.8*('Données projet'!F152+'Données projet'!G152)+10*'Données projet'!H152</f>
        <v>0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>
        <f>150*'Données projet'!E153+13.8*('Données projet'!F153+'Données projet'!G153)+10*'Données projet'!H153</f>
        <v>0</v>
      </c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>
        <f>150*'Données projet'!E154+13.8*('Données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>
        <f>150*'Données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>
        <f>150*'Données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>
        <f>150*'Données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>
        <f>300*'Données projet'!E166+13.8*('Données projet'!F166+'Données projet'!G168)+10*'Données projet'!H166</f>
        <v>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>
        <f>300*'Données projet'!E167+13.8*('Données projet'!F167+'Données projet'!G169)+10*'Données projet'!H167</f>
        <v>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>
        <f>300*'Données projet'!E168+13.8*('Données projet'!F168+'Données projet'!G170)+10*'Données projet'!H168</f>
        <v>0</v>
      </c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>
        <f>300*'Données projet'!E169+13.8*('Données projet'!F169+'Données projet'!G171)+10*'Données projet'!H169</f>
        <v>0</v>
      </c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>
        <f>300*'Données projet'!E170+13.8*('Données projet'!F170+'Données projet'!G172)+10*'Données projet'!H170</f>
        <v>0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>
        <f>300*'Données projet'!E171+13.8*('Données projet'!F171+'Données projet'!G173)+10*'Données projet'!H171</f>
        <v>0</v>
      </c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>
        <f>300*'Données projet'!E172+13.8*('Données projet'!F172+'Données projet'!G174)+10*'Données projet'!H172</f>
        <v>0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>
        <f>300*'Données projet'!E173+13.8*('Données projet'!F173+'Données projet'!G175)+10*'Données projet'!H173</f>
        <v>0</v>
      </c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>
        <f>300*'Données projet'!E174+13.8*('Données projet'!F174+'Données projet'!G176)+10*'Données projet'!H174</f>
        <v>0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>
        <f>300*'Données projet'!E175+13.8*('Données projet'!F175+'Données projet'!G177)+10*'Données projet'!H175</f>
        <v>0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>
        <f>300*'Données projet'!E176+13.8*('Données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>
        <f>300*'Données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>
        <f>300*'Données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>
        <f>150*'Données projet'!E192+13.8*('Données projet'!F192+'Données projet'!G192)+10*'Données projet'!H192</f>
        <v>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>
        <f>150*'Données projet'!E193+13.8*('Données projet'!F193+'Données projet'!G193)+10*'Données projet'!H193</f>
        <v>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>
        <f>150*'Données projet'!E194+13.8*('Données projet'!F194+'Données projet'!G194)+10*'Données projet'!H194</f>
        <v>0</v>
      </c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>
        <f>150*'Données projet'!E195+13.8*('Données projet'!F195+'Données projet'!G195)+10*'Données projet'!H195</f>
        <v>0</v>
      </c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>
        <f>150*'Données projet'!E196+13.8*('Données projet'!F196+'Données projet'!G196)+10*'Données projet'!H196</f>
        <v>0</v>
      </c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>
        <f>150*'Données projet'!E197+13.8*('Données projet'!F197+'Données projet'!G197)+10*'Données projet'!H197</f>
        <v>0</v>
      </c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>
        <f>150*'Données projet'!E198+13.8*('Données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>
        <f>150*'Données projet'!E199+13.8*('Données projet'!F199+'Données projet'!G199)+10*'Données projet'!H199</f>
        <v>0</v>
      </c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>
        <f>150*'Données projet'!E200+13.8*('Données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>
        <f>150*'Données projet'!E201+13.8*('Données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>
        <f>150*'Données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>
        <f>150*'Données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>
        <f>150*'Données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>
        <f>150*'Données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>
        <f>150*'Données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>
        <f>150*'Données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>
        <f>150*'Données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8" t="s">
        <v>132</v>
      </c>
      <c r="C234" s="197" t="s">
        <v>132</v>
      </c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>
        <f>60*'Données projet'!E218+13.8*('Données projet'!F218+'Données projet'!G218)+10*'Données projet'!H218</f>
        <v>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>
        <f>60*'Données projet'!E219+13.8*('Données projet'!F219+'Données projet'!G219)+10*'Données projet'!H219</f>
        <v>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>
        <f>60*'Données projet'!E220+13.8*('Données projet'!F220+'Données projet'!G220)+10*'Données projet'!H220</f>
        <v>0</v>
      </c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>
        <f>60*'Données projet'!E221+13.8*('Données projet'!F221+'Données projet'!G221)+10*'Données projet'!H221</f>
        <v>0</v>
      </c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>
        <f>60*'Données projet'!E222+13.8*('Données projet'!F222+'Données projet'!G222)+10*'Données projet'!H222</f>
        <v>0</v>
      </c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>
        <f>60*'Données projet'!E223+13.8*('Données projet'!F223+'Données projet'!G223)+10*'Données projet'!H223</f>
        <v>0</v>
      </c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>
        <f>60*'Données projet'!E224+13.8*('Données projet'!F224+'Données projet'!G224)+10*'Données projet'!H224</f>
        <v>0</v>
      </c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>
        <f>60*'Données projet'!E225+13.8*('Données projet'!F225+'Données projet'!G225)+10*'Données projet'!H225</f>
        <v>0</v>
      </c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>
        <f>60*'Données projet'!E226+13.8*('Données projet'!F226+'Données projet'!G226)+10*'Données projet'!H226</f>
        <v>0</v>
      </c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>
        <f>60*'Données projet'!E227+13.8*('Données projet'!F227+'Données projet'!G227)+10*'Données projet'!H227</f>
        <v>0</v>
      </c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>
        <f>60*'Données projet'!E228+13.8*('Données projet'!F228+'Données projet'!G228)+10*'Données projet'!H228</f>
        <v>0</v>
      </c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>
        <f>60*'Données projet'!E229+13.8*('Données projet'!F229+'Données projet'!G229)+10*'Données projet'!H229</f>
        <v>0</v>
      </c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>
        <f>60*'Données projet'!E230+13.8*('Données projet'!F230+'Données projet'!G230)+10*'Données projet'!H230</f>
        <v>0</v>
      </c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>
        <f>60*'Données projet'!E231+13.8*('Données projet'!F231+'Données projet'!G231)+10*'Données projet'!H231</f>
        <v>0</v>
      </c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>
        <f>60*'Données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>
        <f>60*'Données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>
        <f>60*'Données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>
        <f>60*'Données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>
        <f>60*'Données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>
        <f>60*'Données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>
        <f>60*'Données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>
        <f>60*'Données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>
        <f>60*'Données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>
        <f>60*'Données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>
        <f>60*'Données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>
        <f>60*'Données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>
        <f>60*'Données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>
        <f>60*'Données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>
        <f>60*'Données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>
        <f>60*'Données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Lou StockCo2</cp:lastModifiedBy>
  <dcterms:created xsi:type="dcterms:W3CDTF">2021-02-01T08:22:39Z</dcterms:created>
  <dcterms:modified xsi:type="dcterms:W3CDTF">2024-01-30T15:18:54Z</dcterms:modified>
</cp:coreProperties>
</file>