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54546af64a26a65e/Bureau/"/>
    </mc:Choice>
  </mc:AlternateContent>
  <xr:revisionPtr revIDLastSave="0" documentId="8_{5445A079-EA3F-4CEC-861E-E88397922D66}" xr6:coauthVersionLast="47" xr6:coauthVersionMax="47" xr10:uidLastSave="{00000000-0000-0000-0000-000000000000}"/>
  <bookViews>
    <workbookView xWindow="-120" yWindow="-120" windowWidth="29040" windowHeight="1572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EC4" i="2"/>
  <c r="GL4" i="2"/>
  <c r="F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C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X7" i="2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G10" i="2" l="1"/>
  <c r="FS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G14" i="2" l="1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G18" i="2" l="1"/>
  <c r="FS18" i="2"/>
  <c r="EW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FS20" i="2"/>
  <c r="EC20" i="2"/>
  <c r="HG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T21" i="2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HI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EW22" i="2" s="1"/>
  <c r="FO22" i="2"/>
  <c r="FN22" i="2"/>
  <c r="DY22" i="2"/>
  <c r="ES22" i="2"/>
  <c r="BN22" i="2"/>
  <c r="CH22" i="2"/>
  <c r="AS22" i="2"/>
  <c r="W22" i="2"/>
  <c r="DX22" i="2"/>
  <c r="EA22" i="2" s="1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C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HG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B28" i="2"/>
  <c r="FS28" i="2"/>
  <c r="HI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HI30" i="2" l="1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EB33" i="2" s="1"/>
  <c r="DD33" i="2"/>
  <c r="ET33" i="2"/>
  <c r="EW33" i="2" s="1"/>
  <c r="CH33" i="2"/>
  <c r="AS33" i="2"/>
  <c r="CI33" i="2"/>
  <c r="BM33" i="2"/>
  <c r="X33" i="2"/>
  <c r="ES33" i="2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HG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HH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B37" i="2" s="1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G38" i="2" l="1"/>
  <c r="FS38" i="2"/>
  <c r="HH38" i="2"/>
  <c r="HI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HG44" i="2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HI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HI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I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HI51" i="2" l="1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EV57" i="2"/>
  <c r="FS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X58" i="2" l="1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HH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G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X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HG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FS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B77" i="2" l="1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V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G85" i="2" l="1"/>
  <c r="HH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FQ95" i="2" s="1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A105" i="2"/>
  <c r="FS105" i="2"/>
  <c r="EV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G110" i="2" l="1"/>
  <c r="EB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EW113" i="2" s="1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G113" i="2" l="1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EW114" i="2" s="1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V116" i="2"/>
  <c r="EC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HG117" i="2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C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EX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HH120" i="2" s="1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FQ120" i="2"/>
  <c r="HI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EB128" i="2"/>
  <c r="FS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EW130" i="2" s="1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H130" i="2" l="1"/>
  <c r="HI130" i="2"/>
  <c r="HG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EW134" i="2" s="1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EB138" i="2" s="1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A139" i="2"/>
  <c r="HH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HH140" i="2" s="1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FS140" i="2"/>
  <c r="FR140" i="2"/>
  <c r="EC140" i="2"/>
  <c r="EB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HH141" i="2"/>
  <c r="FS141" i="2"/>
  <c r="EA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X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HG145" i="2"/>
  <c r="HH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I146" i="2"/>
  <c r="HG146" i="2"/>
  <c r="FS146" i="2"/>
  <c r="FR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I150" i="2"/>
  <c r="HG150" i="2"/>
  <c r="EC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B154" i="2"/>
  <c r="HH154" i="2"/>
  <c r="EX154" i="2"/>
  <c r="AA154" i="2"/>
  <c r="EV154" i="2"/>
  <c r="EY154" i="2" s="1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A155" i="2"/>
  <c r="EW155" i="2"/>
  <c r="HH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DH156" i="2" l="1"/>
  <c r="AB156" i="2"/>
  <c r="HG156" i="2"/>
  <c r="EX156" i="2"/>
  <c r="HH156" i="2"/>
  <c r="EB156" i="2"/>
  <c r="FS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EC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C158" i="2" l="1"/>
  <c r="EV158" i="2"/>
  <c r="EW158" i="2"/>
  <c r="HH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I159" i="2" l="1"/>
  <c r="EC159" i="2"/>
  <c r="EA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G160" i="2" l="1"/>
  <c r="EC160" i="2"/>
  <c r="DG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HH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C162" i="2" l="1"/>
  <c r="EW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I163" i="2" l="1"/>
  <c r="EB163" i="2"/>
  <c r="EV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EX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B165" i="2"/>
  <c r="HH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A167" i="2"/>
  <c r="EB167" i="2"/>
  <c r="FR167" i="2"/>
  <c r="EC167" i="2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W168" i="2" l="1"/>
  <c r="HI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H173" i="2" l="1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H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W175" i="2" l="1"/>
  <c r="HI175" i="2"/>
  <c r="EA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FQ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DG182" i="2"/>
  <c r="FS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A185" i="2" l="1"/>
  <c r="HG185" i="2"/>
  <c r="EB185" i="2"/>
  <c r="EW185" i="2"/>
  <c r="EV185" i="2"/>
  <c r="HI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W186" i="2" l="1"/>
  <c r="HH186" i="2"/>
  <c r="HG186" i="2"/>
  <c r="ED185" i="2"/>
  <c r="FS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C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FS188" i="2" l="1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HH189" i="2"/>
  <c r="EB189" i="2"/>
  <c r="EV189" i="2"/>
  <c r="EY189" i="2" s="1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AX187" i="2"/>
  <c r="EW190" i="2" l="1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I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B192" i="2" l="1"/>
  <c r="EA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W197" i="2" l="1"/>
  <c r="EA197" i="2"/>
  <c r="AA197" i="2"/>
  <c r="HH197" i="2"/>
  <c r="FS197" i="2"/>
  <c r="HG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EA199" i="2"/>
  <c r="EB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AH5" i="2" a="1"/>
  <c r="AH5" i="2" s="1"/>
  <c r="EI4" i="2" a="1"/>
  <c r="EI4" i="2" s="1"/>
  <c r="EJ4" i="2" s="1"/>
  <c r="AX198" i="2"/>
  <c r="HG201" i="2" l="1"/>
  <c r="EA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HI202" i="2" l="1"/>
  <c r="EX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CS66" i="2" a="1"/>
  <c r="CS66" i="2" s="1"/>
  <c r="CS52" i="2" a="1"/>
  <c r="CS52" i="2" s="1"/>
  <c r="CS129" i="2" a="1"/>
  <c r="CS129" i="2" s="1"/>
  <c r="DN41" i="2" a="1"/>
  <c r="DN41" i="2" s="1"/>
  <c r="DN29" i="2" a="1"/>
  <c r="DN29" i="2" s="1"/>
  <c r="DN115" i="2" a="1"/>
  <c r="DN115" i="2" s="1"/>
  <c r="DN177" i="2" a="1"/>
  <c r="DN177" i="2" s="1"/>
  <c r="CS116" i="2" a="1"/>
  <c r="CS116" i="2" s="1"/>
  <c r="EI195" i="2" a="1"/>
  <c r="EI195" i="2" s="1"/>
  <c r="CS137" i="2" a="1"/>
  <c r="CS137" i="2" s="1"/>
  <c r="AH151" i="2" a="1"/>
  <c r="AH151" i="2" s="1"/>
  <c r="CS77" i="2" a="1"/>
  <c r="CS77" i="2" s="1"/>
  <c r="AH166" i="2" a="1"/>
  <c r="AH166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DN103" i="2" l="1" a="1"/>
  <c r="DN103" i="2" s="1"/>
  <c r="DN86" i="2" a="1"/>
  <c r="DN86" i="2" s="1"/>
  <c r="DN152" i="2" a="1"/>
  <c r="DN152" i="2" s="1"/>
  <c r="DN155" i="2" a="1"/>
  <c r="DN155" i="2" s="1"/>
  <c r="HH203" i="2"/>
  <c r="DN123" i="2" a="1"/>
  <c r="DN123" i="2" s="1"/>
  <c r="DN153" i="2" a="1"/>
  <c r="DN153" i="2" s="1"/>
  <c r="DN43" i="2" a="1"/>
  <c r="DN43" i="2" s="1"/>
  <c r="AH199" i="2" a="1"/>
  <c r="AH199" i="2" s="1"/>
  <c r="DN170" i="2" a="1"/>
  <c r="DN170" i="2" s="1"/>
  <c r="DN186" i="2" a="1"/>
  <c r="DN186" i="2" s="1"/>
  <c r="DN56" i="2" a="1"/>
  <c r="DN56" i="2" s="1"/>
  <c r="DN129" i="2" a="1"/>
  <c r="DN129" i="2" s="1"/>
  <c r="DN137" i="2" a="1"/>
  <c r="DN137" i="2" s="1"/>
  <c r="AH19" i="2" a="1"/>
  <c r="AH19" i="2" s="1"/>
  <c r="DN150" i="2" a="1"/>
  <c r="DN150" i="2" s="1"/>
  <c r="DN50" i="2" a="1"/>
  <c r="DN50" i="2" s="1"/>
  <c r="AH90" i="2" a="1"/>
  <c r="AH90" i="2" s="1"/>
  <c r="DN192" i="2" a="1"/>
  <c r="DN192" i="2" s="1"/>
  <c r="DN113" i="2" a="1"/>
  <c r="DN113" i="2" s="1"/>
  <c r="DN66" i="2" a="1"/>
  <c r="DN66" i="2" s="1"/>
  <c r="DN25" i="2" a="1"/>
  <c r="DN25" i="2" s="1"/>
  <c r="DN124" i="2" a="1"/>
  <c r="DN124" i="2" s="1"/>
  <c r="DN110" i="2" a="1"/>
  <c r="DN110" i="2" s="1"/>
  <c r="DN114" i="2" a="1"/>
  <c r="DN114" i="2" s="1"/>
  <c r="DN188" i="2" a="1"/>
  <c r="DN188" i="2" s="1"/>
  <c r="DN184" i="2" a="1"/>
  <c r="DN184" i="2" s="1"/>
  <c r="AH92" i="2" a="1"/>
  <c r="AH92" i="2" s="1"/>
  <c r="FR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<sst xmlns="http://schemas.openxmlformats.org/spreadsheetml/2006/main" count="1111" uniqueCount="324">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</sst>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2.2255772163204095</c:v>
                </c:pt>
                <c:pt idx="2">
                  <c:v>3.1946779655515307</c:v>
                </c:pt>
                <c:pt idx="3">
                  <c:v>4.5876316188970696</c:v>
                </c:pt>
                <c:pt idx="4">
                  <c:v>6.590585966454622</c:v>
                </c:pt>
                <c:pt idx="5">
                  <c:v>9.4717556389532636</c:v>
                </c:pt>
                <c:pt idx="6">
                  <c:v>13.617730980274585</c:v>
                </c:pt>
                <c:pt idx="7">
                  <c:v>19.585903081632413</c:v>
                </c:pt>
                <c:pt idx="8">
                  <c:v>28.180179381391252</c:v>
                </c:pt>
                <c:pt idx="9">
                  <c:v>40.560366533786258</c:v>
                </c:pt>
                <c:pt idx="10">
                  <c:v>58.400232307112447</c:v>
                </c:pt>
                <c:pt idx="11">
                  <c:v>84.115968492471652</c:v>
                </c:pt>
                <c:pt idx="12">
                  <c:v>107.79959559943795</c:v>
                </c:pt>
                <c:pt idx="13">
                  <c:v>135.26977619819337</c:v>
                </c:pt>
                <c:pt idx="14">
                  <c:v>118.28248521778211</c:v>
                </c:pt>
                <c:pt idx="15">
                  <c:v>143.52656566942861</c:v>
                </c:pt>
                <c:pt idx="16">
                  <c:v>168.66405407170706</c:v>
                </c:pt>
                <c:pt idx="17">
                  <c:v>193.71310674706146</c:v>
                </c:pt>
                <c:pt idx="18">
                  <c:v>219.54672196983498</c:v>
                </c:pt>
                <c:pt idx="19">
                  <c:v>188.53710283199996</c:v>
                </c:pt>
                <c:pt idx="20">
                  <c:v>212.23470630585618</c:v>
                </c:pt>
                <c:pt idx="21">
                  <c:v>235.87130889778066</c:v>
                </c:pt>
                <c:pt idx="22">
                  <c:v>259.45388286365005</c:v>
                </c:pt>
                <c:pt idx="23">
                  <c:v>282.56053853494797</c:v>
                </c:pt>
                <c:pt idx="24">
                  <c:v>233.72485302763639</c:v>
                </c:pt>
                <c:pt idx="25">
                  <c:v>253.88438007847063</c:v>
                </c:pt>
                <c:pt idx="26">
                  <c:v>274.00766775121139</c:v>
                </c:pt>
                <c:pt idx="27">
                  <c:v>294.09775112221092</c:v>
                </c:pt>
                <c:pt idx="28">
                  <c:v>313.30421540273591</c:v>
                </c:pt>
                <c:pt idx="29">
                  <c:v>332.48457638864585</c:v>
                </c:pt>
                <c:pt idx="30">
                  <c:v>351.64055120002314</c:v>
                </c:pt>
                <c:pt idx="31">
                  <c:v>369.92376097352206</c:v>
                </c:pt>
                <c:pt idx="32">
                  <c:v>388.18726525598072</c:v>
                </c:pt>
                <c:pt idx="33">
                  <c:v>406.43212123270087</c:v>
                </c:pt>
                <c:pt idx="34">
                  <c:v>422.96445608157745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56" t="s">
        <v>291</v>
      </c>
      <c r="C12" s="256"/>
      <c r="D12" s="256"/>
      <c r="E12" s="256"/>
      <c r="F12" s="256"/>
      <c r="G12" s="256"/>
      <c r="H12" s="256"/>
      <c r="I12" s="256"/>
      <c r="J12" s="256"/>
      <c r="K12" s="256"/>
      <c r="L12" s="256"/>
      <c r="M12" s="256"/>
    </row>
    <row r="13" spans="2:13" ht="15" customHeight="1" x14ac:dyDescent="0.25">
      <c r="B13" s="256"/>
      <c r="C13" s="256"/>
      <c r="D13" s="256"/>
      <c r="E13" s="256"/>
      <c r="F13" s="256"/>
      <c r="G13" s="256"/>
      <c r="H13" s="256"/>
      <c r="I13" s="256"/>
      <c r="J13" s="256"/>
      <c r="K13" s="256"/>
      <c r="L13" s="256"/>
      <c r="M13" s="256"/>
    </row>
    <row r="14" spans="2:13" ht="15" customHeight="1" x14ac:dyDescent="0.25">
      <c r="B14" s="256"/>
      <c r="C14" s="256"/>
      <c r="D14" s="256"/>
      <c r="E14" s="256"/>
      <c r="F14" s="256"/>
      <c r="G14" s="256"/>
      <c r="H14" s="256"/>
      <c r="I14" s="256"/>
      <c r="J14" s="256"/>
      <c r="K14" s="256"/>
      <c r="L14" s="256"/>
      <c r="M14" s="256"/>
    </row>
    <row r="15" spans="2:13" ht="18.75" customHeight="1" x14ac:dyDescent="0.25">
      <c r="B15" s="256"/>
      <c r="C15" s="256"/>
      <c r="D15" s="256"/>
      <c r="E15" s="256"/>
      <c r="F15" s="256"/>
      <c r="G15" s="256"/>
      <c r="H15" s="256"/>
      <c r="I15" s="256"/>
      <c r="J15" s="256"/>
      <c r="K15" s="256"/>
      <c r="L15" s="256"/>
      <c r="M15" s="256"/>
    </row>
    <row r="16" spans="2:13" ht="18.75" customHeight="1" x14ac:dyDescent="0.25">
      <c r="B16" s="256"/>
      <c r="C16" s="256"/>
      <c r="D16" s="256"/>
      <c r="E16" s="256"/>
      <c r="F16" s="256"/>
      <c r="G16" s="256"/>
      <c r="H16" s="256"/>
      <c r="I16" s="256"/>
      <c r="J16" s="256"/>
      <c r="K16" s="256"/>
      <c r="L16" s="256"/>
      <c r="M16" s="256"/>
    </row>
    <row r="18" spans="2:13" ht="12" customHeight="1" x14ac:dyDescent="0.25">
      <c r="B18" s="256" t="s">
        <v>292</v>
      </c>
      <c r="C18" s="256"/>
      <c r="D18" s="256"/>
      <c r="E18" s="256"/>
      <c r="F18" s="256"/>
      <c r="G18" s="256"/>
      <c r="H18" s="256"/>
      <c r="I18" s="256"/>
      <c r="J18" s="256"/>
      <c r="K18" s="256"/>
      <c r="L18" s="256"/>
      <c r="M18" s="256"/>
    </row>
    <row r="19" spans="2:13" ht="12" customHeight="1" x14ac:dyDescent="0.25">
      <c r="B19" s="256"/>
      <c r="C19" s="256"/>
      <c r="D19" s="256"/>
      <c r="E19" s="256"/>
      <c r="F19" s="256"/>
      <c r="G19" s="256"/>
      <c r="H19" s="256"/>
      <c r="I19" s="256"/>
      <c r="J19" s="256"/>
      <c r="K19" s="256"/>
      <c r="L19" s="256"/>
      <c r="M19" s="256"/>
    </row>
    <row r="20" spans="2:13" ht="12" customHeight="1" x14ac:dyDescent="0.25">
      <c r="B20" s="256"/>
      <c r="C20" s="256"/>
      <c r="D20" s="256"/>
      <c r="E20" s="256"/>
      <c r="F20" s="256"/>
      <c r="G20" s="256"/>
      <c r="H20" s="256"/>
      <c r="I20" s="256"/>
      <c r="J20" s="256"/>
      <c r="K20" s="256"/>
      <c r="L20" s="256"/>
      <c r="M20" s="256"/>
    </row>
    <row r="21" spans="2:13" ht="12" customHeight="1" x14ac:dyDescent="0.25">
      <c r="B21" s="256"/>
      <c r="C21" s="256"/>
      <c r="D21" s="256"/>
      <c r="E21" s="256"/>
      <c r="F21" s="256"/>
      <c r="G21" s="256"/>
      <c r="H21" s="256"/>
      <c r="I21" s="256"/>
      <c r="J21" s="256"/>
      <c r="K21" s="256"/>
      <c r="L21" s="256"/>
      <c r="M21" s="256"/>
    </row>
    <row r="22" spans="2:13" ht="12" customHeight="1" x14ac:dyDescent="0.25">
      <c r="B22" s="256"/>
      <c r="C22" s="256"/>
      <c r="D22" s="256"/>
      <c r="E22" s="256"/>
      <c r="F22" s="256"/>
      <c r="G22" s="256"/>
      <c r="H22" s="256"/>
      <c r="I22" s="256"/>
      <c r="J22" s="256"/>
      <c r="K22" s="256"/>
      <c r="L22" s="256"/>
      <c r="M22" s="256"/>
    </row>
    <row r="23" spans="2:13" ht="12" customHeight="1" x14ac:dyDescent="0.25">
      <c r="B23" s="256"/>
      <c r="C23" s="256"/>
      <c r="D23" s="256"/>
      <c r="E23" s="256"/>
      <c r="F23" s="256"/>
      <c r="G23" s="256"/>
      <c r="H23" s="256"/>
      <c r="I23" s="256"/>
      <c r="J23" s="256"/>
      <c r="K23" s="256"/>
      <c r="L23" s="256"/>
      <c r="M23" s="256"/>
    </row>
    <row r="24" spans="2:13" ht="12" customHeight="1" x14ac:dyDescent="0.25">
      <c r="B24" s="256"/>
      <c r="C24" s="256"/>
      <c r="D24" s="256"/>
      <c r="E24" s="256"/>
      <c r="F24" s="256"/>
      <c r="G24" s="256"/>
      <c r="H24" s="256"/>
      <c r="I24" s="256"/>
      <c r="J24" s="256"/>
      <c r="K24" s="256"/>
      <c r="L24" s="256"/>
      <c r="M24" s="256"/>
    </row>
    <row r="25" spans="2:13" ht="12" customHeight="1" x14ac:dyDescent="0.25">
      <c r="B25" s="256"/>
      <c r="C25" s="256"/>
      <c r="D25" s="256"/>
      <c r="E25" s="256"/>
      <c r="F25" s="256"/>
      <c r="G25" s="256"/>
      <c r="H25" s="256"/>
      <c r="I25" s="256"/>
      <c r="J25" s="256"/>
      <c r="K25" s="256"/>
      <c r="L25" s="256"/>
      <c r="M25" s="256"/>
    </row>
    <row r="26" spans="2:13" ht="12" customHeight="1" x14ac:dyDescent="0.25">
      <c r="B26" s="256"/>
      <c r="C26" s="256"/>
      <c r="D26" s="256"/>
      <c r="E26" s="256"/>
      <c r="F26" s="256"/>
      <c r="G26" s="256"/>
      <c r="H26" s="256"/>
      <c r="I26" s="256"/>
      <c r="J26" s="256"/>
      <c r="K26" s="256"/>
      <c r="L26" s="256"/>
      <c r="M26" s="256"/>
    </row>
    <row r="27" spans="2:13" ht="12" customHeight="1" x14ac:dyDescent="0.25">
      <c r="B27" s="256"/>
      <c r="C27" s="256"/>
      <c r="D27" s="256"/>
      <c r="E27" s="256"/>
      <c r="F27" s="256"/>
      <c r="G27" s="256"/>
      <c r="H27" s="256"/>
      <c r="I27" s="256"/>
      <c r="J27" s="256"/>
      <c r="K27" s="256"/>
      <c r="L27" s="256"/>
      <c r="M27" s="256"/>
    </row>
    <row r="28" spans="2:13" ht="12" customHeight="1" x14ac:dyDescent="0.25">
      <c r="B28" s="256"/>
      <c r="C28" s="256"/>
      <c r="D28" s="256"/>
      <c r="E28" s="256"/>
      <c r="F28" s="256"/>
      <c r="G28" s="256"/>
      <c r="H28" s="256"/>
      <c r="I28" s="256"/>
      <c r="J28" s="256"/>
      <c r="K28" s="256"/>
      <c r="L28" s="256"/>
      <c r="M28" s="256"/>
    </row>
    <row r="29" spans="2:13" ht="12" customHeight="1" x14ac:dyDescent="0.25">
      <c r="B29" s="256"/>
      <c r="C29" s="256"/>
      <c r="D29" s="256"/>
      <c r="E29" s="256"/>
      <c r="F29" s="256"/>
      <c r="G29" s="256"/>
      <c r="H29" s="256"/>
      <c r="I29" s="256"/>
      <c r="J29" s="256"/>
      <c r="K29" s="256"/>
      <c r="L29" s="256"/>
      <c r="M29" s="256"/>
    </row>
    <row r="30" spans="2:13" ht="12" customHeight="1" x14ac:dyDescent="0.25">
      <c r="B30" s="256"/>
      <c r="C30" s="256"/>
      <c r="D30" s="256"/>
      <c r="E30" s="256"/>
      <c r="F30" s="256"/>
      <c r="G30" s="256"/>
      <c r="H30" s="256"/>
      <c r="I30" s="256"/>
      <c r="J30" s="256"/>
      <c r="K30" s="256"/>
      <c r="L30" s="256"/>
      <c r="M30" s="256"/>
    </row>
    <row r="31" spans="2:13" ht="12" customHeight="1" x14ac:dyDescent="0.25">
      <c r="B31" s="256"/>
      <c r="C31" s="256"/>
      <c r="D31" s="256"/>
      <c r="E31" s="256"/>
      <c r="F31" s="256"/>
      <c r="G31" s="256"/>
      <c r="H31" s="256"/>
      <c r="I31" s="256"/>
      <c r="J31" s="256"/>
      <c r="K31" s="256"/>
      <c r="L31" s="256"/>
      <c r="M31" s="25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3" zoomScale="80" zoomScaleNormal="80" workbookViewId="0">
      <selection activeCell="D22" sqref="D22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57" t="s">
        <v>190</v>
      </c>
      <c r="D1" s="257"/>
      <c r="E1" s="257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0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2" t="s">
        <v>192</v>
      </c>
      <c r="C3" s="263"/>
      <c r="D3" s="263"/>
      <c r="E3" s="263"/>
      <c r="F3" s="264"/>
      <c r="G3" s="89"/>
      <c r="I3" s="210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7"/>
      <c r="I4" s="210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67" t="s">
        <v>231</v>
      </c>
      <c r="B5" s="267"/>
      <c r="C5" s="24">
        <v>12.55</v>
      </c>
      <c r="D5" s="268" t="s">
        <v>229</v>
      </c>
      <c r="E5" s="269"/>
      <c r="F5" s="90"/>
      <c r="G5" s="217"/>
      <c r="H5" s="217"/>
      <c r="I5" s="217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4"/>
      <c r="H6" s="204"/>
      <c r="I6" s="20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66" t="s">
        <v>226</v>
      </c>
      <c r="B7" s="266"/>
      <c r="C7" s="90"/>
      <c r="D7" s="90"/>
      <c r="E7" s="4"/>
      <c r="F7" s="90"/>
      <c r="G7" s="217"/>
      <c r="H7" s="217"/>
      <c r="I7" s="217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36</v>
      </c>
      <c r="C9" s="32">
        <v>1</v>
      </c>
      <c r="D9" s="33">
        <f t="shared" ref="D9:D18" si="0">C9*$C$5</f>
        <v>12.55</v>
      </c>
      <c r="E9" s="34">
        <v>34</v>
      </c>
      <c r="F9" s="35" t="str">
        <f t="array" ref="F9">IF(E9="","",IF(INDEX(A:A,MAX(IF(ISNUMBER($A$36:$A$55),ROW($A$36:$A$55),"")))&lt;&gt;E9,"Corrigez : révolution incorrecte","OK"))</f>
        <v>OK</v>
      </c>
      <c r="G9" s="227" t="s">
        <v>306</v>
      </c>
      <c r="I9" s="225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166</v>
      </c>
      <c r="B10" s="31"/>
      <c r="C10" s="32"/>
      <c r="D10" s="33">
        <f t="shared" si="0"/>
        <v>0</v>
      </c>
      <c r="E10" s="34"/>
      <c r="F10" s="35" t="str">
        <f t="array" ref="F10">IF(E10="","",IF(INDEX(A:A,MAX(IF(ISNUMBER($A$62:$A$81),ROW($A$62:$A$81),"")))&lt;&gt;E10,"Corrigez : révolution incorrecte","OK"))</f>
        <v/>
      </c>
      <c r="I10" s="225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5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5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5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5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5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5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5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5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175</v>
      </c>
      <c r="C19" s="37">
        <f>SUM(C9:C18)</f>
        <v>1</v>
      </c>
      <c r="D19" s="38">
        <f>SUM(D9:D18)</f>
        <v>12.55</v>
      </c>
      <c r="E19" s="4"/>
      <c r="F19" s="92"/>
      <c r="G19" s="218"/>
      <c r="H19" s="218"/>
      <c r="I19" s="218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OK</v>
      </c>
      <c r="D20" s="221"/>
      <c r="F20" s="204"/>
      <c r="G20" s="204"/>
      <c r="H20" s="218"/>
      <c r="I20" s="218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19"/>
      <c r="I21" s="219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65" t="s">
        <v>232</v>
      </c>
      <c r="B22" s="26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0.2</v>
      </c>
      <c r="D24" s="44" t="s">
        <v>233</v>
      </c>
      <c r="E24" s="93"/>
      <c r="F24" s="93"/>
      <c r="G24" s="201"/>
      <c r="I24" s="201"/>
      <c r="J24" s="220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0"/>
      <c r="I25" s="220"/>
      <c r="J25" s="220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0.15</v>
      </c>
      <c r="D26" s="44" t="s">
        <v>234</v>
      </c>
      <c r="E26" s="93"/>
      <c r="F26" s="93"/>
      <c r="G26" s="201"/>
      <c r="I26" s="201"/>
      <c r="J26" s="201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1"/>
      <c r="I27" s="201"/>
      <c r="J27" s="201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66" t="s">
        <v>227</v>
      </c>
      <c r="B30" s="266"/>
      <c r="D30" s="222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2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Pin maritime</v>
      </c>
      <c r="D32" s="228" t="s">
        <v>307</v>
      </c>
      <c r="K32" s="222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2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2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3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11</v>
      </c>
      <c r="B36" s="60">
        <v>62</v>
      </c>
      <c r="C36" s="60">
        <v>1</v>
      </c>
      <c r="D36" s="60">
        <v>0</v>
      </c>
      <c r="E36" s="51"/>
      <c r="F36" s="51"/>
      <c r="G36" s="51"/>
      <c r="H36" s="51"/>
      <c r="I36" s="49">
        <f>IFERROR(B36/A36,"")</f>
        <v>5.6363636363636367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12</v>
      </c>
      <c r="B37" s="60">
        <v>80</v>
      </c>
      <c r="C37" s="60">
        <v>2</v>
      </c>
      <c r="D37" s="60">
        <v>0</v>
      </c>
      <c r="E37" s="51"/>
      <c r="F37" s="51"/>
      <c r="G37" s="51"/>
      <c r="H37" s="51"/>
      <c r="I37" s="53">
        <f t="shared" ref="I37:I55" si="1">IF(A37&lt;&gt;0,(B37-(B36-D36))/(A37-A36),"")</f>
        <v>18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13</v>
      </c>
      <c r="B38" s="60">
        <v>101</v>
      </c>
      <c r="C38" s="60">
        <v>3</v>
      </c>
      <c r="D38" s="60">
        <v>28</v>
      </c>
      <c r="E38" s="51">
        <v>0.2</v>
      </c>
      <c r="F38" s="51">
        <v>0.45</v>
      </c>
      <c r="G38" s="51">
        <v>0.35</v>
      </c>
      <c r="H38" s="51"/>
      <c r="I38" s="53">
        <f t="shared" si="1"/>
        <v>21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>
        <v>14</v>
      </c>
      <c r="B39" s="60">
        <v>88</v>
      </c>
      <c r="C39" s="60">
        <v>4</v>
      </c>
      <c r="D39" s="60">
        <v>0</v>
      </c>
      <c r="E39" s="51"/>
      <c r="F39" s="51"/>
      <c r="G39" s="51"/>
      <c r="H39" s="51"/>
      <c r="I39" s="49">
        <f t="shared" si="1"/>
        <v>15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>
        <v>17</v>
      </c>
      <c r="B40" s="60">
        <v>146</v>
      </c>
      <c r="C40" s="60">
        <v>5</v>
      </c>
      <c r="D40" s="60">
        <v>0</v>
      </c>
      <c r="E40" s="51"/>
      <c r="F40" s="51"/>
      <c r="G40" s="51"/>
      <c r="H40" s="51"/>
      <c r="I40" s="49">
        <f t="shared" si="1"/>
        <v>19.333333333333332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>
        <v>18</v>
      </c>
      <c r="B41" s="60">
        <v>166</v>
      </c>
      <c r="C41" s="60">
        <v>6</v>
      </c>
      <c r="D41" s="60">
        <v>40</v>
      </c>
      <c r="E41" s="51">
        <v>0.4</v>
      </c>
      <c r="F41" s="51">
        <v>0.34</v>
      </c>
      <c r="G41" s="51">
        <v>0.26</v>
      </c>
      <c r="H41" s="51"/>
      <c r="I41" s="53">
        <f t="shared" si="1"/>
        <v>20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>
        <v>19</v>
      </c>
      <c r="B42" s="60">
        <v>142</v>
      </c>
      <c r="C42" s="60">
        <v>7</v>
      </c>
      <c r="D42" s="60">
        <v>0</v>
      </c>
      <c r="E42" s="51"/>
      <c r="F42" s="51"/>
      <c r="G42" s="51"/>
      <c r="H42" s="51"/>
      <c r="I42" s="53">
        <f t="shared" si="1"/>
        <v>16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>
        <v>22</v>
      </c>
      <c r="B43" s="60">
        <v>197</v>
      </c>
      <c r="C43" s="60">
        <v>8</v>
      </c>
      <c r="D43" s="60">
        <v>0</v>
      </c>
      <c r="E43" s="51"/>
      <c r="F43" s="51"/>
      <c r="G43" s="51"/>
      <c r="H43" s="51"/>
      <c r="I43" s="49">
        <f t="shared" si="1"/>
        <v>18.333333333333332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>
        <v>23</v>
      </c>
      <c r="B44" s="60">
        <v>215</v>
      </c>
      <c r="C44" s="60">
        <v>9</v>
      </c>
      <c r="D44" s="60">
        <v>52</v>
      </c>
      <c r="E44" s="51">
        <v>0.6</v>
      </c>
      <c r="F44" s="51">
        <v>0.22</v>
      </c>
      <c r="G44" s="51">
        <v>0.18</v>
      </c>
      <c r="H44" s="51"/>
      <c r="I44" s="49">
        <f t="shared" si="1"/>
        <v>18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>
        <v>24</v>
      </c>
      <c r="B45" s="60">
        <v>177</v>
      </c>
      <c r="C45" s="60">
        <v>10</v>
      </c>
      <c r="D45" s="60">
        <v>0</v>
      </c>
      <c r="E45" s="51"/>
      <c r="F45" s="51"/>
      <c r="G45" s="51"/>
      <c r="H45" s="51"/>
      <c r="I45" s="49">
        <f t="shared" si="1"/>
        <v>14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>
        <v>27</v>
      </c>
      <c r="B46" s="60">
        <v>224</v>
      </c>
      <c r="C46" s="60">
        <v>11</v>
      </c>
      <c r="D46" s="60">
        <v>0</v>
      </c>
      <c r="E46" s="51"/>
      <c r="F46" s="51"/>
      <c r="G46" s="51"/>
      <c r="H46" s="51"/>
      <c r="I46" s="49">
        <f t="shared" si="1"/>
        <v>15.666666666666666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>
        <v>30</v>
      </c>
      <c r="B47" s="60">
        <v>269</v>
      </c>
      <c r="C47" s="60">
        <v>12</v>
      </c>
      <c r="D47" s="60">
        <v>0</v>
      </c>
      <c r="E47" s="51"/>
      <c r="F47" s="51"/>
      <c r="G47" s="51"/>
      <c r="H47" s="51"/>
      <c r="I47" s="49">
        <f t="shared" si="1"/>
        <v>15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>
        <v>33</v>
      </c>
      <c r="B48" s="60">
        <v>312</v>
      </c>
      <c r="C48" s="60">
        <v>13</v>
      </c>
      <c r="D48" s="60">
        <v>0</v>
      </c>
      <c r="E48" s="51"/>
      <c r="F48" s="51"/>
      <c r="G48" s="51"/>
      <c r="H48" s="51"/>
      <c r="I48" s="49">
        <f t="shared" si="1"/>
        <v>14.333333333333334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>
        <v>34</v>
      </c>
      <c r="B49" s="60">
        <v>325</v>
      </c>
      <c r="C49" s="60">
        <v>14</v>
      </c>
      <c r="D49" s="60">
        <v>325</v>
      </c>
      <c r="E49" s="51">
        <v>0.8</v>
      </c>
      <c r="F49" s="51">
        <v>0.11</v>
      </c>
      <c r="G49" s="51">
        <v>0.09</v>
      </c>
      <c r="H49" s="51"/>
      <c r="I49" s="49">
        <f t="shared" si="1"/>
        <v>13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/>
      </c>
      <c r="D58" s="228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2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3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/>
      <c r="B62" s="60"/>
      <c r="C62" s="60"/>
      <c r="D62" s="60"/>
      <c r="E62" s="51"/>
      <c r="F62" s="51"/>
      <c r="G62" s="51"/>
      <c r="H62" s="51"/>
      <c r="I62" s="53" t="str">
        <f>IFERROR(B62/A62,"")</f>
        <v/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/>
      <c r="B63" s="60"/>
      <c r="C63" s="60"/>
      <c r="D63" s="60"/>
      <c r="E63" s="51"/>
      <c r="F63" s="51"/>
      <c r="G63" s="51"/>
      <c r="H63" s="51"/>
      <c r="I63" s="49" t="str">
        <f>IF(A63&lt;&gt;0,(B63-(B62-D62))/(A63-A62),"")</f>
        <v/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/>
      <c r="B64" s="60"/>
      <c r="C64" s="60"/>
      <c r="D64" s="60"/>
      <c r="E64" s="51"/>
      <c r="F64" s="51"/>
      <c r="G64" s="51"/>
      <c r="H64" s="51"/>
      <c r="I64" s="49" t="str">
        <f>IF(A64&lt;&gt;0,(B64-(B63-D63))/(A64-A63),"")</f>
        <v/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/>
      <c r="B65" s="60"/>
      <c r="C65" s="60"/>
      <c r="D65" s="60"/>
      <c r="E65" s="51"/>
      <c r="F65" s="51"/>
      <c r="G65" s="51"/>
      <c r="H65" s="51"/>
      <c r="I65" s="49" t="str">
        <f>IF(A65&lt;&gt;0,(B65-(B64-D64))/(A65-A64),"")</f>
        <v/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/>
      <c r="B66" s="60"/>
      <c r="C66" s="60"/>
      <c r="D66" s="60"/>
      <c r="E66" s="51"/>
      <c r="F66" s="51"/>
      <c r="G66" s="51"/>
      <c r="H66" s="51"/>
      <c r="I66" s="49" t="str">
        <f t="shared" ref="I66:I81" si="2">IF(A66&lt;&gt;0,(B66-(B65-D65))/(A66-A65),"")</f>
        <v/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/>
      <c r="B67" s="60"/>
      <c r="C67" s="60"/>
      <c r="D67" s="60"/>
      <c r="E67" s="51"/>
      <c r="F67" s="51"/>
      <c r="G67" s="51"/>
      <c r="H67" s="51"/>
      <c r="I67" s="49" t="str">
        <f t="shared" si="2"/>
        <v/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/>
      <c r="B68" s="60"/>
      <c r="C68" s="60"/>
      <c r="D68" s="60"/>
      <c r="E68" s="51"/>
      <c r="F68" s="51"/>
      <c r="G68" s="51"/>
      <c r="H68" s="51"/>
      <c r="I68" s="49" t="str">
        <f t="shared" si="2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/>
      </c>
      <c r="D84" s="228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/>
      </c>
      <c r="D110" s="228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/>
      </c>
      <c r="D136" s="228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/>
      </c>
      <c r="D162" s="228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/>
      </c>
      <c r="D188" s="228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/>
      </c>
      <c r="D214" s="228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/>
      </c>
      <c r="D240" s="228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/>
      </c>
      <c r="D266" s="228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B20" sqref="B20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42578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1" t="s">
        <v>191</v>
      </c>
      <c r="C2" s="272"/>
      <c r="D2" s="272"/>
      <c r="E2" s="272"/>
      <c r="F2" s="272"/>
      <c r="G2" s="27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0"/>
      <c r="C4" s="270"/>
      <c r="D4" s="270"/>
      <c r="E4" s="270"/>
      <c r="F4" s="270"/>
      <c r="G4" s="27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6"/>
      <c r="C6" s="216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295</v>
      </c>
      <c r="C7" s="100" t="s">
        <v>214</v>
      </c>
      <c r="D7" s="214"/>
      <c r="E7" s="101"/>
      <c r="F7" s="26" t="s">
        <v>295</v>
      </c>
      <c r="G7" s="100" t="s">
        <v>215</v>
      </c>
      <c r="H7" s="215"/>
      <c r="I7" s="215"/>
      <c r="J7" s="215"/>
      <c r="K7" s="215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1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5"/>
      <c r="B13" s="107"/>
      <c r="C13" s="98" t="s">
        <v>273</v>
      </c>
      <c r="D13" s="215"/>
      <c r="E13" s="99"/>
      <c r="F13" s="107"/>
      <c r="G13" s="98" t="s">
        <v>301</v>
      </c>
      <c r="H13" s="215"/>
      <c r="I13" s="215"/>
      <c r="J13" s="215"/>
      <c r="K13" s="215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5"/>
      <c r="B14" s="107"/>
      <c r="C14" s="98" t="s">
        <v>309</v>
      </c>
      <c r="D14" s="215"/>
      <c r="E14" s="99"/>
      <c r="F14" s="107"/>
      <c r="G14" s="98" t="s">
        <v>294</v>
      </c>
      <c r="H14" s="215"/>
      <c r="I14" s="215"/>
      <c r="J14" s="215"/>
      <c r="K14" s="215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42578125" style="4" customWidth="1"/>
    <col min="6" max="7" width="11.42578125" style="4"/>
    <col min="8" max="8" width="10.7109375" style="4" customWidth="1"/>
    <col min="9" max="9" width="9.42578125" style="4" customWidth="1"/>
    <col min="10" max="11" width="10.42578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42578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42578125" style="4" bestFit="1" customWidth="1"/>
    <col min="36" max="36" width="9.42578125" style="4" bestFit="1" customWidth="1"/>
    <col min="37" max="38" width="10.42578125" style="4" bestFit="1" customWidth="1"/>
    <col min="39" max="41" width="10.42578125" style="4" customWidth="1"/>
    <col min="42" max="42" width="9" style="4" bestFit="1" customWidth="1"/>
    <col min="43" max="43" width="10.42578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42578125" style="4" bestFit="1" customWidth="1"/>
    <col min="54" max="54" width="14.28515625" style="4" customWidth="1"/>
    <col min="55" max="55" width="14" style="4" customWidth="1"/>
    <col min="56" max="56" width="10.42578125" style="4" bestFit="1" customWidth="1"/>
    <col min="57" max="57" width="9.42578125" style="4" bestFit="1" customWidth="1"/>
    <col min="58" max="59" width="10.42578125" style="4" bestFit="1" customWidth="1"/>
    <col min="60" max="62" width="10.42578125" style="4" customWidth="1"/>
    <col min="63" max="63" width="9" style="4" bestFit="1" customWidth="1"/>
    <col min="64" max="64" width="10.42578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42578125" style="4" bestFit="1" customWidth="1"/>
    <col min="75" max="75" width="14" style="4" bestFit="1" customWidth="1"/>
    <col min="76" max="76" width="13.85546875" style="4" customWidth="1"/>
    <col min="77" max="77" width="10.42578125" style="4" bestFit="1" customWidth="1"/>
    <col min="78" max="78" width="9.42578125" style="4" bestFit="1" customWidth="1"/>
    <col min="79" max="80" width="10.42578125" style="4" bestFit="1" customWidth="1"/>
    <col min="81" max="83" width="10.42578125" style="4" customWidth="1"/>
    <col min="84" max="84" width="11.42578125" style="4"/>
    <col min="85" max="85" width="10.42578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42578125" style="4" bestFit="1" customWidth="1"/>
    <col min="99" max="99" width="9.42578125" style="4" bestFit="1" customWidth="1"/>
    <col min="100" max="101" width="10.42578125" style="4" bestFit="1" customWidth="1"/>
    <col min="102" max="104" width="10.42578125" style="4" customWidth="1"/>
    <col min="105" max="105" width="9" style="4" bestFit="1" customWidth="1"/>
    <col min="106" max="106" width="10.42578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42578125" style="4" bestFit="1" customWidth="1"/>
    <col min="117" max="117" width="14.28515625" style="4" customWidth="1"/>
    <col min="118" max="118" width="14" style="4" bestFit="1" customWidth="1"/>
    <col min="119" max="119" width="10.42578125" style="4" bestFit="1" customWidth="1"/>
    <col min="120" max="120" width="9.42578125" style="4" bestFit="1" customWidth="1"/>
    <col min="121" max="122" width="10.42578125" style="4" bestFit="1" customWidth="1"/>
    <col min="123" max="125" width="10.42578125" style="4" customWidth="1"/>
    <col min="126" max="126" width="9" style="4" bestFit="1" customWidth="1"/>
    <col min="127" max="127" width="10.42578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42578125" style="4" bestFit="1" customWidth="1"/>
    <col min="138" max="139" width="14" style="4" customWidth="1"/>
    <col min="140" max="140" width="10.42578125" style="4" bestFit="1" customWidth="1"/>
    <col min="141" max="141" width="9.42578125" style="4" bestFit="1" customWidth="1"/>
    <col min="142" max="143" width="10.42578125" style="4" bestFit="1" customWidth="1"/>
    <col min="144" max="146" width="10.42578125" style="4" customWidth="1"/>
    <col min="147" max="147" width="9" style="4" bestFit="1" customWidth="1"/>
    <col min="148" max="148" width="10.42578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42578125" style="4" bestFit="1" customWidth="1"/>
    <col min="162" max="162" width="9.42578125" style="4" bestFit="1" customWidth="1"/>
    <col min="163" max="164" width="10.42578125" style="4" bestFit="1" customWidth="1"/>
    <col min="165" max="167" width="10.42578125" style="4" customWidth="1"/>
    <col min="168" max="168" width="9" style="4" bestFit="1" customWidth="1"/>
    <col min="169" max="169" width="10.42578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42578125" style="4" bestFit="1" customWidth="1"/>
    <col min="180" max="181" width="14" style="4" bestFit="1" customWidth="1"/>
    <col min="182" max="182" width="10.42578125" style="4" bestFit="1" customWidth="1"/>
    <col min="183" max="183" width="9.42578125" style="4" bestFit="1" customWidth="1"/>
    <col min="184" max="185" width="10.42578125" style="4" bestFit="1" customWidth="1"/>
    <col min="186" max="188" width="10.42578125" style="4" customWidth="1"/>
    <col min="189" max="189" width="9" style="4" bestFit="1" customWidth="1"/>
    <col min="190" max="190" width="10.42578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42578125" style="4" bestFit="1" customWidth="1"/>
    <col min="201" max="201" width="14" style="4" customWidth="1"/>
    <col min="202" max="202" width="14.28515625" style="4" customWidth="1"/>
    <col min="203" max="203" width="10.42578125" style="4" bestFit="1" customWidth="1"/>
    <col min="204" max="204" width="9.42578125" style="4" bestFit="1" customWidth="1"/>
    <col min="205" max="206" width="10.42578125" style="4" bestFit="1" customWidth="1"/>
    <col min="207" max="209" width="10.42578125" style="4" customWidth="1"/>
    <col min="210" max="210" width="9" style="4" bestFit="1" customWidth="1"/>
    <col min="211" max="211" width="10.42578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77" t="s">
        <v>176</v>
      </c>
      <c r="C1" s="278"/>
      <c r="D1" s="278"/>
      <c r="E1" s="278"/>
      <c r="F1" s="278"/>
      <c r="G1" s="278"/>
      <c r="H1" s="279"/>
      <c r="I1" s="274" t="str">
        <f>IF('Données projet'!$B$9="","",'Données projet'!$B$9)</f>
        <v>Pin maritime</v>
      </c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  <c r="Y1" s="275"/>
      <c r="Z1" s="275"/>
      <c r="AA1" s="275"/>
      <c r="AB1" s="275"/>
      <c r="AC1" s="276"/>
      <c r="AD1" s="275" t="str">
        <f>IF('Données projet'!$B$10="","",'Données projet'!$B$10)</f>
        <v/>
      </c>
      <c r="AE1" s="275"/>
      <c r="AF1" s="275"/>
      <c r="AG1" s="275"/>
      <c r="AH1" s="275"/>
      <c r="AI1" s="275"/>
      <c r="AJ1" s="275"/>
      <c r="AK1" s="275"/>
      <c r="AL1" s="275"/>
      <c r="AM1" s="275"/>
      <c r="AN1" s="275"/>
      <c r="AO1" s="275"/>
      <c r="AP1" s="275"/>
      <c r="AQ1" s="275"/>
      <c r="AR1" s="275"/>
      <c r="AS1" s="275"/>
      <c r="AT1" s="275"/>
      <c r="AU1" s="275"/>
      <c r="AV1" s="275"/>
      <c r="AW1" s="275"/>
      <c r="AX1" s="276"/>
      <c r="AY1" s="274" t="str">
        <f>IF('Données projet'!$B$11="","",'Données projet'!$B$11)</f>
        <v/>
      </c>
      <c r="AZ1" s="275"/>
      <c r="BA1" s="275"/>
      <c r="BB1" s="275"/>
      <c r="BC1" s="275"/>
      <c r="BD1" s="275"/>
      <c r="BE1" s="275"/>
      <c r="BF1" s="275"/>
      <c r="BG1" s="275"/>
      <c r="BH1" s="275"/>
      <c r="BI1" s="275"/>
      <c r="BJ1" s="275"/>
      <c r="BK1" s="275"/>
      <c r="BL1" s="275"/>
      <c r="BM1" s="275"/>
      <c r="BN1" s="275"/>
      <c r="BO1" s="275"/>
      <c r="BP1" s="275"/>
      <c r="BQ1" s="275"/>
      <c r="BR1" s="275"/>
      <c r="BS1" s="276"/>
      <c r="BT1" s="274" t="str">
        <f>IF('Données projet'!$B$12="","",'Données projet'!$B$12)</f>
        <v/>
      </c>
      <c r="BU1" s="275"/>
      <c r="BV1" s="275"/>
      <c r="BW1" s="275"/>
      <c r="BX1" s="275"/>
      <c r="BY1" s="275"/>
      <c r="BZ1" s="275"/>
      <c r="CA1" s="275"/>
      <c r="CB1" s="275"/>
      <c r="CC1" s="275"/>
      <c r="CD1" s="275"/>
      <c r="CE1" s="275"/>
      <c r="CF1" s="275"/>
      <c r="CG1" s="275"/>
      <c r="CH1" s="275"/>
      <c r="CI1" s="275"/>
      <c r="CJ1" s="275"/>
      <c r="CK1" s="275"/>
      <c r="CL1" s="275"/>
      <c r="CM1" s="275"/>
      <c r="CN1" s="276"/>
      <c r="CO1" s="274" t="str">
        <f>IF('Données projet'!$B$13="","",'Données projet'!$B$13)</f>
        <v/>
      </c>
      <c r="CP1" s="275"/>
      <c r="CQ1" s="275"/>
      <c r="CR1" s="275"/>
      <c r="CS1" s="275"/>
      <c r="CT1" s="275"/>
      <c r="CU1" s="275"/>
      <c r="CV1" s="275"/>
      <c r="CW1" s="275"/>
      <c r="CX1" s="275"/>
      <c r="CY1" s="275"/>
      <c r="CZ1" s="275"/>
      <c r="DA1" s="275"/>
      <c r="DB1" s="275"/>
      <c r="DC1" s="275"/>
      <c r="DD1" s="275"/>
      <c r="DE1" s="275"/>
      <c r="DF1" s="275"/>
      <c r="DG1" s="275"/>
      <c r="DH1" s="275"/>
      <c r="DI1" s="276"/>
      <c r="DJ1" s="274" t="str">
        <f>IF('Données projet'!$B$14="","",'Données projet'!$B$14)</f>
        <v/>
      </c>
      <c r="DK1" s="275"/>
      <c r="DL1" s="275"/>
      <c r="DM1" s="275"/>
      <c r="DN1" s="275"/>
      <c r="DO1" s="275"/>
      <c r="DP1" s="275"/>
      <c r="DQ1" s="275"/>
      <c r="DR1" s="275"/>
      <c r="DS1" s="275"/>
      <c r="DT1" s="275"/>
      <c r="DU1" s="275"/>
      <c r="DV1" s="275"/>
      <c r="DW1" s="275"/>
      <c r="DX1" s="275"/>
      <c r="DY1" s="275"/>
      <c r="DZ1" s="275"/>
      <c r="EA1" s="275"/>
      <c r="EB1" s="275"/>
      <c r="EC1" s="275"/>
      <c r="ED1" s="276"/>
      <c r="EE1" s="274" t="str">
        <f>IF('Données projet'!$B$15="","",'Données projet'!$B$15)</f>
        <v/>
      </c>
      <c r="EF1" s="275"/>
      <c r="EG1" s="275"/>
      <c r="EH1" s="275"/>
      <c r="EI1" s="275"/>
      <c r="EJ1" s="275"/>
      <c r="EK1" s="275"/>
      <c r="EL1" s="275"/>
      <c r="EM1" s="275"/>
      <c r="EN1" s="275"/>
      <c r="EO1" s="275"/>
      <c r="EP1" s="275"/>
      <c r="EQ1" s="275"/>
      <c r="ER1" s="275"/>
      <c r="ES1" s="275"/>
      <c r="ET1" s="275"/>
      <c r="EU1" s="275"/>
      <c r="EV1" s="275"/>
      <c r="EW1" s="275"/>
      <c r="EX1" s="275"/>
      <c r="EY1" s="276"/>
      <c r="EZ1" s="274" t="str">
        <f>IF('Données projet'!$B$16="","",'Données projet'!$B$16)</f>
        <v/>
      </c>
      <c r="FA1" s="275"/>
      <c r="FB1" s="275"/>
      <c r="FC1" s="275"/>
      <c r="FD1" s="275"/>
      <c r="FE1" s="275"/>
      <c r="FF1" s="275"/>
      <c r="FG1" s="275"/>
      <c r="FH1" s="275"/>
      <c r="FI1" s="275"/>
      <c r="FJ1" s="275"/>
      <c r="FK1" s="275"/>
      <c r="FL1" s="275"/>
      <c r="FM1" s="275"/>
      <c r="FN1" s="275"/>
      <c r="FO1" s="275"/>
      <c r="FP1" s="275"/>
      <c r="FQ1" s="275"/>
      <c r="FR1" s="275"/>
      <c r="FS1" s="275"/>
      <c r="FT1" s="276"/>
      <c r="FU1" s="274" t="str">
        <f>IF('Données projet'!$B$17="","",'Données projet'!$B$17)</f>
        <v/>
      </c>
      <c r="FV1" s="275"/>
      <c r="FW1" s="275"/>
      <c r="FX1" s="275"/>
      <c r="FY1" s="275"/>
      <c r="FZ1" s="275"/>
      <c r="GA1" s="275"/>
      <c r="GB1" s="275"/>
      <c r="GC1" s="275"/>
      <c r="GD1" s="275"/>
      <c r="GE1" s="275"/>
      <c r="GF1" s="275"/>
      <c r="GG1" s="275"/>
      <c r="GH1" s="275"/>
      <c r="GI1" s="275"/>
      <c r="GJ1" s="275"/>
      <c r="GK1" s="275"/>
      <c r="GL1" s="275"/>
      <c r="GM1" s="275"/>
      <c r="GN1" s="275"/>
      <c r="GO1" s="276"/>
      <c r="GP1" s="274" t="str">
        <f>IF('Données projet'!$B$18="","",'Données projet'!$B$18)</f>
        <v/>
      </c>
      <c r="GQ1" s="275"/>
      <c r="GR1" s="275"/>
      <c r="GS1" s="275"/>
      <c r="GT1" s="275"/>
      <c r="GU1" s="275"/>
      <c r="GV1" s="275"/>
      <c r="GW1" s="275"/>
      <c r="GX1" s="275"/>
      <c r="GY1" s="275"/>
      <c r="GZ1" s="275"/>
      <c r="HA1" s="275"/>
      <c r="HB1" s="275"/>
      <c r="HC1" s="275"/>
      <c r="HD1" s="275"/>
      <c r="HE1" s="275"/>
      <c r="HF1" s="275"/>
      <c r="HG1" s="275"/>
      <c r="HH1" s="275"/>
      <c r="HI1" s="275"/>
      <c r="HJ1" s="276"/>
    </row>
    <row r="2" spans="1:218" ht="75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161.92866721009744</v>
      </c>
      <c r="T3" s="59">
        <f>IF('Données projet'!E9&gt;30,$R$33-$H$33,LOOKUP('Données projet'!$E$9,$A$3:$A$203,R3:R203)-LOOKUP('Données projet'!$E$9,$A$3:$A$203,$H$3:$H$203))</f>
        <v>327.23695023676987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 t="e">
        <f>AI3*VLOOKUP('Données projet'!$B$10,Paramètres!$A$1:$I$89,3,0)*VLOOKUP('Données projet'!$B$10,Paramètres!$A$1:$I$89,5,0)</f>
        <v>#N/A</v>
      </c>
      <c r="AK3" s="12">
        <v>0</v>
      </c>
      <c r="AL3" s="14" t="e">
        <f>(AJ3+AK3)*0.475*44/12</f>
        <v>#N/A</v>
      </c>
      <c r="AM3" s="59" t="e">
        <f>AL3+(AD3+AE3)*44/12</f>
        <v>#N/A</v>
      </c>
      <c r="AN3" s="59" t="e">
        <f ca="1">AVERAGE(OFFSET($AM$3,0,0,'Données projet'!$E$10+1,1))-AVERAGE(OFFSET($H$3,0,0,'Données projet'!$E$10+1,1))</f>
        <v>#N/A</v>
      </c>
      <c r="AO3" s="59" t="e">
        <f>IF('Données projet'!E10&gt;30,$AM$33-$H$33,LOOKUP('Données projet'!$E$10,$A$3:$A$203,AM3:AM203)-LOOKUP('Données projet'!$E$10,$A$3:$A$203,$H$3:$H$203))</f>
        <v>#N/A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1">
        <f>IFERROR(EXP(-1.0587+0.8836*LN(C4)+0.284),0)</f>
        <v>0.41542055579923082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67">
        <f t="shared" ref="H4:H67" si="1">(B4+E4+F4)*44/12+(C4+D4)*0.475*44/12</f>
        <v>258.93888080135036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5.6363636363636367</v>
      </c>
      <c r="N4" s="13">
        <f>IF('Données projet'!$A$36&gt;35,N3+M4-V3,IF(A4&lt;'Données projet'!$A$36,$K$205^A4,IF(A4='Données projet'!$A$36,'Données projet'!$B$36,N3+M4-V3)))</f>
        <v>1.4552737612749826</v>
      </c>
      <c r="O4" s="13">
        <f>N4*VLOOKUP('Données projet'!$B$9,Paramètres!$A$1:$I$89,3,0)*VLOOKUP('Données projet'!$B$9,Paramètres!$A$1:$I$89,5,0)</f>
        <v>0.87025370924243972</v>
      </c>
      <c r="P4" s="13">
        <f>EXP(-1.0587+0.8836*LN(O4)+0.284)</f>
        <v>0.40758966854918327</v>
      </c>
      <c r="Q4" s="20">
        <f t="shared" ref="Q4:Q34" si="2">(O4+P4)*0.475*44/12</f>
        <v>2.2255772163204095</v>
      </c>
      <c r="R4" s="59">
        <f t="shared" si="0"/>
        <v>260.11446610520926</v>
      </c>
      <c r="S4" s="59">
        <f ca="1">AVERAGE(OFFSET($R$3,0,0,'Données projet'!$E$9+1,1))-AVERAGE(OFFSET($H$3,0,0,'Données projet'!$E$9+1,1))</f>
        <v>161.92866721009744</v>
      </c>
      <c r="T4" s="59">
        <f>$T$3</f>
        <v>327.23695023676987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0</v>
      </c>
      <c r="AI4" s="13">
        <f>IF('Données projet'!$A$62&gt;35,AI3+AH4-AQ3,IF(A4&lt;'Données projet'!$A$62,$AF$205^A4,IF(A4='Données projet'!$A$62,'Données projet'!$B$62,AI3+AH4-AQ3)))</f>
        <v>0</v>
      </c>
      <c r="AJ4" s="13" t="e">
        <f>AI4*VLOOKUP('Données projet'!$B$10,Paramètres!$A$1:$I$89,3,0)*VLOOKUP('Données projet'!$B$10,Paramètres!$A$1:$I$89,5,0)</f>
        <v>#N/A</v>
      </c>
      <c r="AK4" s="13" t="e">
        <f>EXP(-1.0587+0.8836*LN(AJ4)+0.284)</f>
        <v>#N/A</v>
      </c>
      <c r="AL4" s="20" t="e">
        <f t="shared" ref="AL4:AL67" si="4">(AJ4+AK4)*0.475*44/12</f>
        <v>#N/A</v>
      </c>
      <c r="AM4" s="59" t="e">
        <f t="shared" ref="AM4:AM67" si="5">AL4+(AD4+AE4)*44/12</f>
        <v>#N/A</v>
      </c>
      <c r="AN4" s="59" t="e">
        <f ca="1">AVERAGE(OFFSET($AM$3,0,0,'Données projet'!$E$10+1,1))-AVERAGE(OFFSET($H$3,0,0,'Données projet'!$E$10+1,1))</f>
        <v>#N/A</v>
      </c>
      <c r="AO4" s="59" t="e">
        <f>$AO$3</f>
        <v>#N/A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 t="e">
        <f>EXP(-LN(2)/35)*AU3+(1-EXP(-LN(2)/35))/(LN(2)/35)*AQ4*AR4*VLOOKUP('Données projet'!$B$10,Paramètres!$A$1:$I$89,3,0)*0.475*44/12</f>
        <v>#N/A</v>
      </c>
      <c r="AV4" s="21" t="e">
        <f>EXP(-LN(2)/25)*AV3+(1-EXP(-LN(2)/25))/(LN(2)/25)*Calculateur!AQ4*Calculateur!AS4*VLOOKUP('Données projet'!$B$10,Paramètres!$A$1:$I$89,3,0)*0.475*44/12</f>
        <v>#N/A</v>
      </c>
      <c r="AW4" s="21" t="e">
        <f>EXP(-LN(2)/2)*AW3+(1-EXP(-LN(2)/2))/(LN(2)/2)*AQ4*AT4*VLOOKUP('Données projet'!$B$10,Paramètres!$A$1:$I$89,3,0)*0.475*44/12</f>
        <v>#N/A</v>
      </c>
      <c r="AX4" s="21" t="e">
        <f t="shared" ref="AX4:AX67" si="6">SUM(AU4:AW4)</f>
        <v>#N/A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1">
        <f t="shared" ref="D5:D68" si="32">IFERROR(EXP(-1.0587+0.8836*LN(C5)+0.284),0)</f>
        <v>0.76643986660078545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67">
        <f t="shared" si="1"/>
        <v>261.0989294343297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5.6363636363636367</v>
      </c>
      <c r="N5" s="13">
        <f>IF('Données projet'!$A$36&gt;35,N4+M5-V4,IF(A5&lt;'Données projet'!$A$36,$K$205^A5,IF(A5='Données projet'!$A$36,'Données projet'!$B$36,N4+M5-V4)))</f>
        <v>2.117821720255435</v>
      </c>
      <c r="O5" s="13">
        <f>N5*VLOOKUP('Données projet'!$B$9,Paramètres!$A$1:$I$89,3,0)*VLOOKUP('Données projet'!$B$9,Paramètres!$A$1:$I$89,5,0)</f>
        <v>1.2664573887127504</v>
      </c>
      <c r="P5" s="13">
        <f t="shared" ref="P5:P68" si="33">EXP(-1.0587+0.8836*LN(O5)+0.284)</f>
        <v>0.56780747189099934</v>
      </c>
      <c r="Q5" s="20">
        <f t="shared" si="2"/>
        <v>3.1946779655515307</v>
      </c>
      <c r="R5" s="59">
        <f t="shared" si="0"/>
        <v>262.30578907666268</v>
      </c>
      <c r="S5" s="59">
        <f ca="1">AVERAGE(OFFSET($R$3,0,0,'Données projet'!$E$9+1,1))-AVERAGE(OFFSET($H$3,0,0,'Données projet'!$E$9+1,1))</f>
        <v>161.92866721009744</v>
      </c>
      <c r="T5" s="59">
        <f t="shared" ref="T5:T68" si="34">$T$3</f>
        <v>327.23695023676987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0</v>
      </c>
      <c r="AI5" s="13">
        <f>IF('Données projet'!$A$62&gt;35,AI4+AH5-AQ4,IF(A5&lt;'Données projet'!$A$62,$AF$205^A5,IF(A5='Données projet'!$A$62,'Données projet'!$B$62,AI4+AH5-AQ4)))</f>
        <v>0</v>
      </c>
      <c r="AJ5" s="13" t="e">
        <f>AI5*VLOOKUP('Données projet'!$B$10,Paramètres!$A$1:$I$89,3,0)*VLOOKUP('Données projet'!$B$10,Paramètres!$A$1:$I$89,5,0)</f>
        <v>#N/A</v>
      </c>
      <c r="AK5" s="13" t="e">
        <f t="shared" ref="AK5:AK68" si="35">EXP(-1.0587+0.8836*LN(AJ5)+0.284)</f>
        <v>#N/A</v>
      </c>
      <c r="AL5" s="20" t="e">
        <f t="shared" si="4"/>
        <v>#N/A</v>
      </c>
      <c r="AM5" s="59" t="e">
        <f t="shared" si="5"/>
        <v>#N/A</v>
      </c>
      <c r="AN5" s="59" t="e">
        <f ca="1">AVERAGE(OFFSET($AM$3,0,0,'Données projet'!$E$10+1,1))-AVERAGE(OFFSET($H$3,0,0,'Données projet'!$E$10+1,1))</f>
        <v>#N/A</v>
      </c>
      <c r="AO5" s="59" t="e">
        <f t="shared" ref="AO5:AO68" si="36">$AO$3</f>
        <v>#N/A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 t="e">
        <f>EXP(-LN(2)/35)*AU4+(1-EXP(-LN(2)/35))/(LN(2)/35)*AQ5*AR5*VLOOKUP('Données projet'!$B$10,Paramètres!$A$1:$I$89,3,0)*0.475*44/12</f>
        <v>#N/A</v>
      </c>
      <c r="AV5" s="21" t="e">
        <f>EXP(-LN(2)/25)*AV4+(1-EXP(-LN(2)/25))/(LN(2)/25)*Calculateur!AQ5*Calculateur!AS5*VLOOKUP('Données projet'!$B$10,Paramètres!$A$1:$I$89,3,0)*0.475*44/12</f>
        <v>#N/A</v>
      </c>
      <c r="AW5" s="21" t="e">
        <f>EXP(-LN(2)/2)*AW4+(1-EXP(-LN(2)/2))/(LN(2)/2)*AQ5*AT5*VLOOKUP('Données projet'!$B$10,Paramètres!$A$1:$I$89,3,0)*0.475*44/12</f>
        <v>#N/A</v>
      </c>
      <c r="AX5" s="21" t="e">
        <f t="shared" si="6"/>
        <v>#N/A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1">
        <f t="shared" si="32"/>
        <v>1.0966608080083624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67">
        <f t="shared" si="1"/>
        <v>263.22275424061456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5.6363636363636367</v>
      </c>
      <c r="N6" s="13">
        <f>IF('Données projet'!$A$36&gt;35,N5+M6-V5,IF(A6&lt;'Données projet'!$A$36,$K$205^A6,IF(A6='Données projet'!$A$36,'Données projet'!$B$36,N5+M6-V5)))</f>
        <v>3.0820103805459809</v>
      </c>
      <c r="O6" s="13">
        <f>N6*VLOOKUP('Données projet'!$B$9,Paramètres!$A$1:$I$89,3,0)*VLOOKUP('Données projet'!$B$9,Paramètres!$A$1:$I$89,5,0)</f>
        <v>1.8430422075664967</v>
      </c>
      <c r="P6" s="13">
        <f t="shared" si="33"/>
        <v>0.79100465495813643</v>
      </c>
      <c r="Q6" s="20">
        <f t="shared" si="2"/>
        <v>4.5876316188970696</v>
      </c>
      <c r="R6" s="59">
        <f t="shared" si="0"/>
        <v>264.92096495223041</v>
      </c>
      <c r="S6" s="59">
        <f ca="1">AVERAGE(OFFSET($R$3,0,0,'Données projet'!$E$9+1,1))-AVERAGE(OFFSET($H$3,0,0,'Données projet'!$E$9+1,1))</f>
        <v>161.92866721009744</v>
      </c>
      <c r="T6" s="59">
        <f t="shared" si="34"/>
        <v>327.23695023676987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0</v>
      </c>
      <c r="AI6" s="13">
        <f>IF('Données projet'!$A$62&gt;35,AI5+AH6-AQ5,IF(A6&lt;'Données projet'!$A$62,$AF$205^A6,IF(A6='Données projet'!$A$62,'Données projet'!$B$62,AI5+AH6-AQ5)))</f>
        <v>0</v>
      </c>
      <c r="AJ6" s="13" t="e">
        <f>AI6*VLOOKUP('Données projet'!$B$10,Paramètres!$A$1:$I$89,3,0)*VLOOKUP('Données projet'!$B$10,Paramètres!$A$1:$I$89,5,0)</f>
        <v>#N/A</v>
      </c>
      <c r="AK6" s="13" t="e">
        <f t="shared" si="35"/>
        <v>#N/A</v>
      </c>
      <c r="AL6" s="20" t="e">
        <f t="shared" si="4"/>
        <v>#N/A</v>
      </c>
      <c r="AM6" s="59" t="e">
        <f t="shared" si="5"/>
        <v>#N/A</v>
      </c>
      <c r="AN6" s="59" t="e">
        <f ca="1">AVERAGE(OFFSET($AM$3,0,0,'Données projet'!$E$10+1,1))-AVERAGE(OFFSET($H$3,0,0,'Données projet'!$E$10+1,1))</f>
        <v>#N/A</v>
      </c>
      <c r="AO6" s="59" t="e">
        <f t="shared" si="36"/>
        <v>#N/A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 t="e">
        <f>EXP(-LN(2)/35)*AU5+(1-EXP(-LN(2)/35))/(LN(2)/35)*AQ6*AR6*VLOOKUP('Données projet'!$B$10,Paramètres!$A$1:$I$89,3,0)*0.475*44/12</f>
        <v>#N/A</v>
      </c>
      <c r="AV6" s="21" t="e">
        <f>EXP(-LN(2)/25)*AV5+(1-EXP(-LN(2)/25))/(LN(2)/25)*Calculateur!AQ6*Calculateur!AS6*VLOOKUP('Données projet'!$B$10,Paramètres!$A$1:$I$89,3,0)*0.475*44/12</f>
        <v>#N/A</v>
      </c>
      <c r="AW6" s="21" t="e">
        <f>EXP(-LN(2)/2)*AW5+(1-EXP(-LN(2)/2))/(LN(2)/2)*AQ6*AT6*VLOOKUP('Données projet'!$B$10,Paramètres!$A$1:$I$89,3,0)*0.475*44/12</f>
        <v>#N/A</v>
      </c>
      <c r="AX6" s="21" t="e">
        <f t="shared" si="6"/>
        <v>#N/A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1">
        <f t="shared" si="32"/>
        <v>1.4140611505968179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67">
        <f t="shared" si="1"/>
        <v>265.32424983728947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5.6363636363636367</v>
      </c>
      <c r="N7" s="13">
        <f>IF('Données projet'!$A$36&gt;35,N6+M7-V6,IF(A7&lt;'Données projet'!$A$36,$K$205^A7,IF(A7='Données projet'!$A$36,'Données projet'!$B$36,N6+M7-V6)))</f>
        <v>4.4851688387856905</v>
      </c>
      <c r="O7" s="13">
        <f>N7*VLOOKUP('Données projet'!$B$9,Paramètres!$A$1:$I$89,3,0)*VLOOKUP('Données projet'!$B$9,Paramètres!$A$1:$I$89,5,0)</f>
        <v>2.682130965593843</v>
      </c>
      <c r="P7" s="13">
        <f t="shared" si="33"/>
        <v>1.1019375318920646</v>
      </c>
      <c r="Q7" s="20">
        <f t="shared" si="2"/>
        <v>6.590585966454622</v>
      </c>
      <c r="R7" s="59">
        <f t="shared" si="0"/>
        <v>268.14614152201017</v>
      </c>
      <c r="S7" s="59">
        <f ca="1">AVERAGE(OFFSET($R$3,0,0,'Données projet'!$E$9+1,1))-AVERAGE(OFFSET($H$3,0,0,'Données projet'!$E$9+1,1))</f>
        <v>161.92866721009744</v>
      </c>
      <c r="T7" s="59">
        <f t="shared" si="34"/>
        <v>327.23695023676987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0</v>
      </c>
      <c r="AI7" s="13">
        <f>IF('Données projet'!$A$62&gt;35,AI6+AH7-AQ6,IF(A7&lt;'Données projet'!$A$62,$AF$205^A7,IF(A7='Données projet'!$A$62,'Données projet'!$B$62,AI6+AH7-AQ6)))</f>
        <v>0</v>
      </c>
      <c r="AJ7" s="13" t="e">
        <f>AI7*VLOOKUP('Données projet'!$B$10,Paramètres!$A$1:$I$89,3,0)*VLOOKUP('Données projet'!$B$10,Paramètres!$A$1:$I$89,5,0)</f>
        <v>#N/A</v>
      </c>
      <c r="AK7" s="13" t="e">
        <f t="shared" si="35"/>
        <v>#N/A</v>
      </c>
      <c r="AL7" s="20" t="e">
        <f t="shared" si="4"/>
        <v>#N/A</v>
      </c>
      <c r="AM7" s="59" t="e">
        <f t="shared" si="5"/>
        <v>#N/A</v>
      </c>
      <c r="AN7" s="59" t="e">
        <f ca="1">AVERAGE(OFFSET($AM$3,0,0,'Données projet'!$E$10+1,1))-AVERAGE(OFFSET($H$3,0,0,'Données projet'!$E$10+1,1))</f>
        <v>#N/A</v>
      </c>
      <c r="AO7" s="59" t="e">
        <f t="shared" si="36"/>
        <v>#N/A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 t="e">
        <f>EXP(-LN(2)/35)*AU6+(1-EXP(-LN(2)/35))/(LN(2)/35)*AQ7*AR7*VLOOKUP('Données projet'!$B$10,Paramètres!$A$1:$I$89,3,0)*0.475*44/12</f>
        <v>#N/A</v>
      </c>
      <c r="AV7" s="21" t="e">
        <f>EXP(-LN(2)/25)*AV6+(1-EXP(-LN(2)/25))/(LN(2)/25)*Calculateur!AQ7*Calculateur!AS7*VLOOKUP('Données projet'!$B$10,Paramètres!$A$1:$I$89,3,0)*0.475*44/12</f>
        <v>#N/A</v>
      </c>
      <c r="AW7" s="21" t="e">
        <f>EXP(-LN(2)/2)*AW6+(1-EXP(-LN(2)/2))/(LN(2)/2)*AQ7*AT7*VLOOKUP('Données projet'!$B$10,Paramètres!$A$1:$I$89,3,0)*0.475*44/12</f>
        <v>#N/A</v>
      </c>
      <c r="AX7" s="21" t="e">
        <f t="shared" si="6"/>
        <v>#N/A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1">
        <f t="shared" si="32"/>
        <v>1.7222566815192897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67">
        <f t="shared" si="1"/>
        <v>267.40971372031277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5.6363636363636367</v>
      </c>
      <c r="N8" s="13">
        <f>IF('Données projet'!$A$36&gt;35,N7+M8-V7,IF(A8&lt;'Données projet'!$A$36,$K$205^A8,IF(A8='Données projet'!$A$36,'Données projet'!$B$36,N7+M8-V7)))</f>
        <v>6.527148525972998</v>
      </c>
      <c r="O8" s="13">
        <f>N8*VLOOKUP('Données projet'!$B$9,Paramètres!$A$1:$I$89,3,0)*VLOOKUP('Données projet'!$B$9,Paramètres!$A$1:$I$89,5,0)</f>
        <v>3.9032348185318533</v>
      </c>
      <c r="P8" s="13">
        <f t="shared" si="33"/>
        <v>1.5350937779963374</v>
      </c>
      <c r="Q8" s="20">
        <f t="shared" si="2"/>
        <v>9.4717556389532636</v>
      </c>
      <c r="R8" s="59">
        <f t="shared" si="0"/>
        <v>272.24953341673103</v>
      </c>
      <c r="S8" s="59">
        <f ca="1">AVERAGE(OFFSET($R$3,0,0,'Données projet'!$E$9+1,1))-AVERAGE(OFFSET($H$3,0,0,'Données projet'!$E$9+1,1))</f>
        <v>161.92866721009744</v>
      </c>
      <c r="T8" s="59">
        <f t="shared" si="34"/>
        <v>327.23695023676987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0</v>
      </c>
      <c r="AI8" s="13">
        <f>IF('Données projet'!$A$62&gt;35,AI7+AH8-AQ7,IF(A8&lt;'Données projet'!$A$62,$AF$205^A8,IF(A8='Données projet'!$A$62,'Données projet'!$B$62,AI7+AH8-AQ7)))</f>
        <v>0</v>
      </c>
      <c r="AJ8" s="13" t="e">
        <f>AI8*VLOOKUP('Données projet'!$B$10,Paramètres!$A$1:$I$89,3,0)*VLOOKUP('Données projet'!$B$10,Paramètres!$A$1:$I$89,5,0)</f>
        <v>#N/A</v>
      </c>
      <c r="AK8" s="13" t="e">
        <f t="shared" si="35"/>
        <v>#N/A</v>
      </c>
      <c r="AL8" s="20" t="e">
        <f t="shared" si="4"/>
        <v>#N/A</v>
      </c>
      <c r="AM8" s="59" t="e">
        <f t="shared" si="5"/>
        <v>#N/A</v>
      </c>
      <c r="AN8" s="59" t="e">
        <f ca="1">AVERAGE(OFFSET($AM$3,0,0,'Données projet'!$E$10+1,1))-AVERAGE(OFFSET($H$3,0,0,'Données projet'!$E$10+1,1))</f>
        <v>#N/A</v>
      </c>
      <c r="AO8" s="59" t="e">
        <f t="shared" si="36"/>
        <v>#N/A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 t="e">
        <f>EXP(-LN(2)/35)*AU7+(1-EXP(-LN(2)/35))/(LN(2)/35)*AQ8*AR8*VLOOKUP('Données projet'!$B$10,Paramètres!$A$1:$I$89,3,0)*0.475*44/12</f>
        <v>#N/A</v>
      </c>
      <c r="AV8" s="21" t="e">
        <f>EXP(-LN(2)/25)*AV7+(1-EXP(-LN(2)/25))/(LN(2)/25)*Calculateur!AQ8*Calculateur!AS8*VLOOKUP('Données projet'!$B$10,Paramètres!$A$1:$I$89,3,0)*0.475*44/12</f>
        <v>#N/A</v>
      </c>
      <c r="AW8" s="21" t="e">
        <f>EXP(-LN(2)/2)*AW7+(1-EXP(-LN(2)/2))/(LN(2)/2)*AQ8*AT8*VLOOKUP('Données projet'!$B$10,Paramètres!$A$1:$I$89,3,0)*0.475*44/12</f>
        <v>#N/A</v>
      </c>
      <c r="AX8" s="21" t="e">
        <f t="shared" si="6"/>
        <v>#N/A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1">
        <f t="shared" si="32"/>
        <v>2.0233099967312578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67">
        <f t="shared" si="1"/>
        <v>269.48273824430697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5.6363636363636367</v>
      </c>
      <c r="N9" s="13">
        <f>IF('Données projet'!$A$36&gt;35,N8+M9-V8,IF(A9&lt;'Données projet'!$A$36,$K$205^A9,IF(A9='Données projet'!$A$36,'Données projet'!$B$36,N8+M9-V8)))</f>
        <v>9.4987879857931823</v>
      </c>
      <c r="O9" s="13">
        <f>N9*VLOOKUP('Données projet'!$B$9,Paramètres!$A$1:$I$89,3,0)*VLOOKUP('Données projet'!$B$9,Paramètres!$A$1:$I$89,5,0)</f>
        <v>5.6802752155043237</v>
      </c>
      <c r="P9" s="13">
        <f t="shared" si="33"/>
        <v>2.1385176918303652</v>
      </c>
      <c r="Q9" s="20">
        <f t="shared" si="2"/>
        <v>13.617730980274585</v>
      </c>
      <c r="R9" s="59">
        <f t="shared" si="0"/>
        <v>277.61773098027459</v>
      </c>
      <c r="S9" s="59">
        <f ca="1">AVERAGE(OFFSET($R$3,0,0,'Données projet'!$E$9+1,1))-AVERAGE(OFFSET($H$3,0,0,'Données projet'!$E$9+1,1))</f>
        <v>161.92866721009744</v>
      </c>
      <c r="T9" s="59">
        <f t="shared" si="34"/>
        <v>327.23695023676987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0</v>
      </c>
      <c r="AI9" s="13">
        <f>IF('Données projet'!$A$62&gt;35,AI8+AH9-AQ8,IF(A9&lt;'Données projet'!$A$62,$AF$205^A9,IF(A9='Données projet'!$A$62,'Données projet'!$B$62,AI8+AH9-AQ8)))</f>
        <v>0</v>
      </c>
      <c r="AJ9" s="13" t="e">
        <f>AI9*VLOOKUP('Données projet'!$B$10,Paramètres!$A$1:$I$89,3,0)*VLOOKUP('Données projet'!$B$10,Paramètres!$A$1:$I$89,5,0)</f>
        <v>#N/A</v>
      </c>
      <c r="AK9" s="13" t="e">
        <f t="shared" si="35"/>
        <v>#N/A</v>
      </c>
      <c r="AL9" s="20" t="e">
        <f t="shared" si="4"/>
        <v>#N/A</v>
      </c>
      <c r="AM9" s="59" t="e">
        <f t="shared" si="5"/>
        <v>#N/A</v>
      </c>
      <c r="AN9" s="59" t="e">
        <f ca="1">AVERAGE(OFFSET($AM$3,0,0,'Données projet'!$E$10+1,1))-AVERAGE(OFFSET($H$3,0,0,'Données projet'!$E$10+1,1))</f>
        <v>#N/A</v>
      </c>
      <c r="AO9" s="59" t="e">
        <f t="shared" si="36"/>
        <v>#N/A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 t="e">
        <f>EXP(-LN(2)/35)*AU8+(1-EXP(-LN(2)/35))/(LN(2)/35)*AQ9*AR9*VLOOKUP('Données projet'!$B$10,Paramètres!$A$1:$I$89,3,0)*0.475*44/12</f>
        <v>#N/A</v>
      </c>
      <c r="AV9" s="21" t="e">
        <f>EXP(-LN(2)/25)*AV8+(1-EXP(-LN(2)/25))/(LN(2)/25)*Calculateur!AQ9*Calculateur!AS9*VLOOKUP('Données projet'!$B$10,Paramètres!$A$1:$I$89,3,0)*0.475*44/12</f>
        <v>#N/A</v>
      </c>
      <c r="AW9" s="21" t="e">
        <f>EXP(-LN(2)/2)*AW8+(1-EXP(-LN(2)/2))/(LN(2)/2)*AQ9*AT9*VLOOKUP('Données projet'!$B$10,Paramètres!$A$1:$I$89,3,0)*0.475*44/12</f>
        <v>#N/A</v>
      </c>
      <c r="AX9" s="21" t="e">
        <f t="shared" si="6"/>
        <v>#N/A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1">
        <f t="shared" si="32"/>
        <v>2.3185507720937846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67">
        <f t="shared" si="1"/>
        <v>271.54563926139667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5.6363636363636367</v>
      </c>
      <c r="N10" s="13">
        <f>IF('Données projet'!$A$36&gt;35,N9+M10-V9,IF(A10&lt;'Données projet'!$A$36,$K$205^A10,IF(A10='Données projet'!$A$36,'Données projet'!$B$36,N9+M10-V9)))</f>
        <v>13.82333691963886</v>
      </c>
      <c r="O10" s="13">
        <f>N10*VLOOKUP('Données projet'!$B$9,Paramètres!$A$1:$I$89,3,0)*VLOOKUP('Données projet'!$B$9,Paramètres!$A$1:$I$89,5,0)</f>
        <v>8.2663554779440389</v>
      </c>
      <c r="P10" s="13">
        <f t="shared" si="33"/>
        <v>2.9791391143807933</v>
      </c>
      <c r="Q10" s="20">
        <f t="shared" si="2"/>
        <v>19.585903081632413</v>
      </c>
      <c r="R10" s="59">
        <f t="shared" si="0"/>
        <v>284.80812530385464</v>
      </c>
      <c r="S10" s="59">
        <f ca="1">AVERAGE(OFFSET($R$3,0,0,'Données projet'!$E$9+1,1))-AVERAGE(OFFSET($H$3,0,0,'Données projet'!$E$9+1,1))</f>
        <v>161.92866721009744</v>
      </c>
      <c r="T10" s="59">
        <f t="shared" si="34"/>
        <v>327.23695023676987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0</v>
      </c>
      <c r="AI10" s="13">
        <f>IF('Données projet'!$A$62&gt;35,AI9+AH10-AQ9,IF(A10&lt;'Données projet'!$A$62,$AF$205^A10,IF(A10='Données projet'!$A$62,'Données projet'!$B$62,AI9+AH10-AQ9)))</f>
        <v>0</v>
      </c>
      <c r="AJ10" s="13" t="e">
        <f>AI10*VLOOKUP('Données projet'!$B$10,Paramètres!$A$1:$I$89,3,0)*VLOOKUP('Données projet'!$B$10,Paramètres!$A$1:$I$89,5,0)</f>
        <v>#N/A</v>
      </c>
      <c r="AK10" s="13" t="e">
        <f t="shared" si="35"/>
        <v>#N/A</v>
      </c>
      <c r="AL10" s="20" t="e">
        <f t="shared" si="4"/>
        <v>#N/A</v>
      </c>
      <c r="AM10" s="59" t="e">
        <f t="shared" si="5"/>
        <v>#N/A</v>
      </c>
      <c r="AN10" s="59" t="e">
        <f ca="1">AVERAGE(OFFSET($AM$3,0,0,'Données projet'!$E$10+1,1))-AVERAGE(OFFSET($H$3,0,0,'Données projet'!$E$10+1,1))</f>
        <v>#N/A</v>
      </c>
      <c r="AO10" s="59" t="e">
        <f t="shared" si="36"/>
        <v>#N/A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 t="e">
        <f>EXP(-LN(2)/35)*AU9+(1-EXP(-LN(2)/35))/(LN(2)/35)*AQ10*AR10*VLOOKUP('Données projet'!$B$10,Paramètres!$A$1:$I$89,3,0)*0.475*44/12</f>
        <v>#N/A</v>
      </c>
      <c r="AV10" s="21" t="e">
        <f>EXP(-LN(2)/25)*AV9+(1-EXP(-LN(2)/25))/(LN(2)/25)*Calculateur!AQ10*Calculateur!AS10*VLOOKUP('Données projet'!$B$10,Paramètres!$A$1:$I$89,3,0)*0.475*44/12</f>
        <v>#N/A</v>
      </c>
      <c r="AW10" s="21" t="e">
        <f>EXP(-LN(2)/2)*AW9+(1-EXP(-LN(2)/2))/(LN(2)/2)*AQ10*AT10*VLOOKUP('Données projet'!$B$10,Paramètres!$A$1:$I$89,3,0)*0.475*44/12</f>
        <v>#N/A</v>
      </c>
      <c r="AX10" s="21" t="e">
        <f t="shared" si="6"/>
        <v>#N/A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1">
        <f t="shared" si="32"/>
        <v>2.6089051793396716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67">
        <f t="shared" si="1"/>
        <v>273.60002985401661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5.6363636363636367</v>
      </c>
      <c r="N11" s="13">
        <f>IF('Données projet'!$A$36&gt;35,N10+M11-V10,IF(A11&lt;'Données projet'!$A$36,$K$205^A11,IF(A11='Données projet'!$A$36,'Données projet'!$B$36,N10+M11-V10)))</f>
        <v>20.116739512414178</v>
      </c>
      <c r="O11" s="13">
        <f>N11*VLOOKUP('Données projet'!$B$9,Paramètres!$A$1:$I$89,3,0)*VLOOKUP('Données projet'!$B$9,Paramètres!$A$1:$I$89,5,0)</f>
        <v>12.029810228423679</v>
      </c>
      <c r="P11" s="13">
        <f t="shared" si="33"/>
        <v>4.150197071896657</v>
      </c>
      <c r="Q11" s="20">
        <f t="shared" si="2"/>
        <v>28.180179381391252</v>
      </c>
      <c r="R11" s="59">
        <f t="shared" si="0"/>
        <v>294.62462382583573</v>
      </c>
      <c r="S11" s="59">
        <f ca="1">AVERAGE(OFFSET($R$3,0,0,'Données projet'!$E$9+1,1))-AVERAGE(OFFSET($H$3,0,0,'Données projet'!$E$9+1,1))</f>
        <v>161.92866721009744</v>
      </c>
      <c r="T11" s="59">
        <f t="shared" si="34"/>
        <v>327.23695023676987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0</v>
      </c>
      <c r="AI11" s="13">
        <f>IF('Données projet'!$A$62&gt;35,AI10+AH11-AQ10,IF(A11&lt;'Données projet'!$A$62,$AF$205^A11,IF(A11='Données projet'!$A$62,'Données projet'!$B$62,AI10+AH11-AQ10)))</f>
        <v>0</v>
      </c>
      <c r="AJ11" s="13" t="e">
        <f>AI11*VLOOKUP('Données projet'!$B$10,Paramètres!$A$1:$I$89,3,0)*VLOOKUP('Données projet'!$B$10,Paramètres!$A$1:$I$89,5,0)</f>
        <v>#N/A</v>
      </c>
      <c r="AK11" s="13" t="e">
        <f t="shared" si="35"/>
        <v>#N/A</v>
      </c>
      <c r="AL11" s="20" t="e">
        <f t="shared" si="4"/>
        <v>#N/A</v>
      </c>
      <c r="AM11" s="59" t="e">
        <f t="shared" si="5"/>
        <v>#N/A</v>
      </c>
      <c r="AN11" s="59" t="e">
        <f ca="1">AVERAGE(OFFSET($AM$3,0,0,'Données projet'!$E$10+1,1))-AVERAGE(OFFSET($H$3,0,0,'Données projet'!$E$10+1,1))</f>
        <v>#N/A</v>
      </c>
      <c r="AO11" s="59" t="e">
        <f t="shared" si="36"/>
        <v>#N/A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 t="e">
        <f>EXP(-LN(2)/35)*AU10+(1-EXP(-LN(2)/35))/(LN(2)/35)*AQ11*AR11*VLOOKUP('Données projet'!$B$10,Paramètres!$A$1:$I$89,3,0)*0.475*44/12</f>
        <v>#N/A</v>
      </c>
      <c r="AV11" s="21" t="e">
        <f>EXP(-LN(2)/25)*AV10+(1-EXP(-LN(2)/25))/(LN(2)/25)*Calculateur!AQ11*Calculateur!AS11*VLOOKUP('Données projet'!$B$10,Paramètres!$A$1:$I$89,3,0)*0.475*44/12</f>
        <v>#N/A</v>
      </c>
      <c r="AW11" s="21" t="e">
        <f>EXP(-LN(2)/2)*AW10+(1-EXP(-LN(2)/2))/(LN(2)/2)*AQ11*AT11*VLOOKUP('Données projet'!$B$10,Paramètres!$A$1:$I$89,3,0)*0.475*44/12</f>
        <v>#N/A</v>
      </c>
      <c r="AX11" s="21" t="e">
        <f t="shared" si="6"/>
        <v>#N/A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1">
        <f t="shared" si="32"/>
        <v>2.8950539664743791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67">
        <f t="shared" si="1"/>
        <v>275.64709565827621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5.6363636363636367</v>
      </c>
      <c r="N12" s="13">
        <f>IF('Données projet'!$A$36&gt;35,N11+M12-V11,IF(A12&lt;'Données projet'!$A$36,$K$205^A12,IF(A12='Données projet'!$A$36,'Données projet'!$B$36,N11+M12-V11)))</f>
        <v>29.27536317482004</v>
      </c>
      <c r="O12" s="13">
        <f>N12*VLOOKUP('Données projet'!$B$9,Paramètres!$A$1:$I$89,3,0)*VLOOKUP('Données projet'!$B$9,Paramètres!$A$1:$I$89,5,0)</f>
        <v>17.506667178542386</v>
      </c>
      <c r="P12" s="13">
        <f t="shared" si="33"/>
        <v>5.7815815489903937</v>
      </c>
      <c r="Q12" s="20">
        <f t="shared" si="2"/>
        <v>40.560366533786258</v>
      </c>
      <c r="R12" s="59">
        <f t="shared" si="0"/>
        <v>308.22703320045292</v>
      </c>
      <c r="S12" s="59">
        <f ca="1">AVERAGE(OFFSET($R$3,0,0,'Données projet'!$E$9+1,1))-AVERAGE(OFFSET($H$3,0,0,'Données projet'!$E$9+1,1))</f>
        <v>161.92866721009744</v>
      </c>
      <c r="T12" s="59">
        <f t="shared" si="34"/>
        <v>327.23695023676987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0</v>
      </c>
      <c r="AI12" s="13">
        <f>IF('Données projet'!$A$62&gt;35,AI11+AH12-AQ11,IF(A12&lt;'Données projet'!$A$62,$AF$205^A12,IF(A12='Données projet'!$A$62,'Données projet'!$B$62,AI11+AH12-AQ11)))</f>
        <v>0</v>
      </c>
      <c r="AJ12" s="13" t="e">
        <f>AI12*VLOOKUP('Données projet'!$B$10,Paramètres!$A$1:$I$89,3,0)*VLOOKUP('Données projet'!$B$10,Paramètres!$A$1:$I$89,5,0)</f>
        <v>#N/A</v>
      </c>
      <c r="AK12" s="13" t="e">
        <f t="shared" si="35"/>
        <v>#N/A</v>
      </c>
      <c r="AL12" s="20" t="e">
        <f t="shared" si="4"/>
        <v>#N/A</v>
      </c>
      <c r="AM12" s="59" t="e">
        <f t="shared" si="5"/>
        <v>#N/A</v>
      </c>
      <c r="AN12" s="59" t="e">
        <f ca="1">AVERAGE(OFFSET($AM$3,0,0,'Données projet'!$E$10+1,1))-AVERAGE(OFFSET($H$3,0,0,'Données projet'!$E$10+1,1))</f>
        <v>#N/A</v>
      </c>
      <c r="AO12" s="59" t="e">
        <f t="shared" si="36"/>
        <v>#N/A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 t="e">
        <f>EXP(-LN(2)/35)*AU11+(1-EXP(-LN(2)/35))/(LN(2)/35)*AQ12*AR12*VLOOKUP('Données projet'!$B$10,Paramètres!$A$1:$I$89,3,0)*0.475*44/12</f>
        <v>#N/A</v>
      </c>
      <c r="AV12" s="21" t="e">
        <f>EXP(-LN(2)/25)*AV11+(1-EXP(-LN(2)/25))/(LN(2)/25)*Calculateur!AQ12*Calculateur!AS12*VLOOKUP('Données projet'!$B$10,Paramètres!$A$1:$I$89,3,0)*0.475*44/12</f>
        <v>#N/A</v>
      </c>
      <c r="AW12" s="21" t="e">
        <f>EXP(-LN(2)/2)*AW11+(1-EXP(-LN(2)/2))/(LN(2)/2)*AQ12*AT12*VLOOKUP('Données projet'!$B$10,Paramètres!$A$1:$I$89,3,0)*0.475*44/12</f>
        <v>#N/A</v>
      </c>
      <c r="AX12" s="21" t="e">
        <f t="shared" si="6"/>
        <v>#N/A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1">
        <f t="shared" si="32"/>
        <v>3.177517729464268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67">
        <f t="shared" si="1"/>
        <v>277.68774337881695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5.6363636363636367</v>
      </c>
      <c r="N13" s="13">
        <f>IF('Données projet'!$A$36&gt;35,N12+M13-V12,IF(A13&lt;'Données projet'!$A$36,$K$205^A13,IF(A13='Données projet'!$A$36,'Données projet'!$B$36,N12+M13-V12)))</f>
        <v>42.603667880111473</v>
      </c>
      <c r="O13" s="13">
        <f>N13*VLOOKUP('Données projet'!$B$9,Paramètres!$A$1:$I$89,3,0)*VLOOKUP('Données projet'!$B$9,Paramètres!$A$1:$I$89,5,0)</f>
        <v>25.47699339230666</v>
      </c>
      <c r="P13" s="13">
        <f t="shared" si="33"/>
        <v>8.0542404682363724</v>
      </c>
      <c r="Q13" s="20">
        <f t="shared" si="2"/>
        <v>58.400232307112447</v>
      </c>
      <c r="R13" s="59">
        <f t="shared" si="0"/>
        <v>327.2891211960013</v>
      </c>
      <c r="S13" s="59">
        <f ca="1">AVERAGE(OFFSET($R$3,0,0,'Données projet'!$E$9+1,1))-AVERAGE(OFFSET($H$3,0,0,'Données projet'!$E$9+1,1))</f>
        <v>161.92866721009744</v>
      </c>
      <c r="T13" s="59">
        <f t="shared" si="34"/>
        <v>327.23695023676987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0</v>
      </c>
      <c r="AI13" s="13">
        <f>IF('Données projet'!$A$62&gt;35,AI12+AH13-AQ12,IF(A13&lt;'Données projet'!$A$62,$AF$205^A13,IF(A13='Données projet'!$A$62,'Données projet'!$B$62,AI12+AH13-AQ12)))</f>
        <v>0</v>
      </c>
      <c r="AJ13" s="13" t="e">
        <f>AI13*VLOOKUP('Données projet'!$B$10,Paramètres!$A$1:$I$89,3,0)*VLOOKUP('Données projet'!$B$10,Paramètres!$A$1:$I$89,5,0)</f>
        <v>#N/A</v>
      </c>
      <c r="AK13" s="13" t="e">
        <f t="shared" si="35"/>
        <v>#N/A</v>
      </c>
      <c r="AL13" s="20" t="e">
        <f t="shared" si="4"/>
        <v>#N/A</v>
      </c>
      <c r="AM13" s="59" t="e">
        <f t="shared" si="5"/>
        <v>#N/A</v>
      </c>
      <c r="AN13" s="59" t="e">
        <f ca="1">AVERAGE(OFFSET($AM$3,0,0,'Données projet'!$E$10+1,1))-AVERAGE(OFFSET($H$3,0,0,'Données projet'!$E$10+1,1))</f>
        <v>#N/A</v>
      </c>
      <c r="AO13" s="59" t="e">
        <f t="shared" si="36"/>
        <v>#N/A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 t="e">
        <f>EXP(-LN(2)/35)*AU12+(1-EXP(-LN(2)/35))/(LN(2)/35)*AQ13*AR13*VLOOKUP('Données projet'!$B$10,Paramètres!$A$1:$I$89,3,0)*0.475*44/12</f>
        <v>#N/A</v>
      </c>
      <c r="AV13" s="21" t="e">
        <f>EXP(-LN(2)/25)*AV12+(1-EXP(-LN(2)/25))/(LN(2)/25)*Calculateur!AQ13*Calculateur!AS13*VLOOKUP('Données projet'!$B$10,Paramètres!$A$1:$I$89,3,0)*0.475*44/12</f>
        <v>#N/A</v>
      </c>
      <c r="AW13" s="21" t="e">
        <f>EXP(-LN(2)/2)*AW12+(1-EXP(-LN(2)/2))/(LN(2)/2)*AQ13*AT13*VLOOKUP('Données projet'!$B$10,Paramètres!$A$1:$I$89,3,0)*0.475*44/12</f>
        <v>#N/A</v>
      </c>
      <c r="AX13" s="21" t="e">
        <f t="shared" si="6"/>
        <v>#N/A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1">
        <f t="shared" si="32"/>
        <v>3.4567069199829903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67">
        <f t="shared" si="1"/>
        <v>279.72268788563707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>
        <f>VLOOKUP(A14,'Données projet'!$A$35:$I$55,2,0)</f>
        <v>62</v>
      </c>
      <c r="L14" s="12">
        <f>VLOOKUP(A14,'Données projet'!$A$35:$I$55,9,0)</f>
        <v>5.6363636363636367</v>
      </c>
      <c r="M14" s="12">
        <f t="array" ref="M14">INDEX(L:L,MIN(IF(ISNUMBER(L14:L210),ROW(L14:L210),"")))</f>
        <v>5.6363636363636367</v>
      </c>
      <c r="N14" s="13">
        <f>IF('Données projet'!$A$36&gt;35,N13+M14-V13,IF(A14&lt;'Données projet'!$A$36,$K$205^A14,IF(A14='Données projet'!$A$36,'Données projet'!$B$36,N13+M14-V13)))</f>
        <v>62</v>
      </c>
      <c r="O14" s="13">
        <f>N14*VLOOKUP('Données projet'!$B$9,Paramètres!$A$1:$I$89,3,0)*VLOOKUP('Données projet'!$B$9,Paramètres!$A$1:$I$89,5,0)</f>
        <v>37.076000000000001</v>
      </c>
      <c r="P14" s="13">
        <f t="shared" si="33"/>
        <v>11.220249852136831</v>
      </c>
      <c r="Q14" s="20">
        <f t="shared" si="2"/>
        <v>84.115968492471652</v>
      </c>
      <c r="R14" s="59">
        <f t="shared" si="0"/>
        <v>354.22707960358281</v>
      </c>
      <c r="S14" s="59">
        <f ca="1">AVERAGE(OFFSET($R$3,0,0,'Données projet'!$E$9+1,1))-AVERAGE(OFFSET($H$3,0,0,'Données projet'!$E$9+1,1))</f>
        <v>161.92866721009744</v>
      </c>
      <c r="T14" s="59">
        <f t="shared" si="34"/>
        <v>327.23695023676987</v>
      </c>
      <c r="U14" s="15">
        <f>IF(ISNA(VLOOKUP(A14,'Données projet'!$A$35:$I$55,3,0)),0,VLOOKUP(A14,'Données projet'!$A$35:$I$55,3,0))</f>
        <v>1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0</v>
      </c>
      <c r="AI14" s="13">
        <f>IF('Données projet'!$A$62&gt;35,AI13+AH14-AQ13,IF(A14&lt;'Données projet'!$A$62,$AF$205^A14,IF(A14='Données projet'!$A$62,'Données projet'!$B$62,AI13+AH14-AQ13)))</f>
        <v>0</v>
      </c>
      <c r="AJ14" s="13" t="e">
        <f>AI14*VLOOKUP('Données projet'!$B$10,Paramètres!$A$1:$I$89,3,0)*VLOOKUP('Données projet'!$B$10,Paramètres!$A$1:$I$89,5,0)</f>
        <v>#N/A</v>
      </c>
      <c r="AK14" s="13" t="e">
        <f t="shared" si="35"/>
        <v>#N/A</v>
      </c>
      <c r="AL14" s="20" t="e">
        <f t="shared" si="4"/>
        <v>#N/A</v>
      </c>
      <c r="AM14" s="59" t="e">
        <f t="shared" si="5"/>
        <v>#N/A</v>
      </c>
      <c r="AN14" s="59" t="e">
        <f ca="1">AVERAGE(OFFSET($AM$3,0,0,'Données projet'!$E$10+1,1))-AVERAGE(OFFSET($H$3,0,0,'Données projet'!$E$10+1,1))</f>
        <v>#N/A</v>
      </c>
      <c r="AO14" s="59" t="e">
        <f t="shared" si="36"/>
        <v>#N/A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 t="e">
        <f>EXP(-LN(2)/35)*AU13+(1-EXP(-LN(2)/35))/(LN(2)/35)*AQ14*AR14*VLOOKUP('Données projet'!$B$10,Paramètres!$A$1:$I$89,3,0)*0.475*44/12</f>
        <v>#N/A</v>
      </c>
      <c r="AV14" s="21" t="e">
        <f>EXP(-LN(2)/25)*AV13+(1-EXP(-LN(2)/25))/(LN(2)/25)*Calculateur!AQ14*Calculateur!AS14*VLOOKUP('Données projet'!$B$10,Paramètres!$A$1:$I$89,3,0)*0.475*44/12</f>
        <v>#N/A</v>
      </c>
      <c r="AW14" s="21" t="e">
        <f>EXP(-LN(2)/2)*AW13+(1-EXP(-LN(2)/2))/(LN(2)/2)*AQ14*AT14*VLOOKUP('Données projet'!$B$10,Paramètres!$A$1:$I$89,3,0)*0.475*44/12</f>
        <v>#N/A</v>
      </c>
      <c r="AX14" s="21" t="e">
        <f t="shared" si="6"/>
        <v>#N/A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1">
        <f t="shared" si="32"/>
        <v>3.7329530817348471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67">
        <f t="shared" si="1"/>
        <v>281.75250661735487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>
        <f>VLOOKUP(A15,'Données projet'!$A$35:$I$55,2,0)</f>
        <v>80</v>
      </c>
      <c r="L15" s="12">
        <f>VLOOKUP(A15,'Données projet'!$A$35:$I$55,9,0)</f>
        <v>18</v>
      </c>
      <c r="M15" s="12">
        <f t="array" ref="M15">INDEX(L:L,MIN(IF(ISNUMBER(L15:L211),ROW(L15:L211),"")))</f>
        <v>18</v>
      </c>
      <c r="N15" s="13">
        <f>IF('Données projet'!$A$36&gt;35,N14+M15-V14,IF(A15&lt;'Données projet'!$A$36,$K$205^A15,IF(A15='Données projet'!$A$36,'Données projet'!$B$36,N14+M15-V14)))</f>
        <v>80</v>
      </c>
      <c r="O15" s="13">
        <f>N15*VLOOKUP('Données projet'!$B$9,Paramètres!$A$1:$I$89,3,0)*VLOOKUP('Données projet'!$B$9,Paramètres!$A$1:$I$89,5,0)</f>
        <v>47.840000000000011</v>
      </c>
      <c r="P15" s="13">
        <f t="shared" si="33"/>
        <v>14.054504650394978</v>
      </c>
      <c r="Q15" s="20">
        <f t="shared" si="2"/>
        <v>107.79959559943795</v>
      </c>
      <c r="R15" s="59">
        <f t="shared" si="0"/>
        <v>379.13292893277128</v>
      </c>
      <c r="S15" s="59">
        <f ca="1">AVERAGE(OFFSET($R$3,0,0,'Données projet'!$E$9+1,1))-AVERAGE(OFFSET($H$3,0,0,'Données projet'!$E$9+1,1))</f>
        <v>161.92866721009744</v>
      </c>
      <c r="T15" s="59">
        <f t="shared" si="34"/>
        <v>327.23695023676987</v>
      </c>
      <c r="U15" s="15">
        <f>IF(ISNA(VLOOKUP(A15,'Données projet'!$A$35:$I$55,3,0)),0,VLOOKUP(A15,'Données projet'!$A$35:$I$55,3,0))</f>
        <v>2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0</v>
      </c>
      <c r="AI15" s="13">
        <f>IF('Données projet'!$A$62&gt;35,AI14+AH15-AQ14,IF(A15&lt;'Données projet'!$A$62,$AF$205^A15,IF(A15='Données projet'!$A$62,'Données projet'!$B$62,AI14+AH15-AQ14)))</f>
        <v>0</v>
      </c>
      <c r="AJ15" s="13" t="e">
        <f>AI15*VLOOKUP('Données projet'!$B$10,Paramètres!$A$1:$I$89,3,0)*VLOOKUP('Données projet'!$B$10,Paramètres!$A$1:$I$89,5,0)</f>
        <v>#N/A</v>
      </c>
      <c r="AK15" s="13" t="e">
        <f t="shared" si="35"/>
        <v>#N/A</v>
      </c>
      <c r="AL15" s="20" t="e">
        <f t="shared" si="4"/>
        <v>#N/A</v>
      </c>
      <c r="AM15" s="59" t="e">
        <f t="shared" si="5"/>
        <v>#N/A</v>
      </c>
      <c r="AN15" s="59" t="e">
        <f ca="1">AVERAGE(OFFSET($AM$3,0,0,'Données projet'!$E$10+1,1))-AVERAGE(OFFSET($H$3,0,0,'Données projet'!$E$10+1,1))</f>
        <v>#N/A</v>
      </c>
      <c r="AO15" s="59" t="e">
        <f t="shared" si="36"/>
        <v>#N/A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 t="e">
        <f>EXP(-LN(2)/35)*AU14+(1-EXP(-LN(2)/35))/(LN(2)/35)*AQ15*AR15*VLOOKUP('Données projet'!$B$10,Paramètres!$A$1:$I$89,3,0)*0.475*44/12</f>
        <v>#N/A</v>
      </c>
      <c r="AV15" s="21" t="e">
        <f>EXP(-LN(2)/25)*AV14+(1-EXP(-LN(2)/25))/(LN(2)/25)*Calculateur!AQ15*Calculateur!AS15*VLOOKUP('Données projet'!$B$10,Paramètres!$A$1:$I$89,3,0)*0.475*44/12</f>
        <v>#N/A</v>
      </c>
      <c r="AW15" s="21" t="e">
        <f>EXP(-LN(2)/2)*AW14+(1-EXP(-LN(2)/2))/(LN(2)/2)*AQ15*AT15*VLOOKUP('Données projet'!$B$10,Paramètres!$A$1:$I$89,3,0)*0.475*44/12</f>
        <v>#N/A</v>
      </c>
      <c r="AX15" s="21" t="e">
        <f t="shared" si="6"/>
        <v>#N/A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1">
        <f t="shared" si="32"/>
        <v>4.0065293501366055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67">
        <f t="shared" si="1"/>
        <v>283.77767528482127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>
        <f>VLOOKUP(A16,'Données projet'!$A$35:$I$55,2,0)</f>
        <v>101</v>
      </c>
      <c r="L16" s="12">
        <f>VLOOKUP(A16,'Données projet'!$A$35:$I$55,9,0)</f>
        <v>21</v>
      </c>
      <c r="M16" s="12">
        <f t="array" ref="M16">INDEX(L:L,MIN(IF(ISNUMBER(L16:L212),ROW(L16:L212),"")))</f>
        <v>21</v>
      </c>
      <c r="N16" s="13">
        <f>IF('Données projet'!$A$36&gt;35,N15+M16-V15,IF(A16&lt;'Données projet'!$A$36,$K$205^A16,IF(A16='Données projet'!$A$36,'Données projet'!$B$36,N15+M16-V15)))</f>
        <v>101</v>
      </c>
      <c r="O16" s="13">
        <f>N16*VLOOKUP('Données projet'!$B$9,Paramètres!$A$1:$I$89,3,0)*VLOOKUP('Données projet'!$B$9,Paramètres!$A$1:$I$89,5,0)</f>
        <v>60.398000000000003</v>
      </c>
      <c r="P16" s="13">
        <f t="shared" si="33"/>
        <v>17.26885714728807</v>
      </c>
      <c r="Q16" s="20">
        <f t="shared" si="2"/>
        <v>135.26977619819337</v>
      </c>
      <c r="R16" s="59">
        <f t="shared" si="0"/>
        <v>407.82533175374891</v>
      </c>
      <c r="S16" s="59">
        <f ca="1">AVERAGE(OFFSET($R$3,0,0,'Données projet'!$E$9+1,1))-AVERAGE(OFFSET($H$3,0,0,'Données projet'!$E$9+1,1))</f>
        <v>161.92866721009744</v>
      </c>
      <c r="T16" s="59">
        <f t="shared" si="34"/>
        <v>327.23695023676987</v>
      </c>
      <c r="U16" s="15">
        <f>IF(ISNA(VLOOKUP(A16,'Données projet'!$A$35:$I$55,3,0)),0,VLOOKUP(A16,'Données projet'!$A$35:$I$55,3,0))</f>
        <v>3</v>
      </c>
      <c r="V16" s="15">
        <f>IF(ISNA(VLOOKUP(A16,'Données projet'!$A$35:$I$55,4,0)),0,VLOOKUP(A16,'Données projet'!$A$35:$I$55,4,0))</f>
        <v>28</v>
      </c>
      <c r="W16" s="16">
        <f>IF(ISNA(VLOOKUP(A16,'Données projet'!$A$35:$I$55,5,0)),0%,VLOOKUP(A16,'Données projet'!$A$35:$I$55,5,0)*VLOOKUP('Données projet'!$B$9,Paramètres!$A$1:$I$89,7,0))</f>
        <v>9.0000000000000011E-2</v>
      </c>
      <c r="X16" s="16">
        <f>IF(ISNA(VLOOKUP(A16,'Données projet'!$A$35:$I$55,6,0)),0%,VLOOKUP(A16,'Données projet'!$A$35:$I$55,6,0)*VLOOKUP('Données projet'!$B$9,Paramètres!$A$1:$I$89,7,0))</f>
        <v>0.20250000000000001</v>
      </c>
      <c r="Y16" s="16">
        <f>IF(ISNA(VLOOKUP(A16,'Données projet'!$A$35:$I$55,7,0)),0%,VLOOKUP(A16,'Données projet'!$A$35:$I$55,7,0))</f>
        <v>0.35</v>
      </c>
      <c r="Z16" s="21">
        <f>EXP(-LN(2)/35)*Z15+(1-EXP(-LN(2)/35))/(LN(2)/35)*V16*W16*VLOOKUP('Données projet'!$B$9,Paramètres!$A$1:$I$89,3,0)*0.475*44/12</f>
        <v>1.9990795717691698</v>
      </c>
      <c r="AA16" s="21">
        <f>EXP(-LN(2)/25)*AA15+(1-EXP(-LN(2)/25))/(LN(2)/25)*Calculateur!V16*Calculateur!X16*VLOOKUP('Données projet'!$B$9,Paramètres!$A$1:$I$89,3,0)*0.475*44/12</f>
        <v>4.4802189760186817</v>
      </c>
      <c r="AB16" s="21">
        <f>EXP(-LN(2)/2)*AB15+(1-EXP(-LN(2)/2))/(LN(2)/2)*V16*Y16*VLOOKUP('Données projet'!$B$9,Paramètres!$A$1:$I$89,3,0)*0.475*44/12</f>
        <v>6.6353341564241006</v>
      </c>
      <c r="AC16" s="22">
        <f t="shared" si="3"/>
        <v>13.114632704211953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0</v>
      </c>
      <c r="AI16" s="13">
        <f>IF('Données projet'!$A$62&gt;35,AI15+AH16-AQ15,IF(A16&lt;'Données projet'!$A$62,$AF$205^A16,IF(A16='Données projet'!$A$62,'Données projet'!$B$62,AI15+AH16-AQ15)))</f>
        <v>0</v>
      </c>
      <c r="AJ16" s="13" t="e">
        <f>AI16*VLOOKUP('Données projet'!$B$10,Paramètres!$A$1:$I$89,3,0)*VLOOKUP('Données projet'!$B$10,Paramètres!$A$1:$I$89,5,0)</f>
        <v>#N/A</v>
      </c>
      <c r="AK16" s="13" t="e">
        <f t="shared" si="35"/>
        <v>#N/A</v>
      </c>
      <c r="AL16" s="20" t="e">
        <f t="shared" si="4"/>
        <v>#N/A</v>
      </c>
      <c r="AM16" s="59" t="e">
        <f t="shared" si="5"/>
        <v>#N/A</v>
      </c>
      <c r="AN16" s="59" t="e">
        <f ca="1">AVERAGE(OFFSET($AM$3,0,0,'Données projet'!$E$10+1,1))-AVERAGE(OFFSET($H$3,0,0,'Données projet'!$E$10+1,1))</f>
        <v>#N/A</v>
      </c>
      <c r="AO16" s="59" t="e">
        <f t="shared" si="36"/>
        <v>#N/A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 t="e">
        <f>EXP(-LN(2)/35)*AU15+(1-EXP(-LN(2)/35))/(LN(2)/35)*AQ16*AR16*VLOOKUP('Données projet'!$B$10,Paramètres!$A$1:$I$89,3,0)*0.475*44/12</f>
        <v>#N/A</v>
      </c>
      <c r="AV16" s="21" t="e">
        <f>EXP(-LN(2)/25)*AV15+(1-EXP(-LN(2)/25))/(LN(2)/25)*Calculateur!AQ16*Calculateur!AS16*VLOOKUP('Données projet'!$B$10,Paramètres!$A$1:$I$89,3,0)*0.475*44/12</f>
        <v>#N/A</v>
      </c>
      <c r="AW16" s="21" t="e">
        <f>EXP(-LN(2)/2)*AW15+(1-EXP(-LN(2)/2))/(LN(2)/2)*AQ16*AT16*VLOOKUP('Données projet'!$B$10,Paramètres!$A$1:$I$89,3,0)*0.475*44/12</f>
        <v>#N/A</v>
      </c>
      <c r="AX16" s="21" t="e">
        <f t="shared" si="6"/>
        <v>#N/A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1">
        <f t="shared" si="32"/>
        <v>4.2776644527179633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67">
        <f t="shared" si="1"/>
        <v>285.79859225515048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>
        <f>VLOOKUP(A17,'Données projet'!$A$35:$I$55,2,0)</f>
        <v>88</v>
      </c>
      <c r="L17" s="12">
        <f>VLOOKUP(A17,'Données projet'!$A$35:$I$55,9,0)</f>
        <v>15</v>
      </c>
      <c r="M17" s="12">
        <f t="array" ref="M17">INDEX(L:L,MIN(IF(ISNUMBER(L17:L213),ROW(L17:L213),"")))</f>
        <v>15</v>
      </c>
      <c r="N17" s="13">
        <f>IF('Données projet'!$A$36&gt;35,N16+M17-V16,IF(A17&lt;'Données projet'!$A$36,$K$205^A17,IF(A17='Données projet'!$A$36,'Données projet'!$B$36,N16+M17-V16)))</f>
        <v>88</v>
      </c>
      <c r="O17" s="13">
        <f>N17*VLOOKUP('Données projet'!$B$9,Paramètres!$A$1:$I$89,3,0)*VLOOKUP('Données projet'!$B$9,Paramètres!$A$1:$I$89,5,0)</f>
        <v>52.624000000000009</v>
      </c>
      <c r="P17" s="13">
        <f t="shared" si="33"/>
        <v>15.289388641788772</v>
      </c>
      <c r="Q17" s="20">
        <f t="shared" si="2"/>
        <v>118.28248521778211</v>
      </c>
      <c r="R17" s="59">
        <f t="shared" si="0"/>
        <v>392.06026299555987</v>
      </c>
      <c r="S17" s="59">
        <f ca="1">AVERAGE(OFFSET($R$3,0,0,'Données projet'!$E$9+1,1))-AVERAGE(OFFSET($H$3,0,0,'Données projet'!$E$9+1,1))</f>
        <v>161.92866721009744</v>
      </c>
      <c r="T17" s="59">
        <f t="shared" si="34"/>
        <v>327.23695023676987</v>
      </c>
      <c r="U17" s="15">
        <f>IF(ISNA(VLOOKUP(A17,'Données projet'!$A$35:$I$55,3,0)),0,VLOOKUP(A17,'Données projet'!$A$35:$I$55,3,0))</f>
        <v>4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1.9598788406849175</v>
      </c>
      <c r="AA17" s="21">
        <f>EXP(-LN(2)/25)*AA16+(1-EXP(-LN(2)/25))/(LN(2)/25)*Calculateur!V17*Calculateur!X17*VLOOKUP('Données projet'!$B$9,Paramètres!$A$1:$I$89,3,0)*0.475*44/12</f>
        <v>4.3577071525149744</v>
      </c>
      <c r="AB17" s="21">
        <f>EXP(-LN(2)/2)*AB16+(1-EXP(-LN(2)/2))/(LN(2)/2)*V17*Y17*VLOOKUP('Données projet'!$B$9,Paramètres!$A$1:$I$89,3,0)*0.475*44/12</f>
        <v>4.6918897774462014</v>
      </c>
      <c r="AC17" s="22">
        <f t="shared" si="3"/>
        <v>11.009475770646093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0</v>
      </c>
      <c r="AI17" s="13">
        <f>IF('Données projet'!$A$62&gt;35,AI16+AH17-AQ16,IF(A17&lt;'Données projet'!$A$62,$AF$205^A17,IF(A17='Données projet'!$A$62,'Données projet'!$B$62,AI16+AH17-AQ16)))</f>
        <v>0</v>
      </c>
      <c r="AJ17" s="13" t="e">
        <f>AI17*VLOOKUP('Données projet'!$B$10,Paramètres!$A$1:$I$89,3,0)*VLOOKUP('Données projet'!$B$10,Paramètres!$A$1:$I$89,5,0)</f>
        <v>#N/A</v>
      </c>
      <c r="AK17" s="13" t="e">
        <f t="shared" si="35"/>
        <v>#N/A</v>
      </c>
      <c r="AL17" s="20" t="e">
        <f t="shared" si="4"/>
        <v>#N/A</v>
      </c>
      <c r="AM17" s="59" t="e">
        <f t="shared" si="5"/>
        <v>#N/A</v>
      </c>
      <c r="AN17" s="59" t="e">
        <f ca="1">AVERAGE(OFFSET($AM$3,0,0,'Données projet'!$E$10+1,1))-AVERAGE(OFFSET($H$3,0,0,'Données projet'!$E$10+1,1))</f>
        <v>#N/A</v>
      </c>
      <c r="AO17" s="59" t="e">
        <f t="shared" si="36"/>
        <v>#N/A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 t="e">
        <f>EXP(-LN(2)/35)*AU16+(1-EXP(-LN(2)/35))/(LN(2)/35)*AQ17*AR17*VLOOKUP('Données projet'!$B$10,Paramètres!$A$1:$I$89,3,0)*0.475*44/12</f>
        <v>#N/A</v>
      </c>
      <c r="AV17" s="21" t="e">
        <f>EXP(-LN(2)/25)*AV16+(1-EXP(-LN(2)/25))/(LN(2)/25)*Calculateur!AQ17*Calculateur!AS17*VLOOKUP('Données projet'!$B$10,Paramètres!$A$1:$I$89,3,0)*0.475*44/12</f>
        <v>#N/A</v>
      </c>
      <c r="AW17" s="21" t="e">
        <f>EXP(-LN(2)/2)*AW16+(1-EXP(-LN(2)/2))/(LN(2)/2)*AQ17*AT17*VLOOKUP('Données projet'!$B$10,Paramètres!$A$1:$I$89,3,0)*0.475*44/12</f>
        <v>#N/A</v>
      </c>
      <c r="AX17" s="21" t="e">
        <f t="shared" si="6"/>
        <v>#N/A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1">
        <f t="shared" si="32"/>
        <v>4.5465525901071517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67">
        <f t="shared" si="1"/>
        <v>287.81559576110328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19.333333333333332</v>
      </c>
      <c r="N18" s="13">
        <f>IF('Données projet'!$A$36&gt;35,N17+M18-V17,IF(A18&lt;'Données projet'!$A$36,$K$205^A18,IF(A18='Données projet'!$A$36,'Données projet'!$B$36,N17+M18-V17)))</f>
        <v>107.33333333333333</v>
      </c>
      <c r="O18" s="13">
        <f>N18*VLOOKUP('Données projet'!$B$9,Paramètres!$A$1:$I$89,3,0)*VLOOKUP('Données projet'!$B$9,Paramètres!$A$1:$I$89,5,0)</f>
        <v>64.185333333333332</v>
      </c>
      <c r="P18" s="13">
        <f t="shared" si="33"/>
        <v>18.222264180214211</v>
      </c>
      <c r="Q18" s="20">
        <f t="shared" si="2"/>
        <v>143.52656566942861</v>
      </c>
      <c r="R18" s="59">
        <f t="shared" si="0"/>
        <v>418.52656566942858</v>
      </c>
      <c r="S18" s="59">
        <f ca="1">AVERAGE(OFFSET($R$3,0,0,'Données projet'!$E$9+1,1))-AVERAGE(OFFSET($H$3,0,0,'Données projet'!$E$9+1,1))</f>
        <v>161.92866721009744</v>
      </c>
      <c r="T18" s="59">
        <f t="shared" si="34"/>
        <v>327.23695023676987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1.9214468120271424</v>
      </c>
      <c r="AA18" s="21">
        <f>EXP(-LN(2)/25)*AA17+(1-EXP(-LN(2)/25))/(LN(2)/25)*Calculateur!V18*Calculateur!X18*VLOOKUP('Données projet'!$B$9,Paramètres!$A$1:$I$89,3,0)*0.475*44/12</f>
        <v>4.2385454212675926</v>
      </c>
      <c r="AB18" s="21">
        <f>EXP(-LN(2)/2)*AB17+(1-EXP(-LN(2)/2))/(LN(2)/2)*V18*Y18*VLOOKUP('Données projet'!$B$9,Paramètres!$A$1:$I$89,3,0)*0.475*44/12</f>
        <v>3.3176670782120503</v>
      </c>
      <c r="AC18" s="22">
        <f t="shared" si="3"/>
        <v>9.4776593115067858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0</v>
      </c>
      <c r="AI18" s="13">
        <f>IF('Données projet'!$A$62&gt;35,AI17+AH18-AQ17,IF(A18&lt;'Données projet'!$A$62,$AF$205^A18,IF(A18='Données projet'!$A$62,'Données projet'!$B$62,AI17+AH18-AQ17)))</f>
        <v>0</v>
      </c>
      <c r="AJ18" s="13" t="e">
        <f>AI18*VLOOKUP('Données projet'!$B$10,Paramètres!$A$1:$I$89,3,0)*VLOOKUP('Données projet'!$B$10,Paramètres!$A$1:$I$89,5,0)</f>
        <v>#N/A</v>
      </c>
      <c r="AK18" s="13" t="e">
        <f t="shared" si="35"/>
        <v>#N/A</v>
      </c>
      <c r="AL18" s="20" t="e">
        <f t="shared" si="4"/>
        <v>#N/A</v>
      </c>
      <c r="AM18" s="59" t="e">
        <f t="shared" si="5"/>
        <v>#N/A</v>
      </c>
      <c r="AN18" s="59" t="e">
        <f ca="1">AVERAGE(OFFSET($AM$3,0,0,'Données projet'!$E$10+1,1))-AVERAGE(OFFSET($H$3,0,0,'Données projet'!$E$10+1,1))</f>
        <v>#N/A</v>
      </c>
      <c r="AO18" s="59" t="e">
        <f t="shared" si="36"/>
        <v>#N/A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 t="e">
        <f>EXP(-LN(2)/35)*AU17+(1-EXP(-LN(2)/35))/(LN(2)/35)*AQ18*AR18*VLOOKUP('Données projet'!$B$10,Paramètres!$A$1:$I$89,3,0)*0.475*44/12</f>
        <v>#N/A</v>
      </c>
      <c r="AV18" s="21" t="e">
        <f>EXP(-LN(2)/25)*AV17+(1-EXP(-LN(2)/25))/(LN(2)/25)*Calculateur!AQ18*Calculateur!AS18*VLOOKUP('Données projet'!$B$10,Paramètres!$A$1:$I$89,3,0)*0.475*44/12</f>
        <v>#N/A</v>
      </c>
      <c r="AW18" s="21" t="e">
        <f>EXP(-LN(2)/2)*AW17+(1-EXP(-LN(2)/2))/(LN(2)/2)*AQ18*AT18*VLOOKUP('Données projet'!$B$10,Paramètres!$A$1:$I$89,3,0)*0.475*44/12</f>
        <v>#N/A</v>
      </c>
      <c r="AX18" s="21" t="e">
        <f t="shared" si="6"/>
        <v>#N/A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1">
        <f t="shared" si="32"/>
        <v>4.81336060460516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67">
        <f t="shared" si="1"/>
        <v>289.82897638635399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19.333333333333332</v>
      </c>
      <c r="N19" s="13">
        <f>IF('Données projet'!$A$36&gt;35,N18+M19-V18,IF(A19&lt;'Données projet'!$A$36,$K$205^A19,IF(A19='Données projet'!$A$36,'Données projet'!$B$36,N18+M19-V18)))</f>
        <v>126.66666666666666</v>
      </c>
      <c r="O19" s="13">
        <f>N19*VLOOKUP('Données projet'!$B$9,Paramètres!$A$1:$I$89,3,0)*VLOOKUP('Données projet'!$B$9,Paramètres!$A$1:$I$89,5,0)</f>
        <v>75.74666666666667</v>
      </c>
      <c r="P19" s="13">
        <f t="shared" si="33"/>
        <v>21.093938541968964</v>
      </c>
      <c r="Q19" s="20">
        <f t="shared" si="2"/>
        <v>168.66405407170706</v>
      </c>
      <c r="R19" s="59">
        <f t="shared" si="0"/>
        <v>444.88627629392931</v>
      </c>
      <c r="S19" s="59">
        <f ca="1">AVERAGE(OFFSET($R$3,0,0,'Données projet'!$E$9+1,1))-AVERAGE(OFFSET($H$3,0,0,'Données projet'!$E$9+1,1))</f>
        <v>161.92866721009744</v>
      </c>
      <c r="T19" s="59">
        <f t="shared" si="34"/>
        <v>327.23695023676987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1.8837684120101235</v>
      </c>
      <c r="AA19" s="21">
        <f>EXP(-LN(2)/25)*AA18+(1-EXP(-LN(2)/25))/(LN(2)/25)*Calculateur!V19*Calculateur!X19*VLOOKUP('Données projet'!$B$9,Paramètres!$A$1:$I$89,3,0)*0.475*44/12</f>
        <v>4.1226421738276136</v>
      </c>
      <c r="AB19" s="21">
        <f>EXP(-LN(2)/2)*AB18+(1-EXP(-LN(2)/2))/(LN(2)/2)*V19*Y19*VLOOKUP('Données projet'!$B$9,Paramètres!$A$1:$I$89,3,0)*0.475*44/12</f>
        <v>2.3459448887231007</v>
      </c>
      <c r="AC19" s="22">
        <f t="shared" si="3"/>
        <v>8.3523554745608379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0</v>
      </c>
      <c r="AI19" s="13">
        <f>IF('Données projet'!$A$62&gt;35,AI18+AH19-AQ18,IF(A19&lt;'Données projet'!$A$62,$AF$205^A19,IF(A19='Données projet'!$A$62,'Données projet'!$B$62,AI18+AH19-AQ18)))</f>
        <v>0</v>
      </c>
      <c r="AJ19" s="13" t="e">
        <f>AI19*VLOOKUP('Données projet'!$B$10,Paramètres!$A$1:$I$89,3,0)*VLOOKUP('Données projet'!$B$10,Paramètres!$A$1:$I$89,5,0)</f>
        <v>#N/A</v>
      </c>
      <c r="AK19" s="13" t="e">
        <f t="shared" si="35"/>
        <v>#N/A</v>
      </c>
      <c r="AL19" s="20" t="e">
        <f t="shared" si="4"/>
        <v>#N/A</v>
      </c>
      <c r="AM19" s="59" t="e">
        <f t="shared" si="5"/>
        <v>#N/A</v>
      </c>
      <c r="AN19" s="59" t="e">
        <f ca="1">AVERAGE(OFFSET($AM$3,0,0,'Données projet'!$E$10+1,1))-AVERAGE(OFFSET($H$3,0,0,'Données projet'!$E$10+1,1))</f>
        <v>#N/A</v>
      </c>
      <c r="AO19" s="59" t="e">
        <f t="shared" si="36"/>
        <v>#N/A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 t="e">
        <f>EXP(-LN(2)/35)*AU18+(1-EXP(-LN(2)/35))/(LN(2)/35)*AQ19*AR19*VLOOKUP('Données projet'!$B$10,Paramètres!$A$1:$I$89,3,0)*0.475*44/12</f>
        <v>#N/A</v>
      </c>
      <c r="AV19" s="21" t="e">
        <f>EXP(-LN(2)/25)*AV18+(1-EXP(-LN(2)/25))/(LN(2)/25)*Calculateur!AQ19*Calculateur!AS19*VLOOKUP('Données projet'!$B$10,Paramètres!$A$1:$I$89,3,0)*0.475*44/12</f>
        <v>#N/A</v>
      </c>
      <c r="AW19" s="21" t="e">
        <f>EXP(-LN(2)/2)*AW18+(1-EXP(-LN(2)/2))/(LN(2)/2)*AQ19*AT19*VLOOKUP('Données projet'!$B$10,Paramètres!$A$1:$I$89,3,0)*0.475*44/12</f>
        <v>#N/A</v>
      </c>
      <c r="AX19" s="21" t="e">
        <f t="shared" si="6"/>
        <v>#N/A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1">
        <f t="shared" si="32"/>
        <v>5.0782333044806931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67">
        <f t="shared" si="1"/>
        <v>291.83898633863726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>
        <f>VLOOKUP(A20,'Données projet'!$A$35:$I$55,2,0)</f>
        <v>146</v>
      </c>
      <c r="L20" s="12">
        <f>VLOOKUP(A20,'Données projet'!$A$35:$I$55,9,0)</f>
        <v>19.333333333333332</v>
      </c>
      <c r="M20" s="12">
        <f t="array" ref="M20">INDEX(L:L,MIN(IF(ISNUMBER(L20:L216),ROW(L20:L216),"")))</f>
        <v>19.333333333333332</v>
      </c>
      <c r="N20" s="13">
        <f>IF('Données projet'!$A$36&gt;35,N19+M20-V19,IF(A20&lt;'Données projet'!$A$36,$K$205^A20,IF(A20='Données projet'!$A$36,'Données projet'!$B$36,N19+M20-V19)))</f>
        <v>146</v>
      </c>
      <c r="O20" s="13">
        <f>N20*VLOOKUP('Données projet'!$B$9,Paramètres!$A$1:$I$89,3,0)*VLOOKUP('Données projet'!$B$9,Paramètres!$A$1:$I$89,5,0)</f>
        <v>87.307999999999993</v>
      </c>
      <c r="P20" s="13">
        <f t="shared" si="33"/>
        <v>23.914836409796052</v>
      </c>
      <c r="Q20" s="20">
        <f t="shared" si="2"/>
        <v>193.71310674706146</v>
      </c>
      <c r="R20" s="59">
        <f t="shared" si="0"/>
        <v>471.15755119150595</v>
      </c>
      <c r="S20" s="59">
        <f ca="1">AVERAGE(OFFSET($R$3,0,0,'Données projet'!$E$9+1,1))-AVERAGE(OFFSET($H$3,0,0,'Données projet'!$E$9+1,1))</f>
        <v>161.92866721009744</v>
      </c>
      <c r="T20" s="59">
        <f t="shared" si="34"/>
        <v>327.23695023676987</v>
      </c>
      <c r="U20" s="15">
        <f>IF(ISNA(VLOOKUP(A20,'Données projet'!$A$35:$I$55,3,0)),0,VLOOKUP(A20,'Données projet'!$A$35:$I$55,3,0))</f>
        <v>5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1.8468288624358833</v>
      </c>
      <c r="AA20" s="21">
        <f>EXP(-LN(2)/25)*AA19+(1-EXP(-LN(2)/25))/(LN(2)/25)*Calculateur!V20*Calculateur!X20*VLOOKUP('Données projet'!$B$9,Paramètres!$A$1:$I$89,3,0)*0.475*44/12</f>
        <v>4.0099083067839683</v>
      </c>
      <c r="AB20" s="21">
        <f>EXP(-LN(2)/2)*AB19+(1-EXP(-LN(2)/2))/(LN(2)/2)*V20*Y20*VLOOKUP('Données projet'!$B$9,Paramètres!$A$1:$I$89,3,0)*0.475*44/12</f>
        <v>1.6588335391060252</v>
      </c>
      <c r="AC20" s="22">
        <f t="shared" si="3"/>
        <v>7.5155707083258765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0</v>
      </c>
      <c r="AI20" s="13">
        <f>IF('Données projet'!$A$62&gt;35,AI19+AH20-AQ19,IF(A20&lt;'Données projet'!$A$62,$AF$205^A20,IF(A20='Données projet'!$A$62,'Données projet'!$B$62,AI19+AH20-AQ19)))</f>
        <v>0</v>
      </c>
      <c r="AJ20" s="13" t="e">
        <f>AI20*VLOOKUP('Données projet'!$B$10,Paramètres!$A$1:$I$89,3,0)*VLOOKUP('Données projet'!$B$10,Paramètres!$A$1:$I$89,5,0)</f>
        <v>#N/A</v>
      </c>
      <c r="AK20" s="13" t="e">
        <f t="shared" si="35"/>
        <v>#N/A</v>
      </c>
      <c r="AL20" s="20" t="e">
        <f t="shared" si="4"/>
        <v>#N/A</v>
      </c>
      <c r="AM20" s="59" t="e">
        <f t="shared" si="5"/>
        <v>#N/A</v>
      </c>
      <c r="AN20" s="59" t="e">
        <f ca="1">AVERAGE(OFFSET($AM$3,0,0,'Données projet'!$E$10+1,1))-AVERAGE(OFFSET($H$3,0,0,'Données projet'!$E$10+1,1))</f>
        <v>#N/A</v>
      </c>
      <c r="AO20" s="59" t="e">
        <f t="shared" si="36"/>
        <v>#N/A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 t="e">
        <f>EXP(-LN(2)/35)*AU19+(1-EXP(-LN(2)/35))/(LN(2)/35)*AQ20*AR20*VLOOKUP('Données projet'!$B$10,Paramètres!$A$1:$I$89,3,0)*0.475*44/12</f>
        <v>#N/A</v>
      </c>
      <c r="AV20" s="21" t="e">
        <f>EXP(-LN(2)/25)*AV19+(1-EXP(-LN(2)/25))/(LN(2)/25)*Calculateur!AQ20*Calculateur!AS20*VLOOKUP('Données projet'!$B$10,Paramètres!$A$1:$I$89,3,0)*0.475*44/12</f>
        <v>#N/A</v>
      </c>
      <c r="AW20" s="21" t="e">
        <f>EXP(-LN(2)/2)*AW19+(1-EXP(-LN(2)/2))/(LN(2)/2)*AQ20*AT20*VLOOKUP('Données projet'!$B$10,Paramètres!$A$1:$I$89,3,0)*0.475*44/12</f>
        <v>#N/A</v>
      </c>
      <c r="AX20" s="21" t="e">
        <f t="shared" si="6"/>
        <v>#N/A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1">
        <f t="shared" si="32"/>
        <v>5.3412974993444182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67">
        <f t="shared" si="1"/>
        <v>293.8458464780249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>
        <f>VLOOKUP(A21,'Données projet'!$A$35:$I$55,2,0)</f>
        <v>166</v>
      </c>
      <c r="L21" s="12">
        <f>VLOOKUP(A21,'Données projet'!$A$35:$I$55,9,0)</f>
        <v>20</v>
      </c>
      <c r="M21" s="12">
        <f t="array" ref="M21">INDEX(L:L,MIN(IF(ISNUMBER(L21:L217),ROW(L21:L217),"")))</f>
        <v>20</v>
      </c>
      <c r="N21" s="13">
        <f>IF('Données projet'!$A$36&gt;35,N20+M21-V20,IF(A21&lt;'Données projet'!$A$36,$K$205^A21,IF(A21='Données projet'!$A$36,'Données projet'!$B$36,N20+M21-V20)))</f>
        <v>166</v>
      </c>
      <c r="O21" s="13">
        <f>N21*VLOOKUP('Données projet'!$B$9,Paramètres!$A$1:$I$89,3,0)*VLOOKUP('Données projet'!$B$9,Paramètres!$A$1:$I$89,5,0)</f>
        <v>99.268000000000001</v>
      </c>
      <c r="P21" s="13">
        <f t="shared" si="33"/>
        <v>26.78753414535981</v>
      </c>
      <c r="Q21" s="20">
        <f t="shared" si="2"/>
        <v>219.54672196983498</v>
      </c>
      <c r="R21" s="59">
        <f t="shared" si="0"/>
        <v>498.21338863650169</v>
      </c>
      <c r="S21" s="59">
        <f ca="1">AVERAGE(OFFSET($R$3,0,0,'Données projet'!$E$9+1,1))-AVERAGE(OFFSET($H$3,0,0,'Données projet'!$E$9+1,1))</f>
        <v>161.92866721009744</v>
      </c>
      <c r="T21" s="59">
        <f t="shared" si="34"/>
        <v>327.23695023676987</v>
      </c>
      <c r="U21" s="15">
        <f>IF(ISNA(VLOOKUP(A21,'Données projet'!$A$35:$I$55,3,0)),0,VLOOKUP(A21,'Données projet'!$A$35:$I$55,3,0))</f>
        <v>6</v>
      </c>
      <c r="V21" s="15">
        <f>IF(ISNA(VLOOKUP(A21,'Données projet'!$A$35:$I$55,4,0)),0,VLOOKUP(A21,'Données projet'!$A$35:$I$55,4,0))</f>
        <v>40</v>
      </c>
      <c r="W21" s="16">
        <f>IF(ISNA(VLOOKUP(A21,'Données projet'!$A$35:$I$55,5,0)),0%,VLOOKUP(A21,'Données projet'!$A$35:$I$55,5,0)*VLOOKUP('Données projet'!$B$9,Paramètres!$A$1:$I$89,7,0))</f>
        <v>0.18000000000000002</v>
      </c>
      <c r="X21" s="16">
        <f>IF(ISNA(VLOOKUP(A21,'Données projet'!$A$35:$I$55,6,0)),0%,VLOOKUP(A21,'Données projet'!$A$35:$I$55,6,0)*VLOOKUP('Données projet'!$B$9,Paramètres!$A$1:$I$89,7,0))</f>
        <v>0.15300000000000002</v>
      </c>
      <c r="Y21" s="16">
        <f>IF(ISNA(VLOOKUP(A21,'Données projet'!$A$35:$I$55,7,0)),0%,VLOOKUP(A21,'Données projet'!$A$35:$I$55,7,0))</f>
        <v>0.26</v>
      </c>
      <c r="Z21" s="21">
        <f>EXP(-LN(2)/35)*Z20+(1-EXP(-LN(2)/35))/(LN(2)/35)*V21*W21*VLOOKUP('Données projet'!$B$9,Paramètres!$A$1:$I$89,3,0)*0.475*44/12</f>
        <v>7.5222695942383773</v>
      </c>
      <c r="AA21" s="21">
        <f>EXP(-LN(2)/25)*AA20+(1-EXP(-LN(2)/25))/(LN(2)/25)*Calculateur!V21*Calculateur!X21*VLOOKUP('Données projet'!$B$9,Paramètres!$A$1:$I$89,3,0)*0.475*44/12</f>
        <v>8.7360490638863872</v>
      </c>
      <c r="AB21" s="21">
        <f>EXP(-LN(2)/2)*AB20+(1-EXP(-LN(2)/2))/(LN(2)/2)*V21*Y21*VLOOKUP('Données projet'!$B$9,Paramètres!$A$1:$I$89,3,0)*0.475*44/12</f>
        <v>8.2145515491381467</v>
      </c>
      <c r="AC21" s="22">
        <f t="shared" si="3"/>
        <v>24.472870207262911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0</v>
      </c>
      <c r="AI21" s="13">
        <f>IF('Données projet'!$A$62&gt;35,AI20+AH21-AQ20,IF(A21&lt;'Données projet'!$A$62,$AF$205^A21,IF(A21='Données projet'!$A$62,'Données projet'!$B$62,AI20+AH21-AQ20)))</f>
        <v>0</v>
      </c>
      <c r="AJ21" s="13" t="e">
        <f>AI21*VLOOKUP('Données projet'!$B$10,Paramètres!$A$1:$I$89,3,0)*VLOOKUP('Données projet'!$B$10,Paramètres!$A$1:$I$89,5,0)</f>
        <v>#N/A</v>
      </c>
      <c r="AK21" s="13" t="e">
        <f t="shared" si="35"/>
        <v>#N/A</v>
      </c>
      <c r="AL21" s="20" t="e">
        <f t="shared" si="4"/>
        <v>#N/A</v>
      </c>
      <c r="AM21" s="59" t="e">
        <f t="shared" si="5"/>
        <v>#N/A</v>
      </c>
      <c r="AN21" s="59" t="e">
        <f ca="1">AVERAGE(OFFSET($AM$3,0,0,'Données projet'!$E$10+1,1))-AVERAGE(OFFSET($H$3,0,0,'Données projet'!$E$10+1,1))</f>
        <v>#N/A</v>
      </c>
      <c r="AO21" s="59" t="e">
        <f t="shared" si="36"/>
        <v>#N/A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 t="e">
        <f>EXP(-LN(2)/35)*AU20+(1-EXP(-LN(2)/35))/(LN(2)/35)*AQ21*AR21*VLOOKUP('Données projet'!$B$10,Paramètres!$A$1:$I$89,3,0)*0.475*44/12</f>
        <v>#N/A</v>
      </c>
      <c r="AV21" s="21" t="e">
        <f>EXP(-LN(2)/25)*AV20+(1-EXP(-LN(2)/25))/(LN(2)/25)*Calculateur!AQ21*Calculateur!AS21*VLOOKUP('Données projet'!$B$10,Paramètres!$A$1:$I$89,3,0)*0.475*44/12</f>
        <v>#N/A</v>
      </c>
      <c r="AW21" s="21" t="e">
        <f>EXP(-LN(2)/2)*AW20+(1-EXP(-LN(2)/2))/(LN(2)/2)*AQ21*AT21*VLOOKUP('Données projet'!$B$10,Paramètres!$A$1:$I$89,3,0)*0.475*44/12</f>
        <v>#N/A</v>
      </c>
      <c r="AX21" s="21" t="e">
        <f t="shared" si="6"/>
        <v>#N/A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1">
        <f t="shared" si="32"/>
        <v>5.6026651130643481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67">
        <f t="shared" si="1"/>
        <v>295.84975173858709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>
        <f>VLOOKUP(A22,'Données projet'!$A$35:$I$55,2,0)</f>
        <v>142</v>
      </c>
      <c r="L22" s="12">
        <f>VLOOKUP(A22,'Données projet'!$A$35:$I$55,9,0)</f>
        <v>16</v>
      </c>
      <c r="M22" s="12">
        <f t="array" ref="M22">INDEX(L:L,MIN(IF(ISNUMBER(L22:L218),ROW(L22:L218),"")))</f>
        <v>16</v>
      </c>
      <c r="N22" s="13">
        <f>IF('Données projet'!$A$36&gt;35,N21+M22-V21,IF(A22&lt;'Données projet'!$A$36,$K$205^A22,IF(A22='Données projet'!$A$36,'Données projet'!$B$36,N21+M22-V21)))</f>
        <v>142</v>
      </c>
      <c r="O22" s="13">
        <f>N22*VLOOKUP('Données projet'!$B$9,Paramètres!$A$1:$I$89,3,0)*VLOOKUP('Données projet'!$B$9,Paramètres!$A$1:$I$89,5,0)</f>
        <v>84.916000000000011</v>
      </c>
      <c r="P22" s="13">
        <f t="shared" si="33"/>
        <v>23.33496813320572</v>
      </c>
      <c r="Q22" s="20">
        <f t="shared" si="2"/>
        <v>188.53710283199996</v>
      </c>
      <c r="R22" s="59">
        <f t="shared" si="0"/>
        <v>468.42599172088882</v>
      </c>
      <c r="S22" s="59">
        <f ca="1">AVERAGE(OFFSET($R$3,0,0,'Données projet'!$E$9+1,1))-AVERAGE(OFFSET($H$3,0,0,'Données projet'!$E$9+1,1))</f>
        <v>161.92866721009744</v>
      </c>
      <c r="T22" s="59">
        <f t="shared" si="34"/>
        <v>327.23695023676987</v>
      </c>
      <c r="U22" s="15">
        <f>IF(ISNA(VLOOKUP(A22,'Données projet'!$A$35:$I$55,3,0)),0,VLOOKUP(A22,'Données projet'!$A$35:$I$55,3,0))</f>
        <v>7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7.3747624756267749</v>
      </c>
      <c r="AA22" s="21">
        <f>EXP(-LN(2)/25)*AA21+(1-EXP(-LN(2)/25))/(LN(2)/25)*Calculateur!V22*Calculateur!X22*VLOOKUP('Données projet'!$B$9,Paramètres!$A$1:$I$89,3,0)*0.475*44/12</f>
        <v>8.4971613428255601</v>
      </c>
      <c r="AB22" s="21">
        <f>EXP(-LN(2)/2)*AB21+(1-EXP(-LN(2)/2))/(LN(2)/2)*V22*Y22*VLOOKUP('Données projet'!$B$9,Paramètres!$A$1:$I$89,3,0)*0.475*44/12</f>
        <v>5.8085651048020432</v>
      </c>
      <c r="AC22" s="22">
        <f t="shared" si="3"/>
        <v>21.680488923254376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0</v>
      </c>
      <c r="AI22" s="13">
        <f>IF('Données projet'!$A$62&gt;35,AI21+AH22-AQ21,IF(A22&lt;'Données projet'!$A$62,$AF$205^A22,IF(A22='Données projet'!$A$62,'Données projet'!$B$62,AI21+AH22-AQ21)))</f>
        <v>0</v>
      </c>
      <c r="AJ22" s="13" t="e">
        <f>AI22*VLOOKUP('Données projet'!$B$10,Paramètres!$A$1:$I$89,3,0)*VLOOKUP('Données projet'!$B$10,Paramètres!$A$1:$I$89,5,0)</f>
        <v>#N/A</v>
      </c>
      <c r="AK22" s="13" t="e">
        <f t="shared" si="35"/>
        <v>#N/A</v>
      </c>
      <c r="AL22" s="20" t="e">
        <f t="shared" si="4"/>
        <v>#N/A</v>
      </c>
      <c r="AM22" s="59" t="e">
        <f t="shared" si="5"/>
        <v>#N/A</v>
      </c>
      <c r="AN22" s="59" t="e">
        <f ca="1">AVERAGE(OFFSET($AM$3,0,0,'Données projet'!$E$10+1,1))-AVERAGE(OFFSET($H$3,0,0,'Données projet'!$E$10+1,1))</f>
        <v>#N/A</v>
      </c>
      <c r="AO22" s="59" t="e">
        <f t="shared" si="36"/>
        <v>#N/A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 t="e">
        <f>EXP(-LN(2)/35)*AU21+(1-EXP(-LN(2)/35))/(LN(2)/35)*AQ22*AR22*VLOOKUP('Données projet'!$B$10,Paramètres!$A$1:$I$89,3,0)*0.475*44/12</f>
        <v>#N/A</v>
      </c>
      <c r="AV22" s="21" t="e">
        <f>EXP(-LN(2)/25)*AV21+(1-EXP(-LN(2)/25))/(LN(2)/25)*Calculateur!AQ22*Calculateur!AS22*VLOOKUP('Données projet'!$B$10,Paramètres!$A$1:$I$89,3,0)*0.475*44/12</f>
        <v>#N/A</v>
      </c>
      <c r="AW22" s="21" t="e">
        <f>EXP(-LN(2)/2)*AW21+(1-EXP(-LN(2)/2))/(LN(2)/2)*AQ22*AT22*VLOOKUP('Données projet'!$B$10,Paramètres!$A$1:$I$89,3,0)*0.475*44/12</f>
        <v>#N/A</v>
      </c>
      <c r="AX22" s="21" t="e">
        <f t="shared" si="6"/>
        <v>#N/A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1">
        <f t="shared" si="32"/>
        <v>5.862435622634961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67">
        <f t="shared" si="1"/>
        <v>297.85087537608922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18.333333333333332</v>
      </c>
      <c r="N23" s="13">
        <f>IF('Données projet'!$A$36&gt;35,N22+M23-V22,IF(A23&lt;'Données projet'!$A$36,$K$205^A23,IF(A23='Données projet'!$A$36,'Données projet'!$B$36,N22+M23-V22)))</f>
        <v>160.33333333333334</v>
      </c>
      <c r="O23" s="13">
        <f>N23*VLOOKUP('Données projet'!$B$9,Paramètres!$A$1:$I$89,3,0)*VLOOKUP('Données projet'!$B$9,Paramètres!$A$1:$I$89,5,0)</f>
        <v>95.879333333333349</v>
      </c>
      <c r="P23" s="13">
        <f t="shared" si="33"/>
        <v>25.977914306392684</v>
      </c>
      <c r="Q23" s="20">
        <f t="shared" si="2"/>
        <v>212.23470630585618</v>
      </c>
      <c r="R23" s="59">
        <f t="shared" si="0"/>
        <v>493.34581741696729</v>
      </c>
      <c r="S23" s="59">
        <f ca="1">AVERAGE(OFFSET($R$3,0,0,'Données projet'!$E$9+1,1))-AVERAGE(OFFSET($H$3,0,0,'Données projet'!$E$9+1,1))</f>
        <v>161.92866721009744</v>
      </c>
      <c r="T23" s="59">
        <f t="shared" si="34"/>
        <v>327.23695023676987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7.2301478816406872</v>
      </c>
      <c r="AA23" s="21">
        <f>EXP(-LN(2)/25)*AA22+(1-EXP(-LN(2)/25))/(LN(2)/25)*Calculateur!V23*Calculateur!X23*VLOOKUP('Données projet'!$B$9,Paramètres!$A$1:$I$89,3,0)*0.475*44/12</f>
        <v>8.2648060190597015</v>
      </c>
      <c r="AB23" s="21">
        <f>EXP(-LN(2)/2)*AB22+(1-EXP(-LN(2)/2))/(LN(2)/2)*V23*Y23*VLOOKUP('Données projet'!$B$9,Paramètres!$A$1:$I$89,3,0)*0.475*44/12</f>
        <v>4.1072757745690742</v>
      </c>
      <c r="AC23" s="22">
        <f t="shared" si="3"/>
        <v>19.602229675269463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0</v>
      </c>
      <c r="AI23" s="13">
        <f>IF('Données projet'!$A$62&gt;35,AI22+AH23-AQ22,IF(A23&lt;'Données projet'!$A$62,$AF$205^A23,IF(A23='Données projet'!$A$62,'Données projet'!$B$62,AI22+AH23-AQ22)))</f>
        <v>0</v>
      </c>
      <c r="AJ23" s="13" t="e">
        <f>AI23*VLOOKUP('Données projet'!$B$10,Paramètres!$A$1:$I$89,3,0)*VLOOKUP('Données projet'!$B$10,Paramètres!$A$1:$I$89,5,0)</f>
        <v>#N/A</v>
      </c>
      <c r="AK23" s="13" t="e">
        <f t="shared" si="35"/>
        <v>#N/A</v>
      </c>
      <c r="AL23" s="20" t="e">
        <f t="shared" si="4"/>
        <v>#N/A</v>
      </c>
      <c r="AM23" s="59" t="e">
        <f t="shared" si="5"/>
        <v>#N/A</v>
      </c>
      <c r="AN23" s="59" t="e">
        <f ca="1">AVERAGE(OFFSET($AM$3,0,0,'Données projet'!$E$10+1,1))-AVERAGE(OFFSET($H$3,0,0,'Données projet'!$E$10+1,1))</f>
        <v>#N/A</v>
      </c>
      <c r="AO23" s="59" t="e">
        <f t="shared" si="36"/>
        <v>#N/A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 t="e">
        <f>EXP(-LN(2)/35)*AU22+(1-EXP(-LN(2)/35))/(LN(2)/35)*AQ23*AR23*VLOOKUP('Données projet'!$B$10,Paramètres!$A$1:$I$89,3,0)*0.475*44/12</f>
        <v>#N/A</v>
      </c>
      <c r="AV23" s="21" t="e">
        <f>EXP(-LN(2)/25)*AV22+(1-EXP(-LN(2)/25))/(LN(2)/25)*Calculateur!AQ23*Calculateur!AS23*VLOOKUP('Données projet'!$B$10,Paramètres!$A$1:$I$89,3,0)*0.475*44/12</f>
        <v>#N/A</v>
      </c>
      <c r="AW23" s="21" t="e">
        <f>EXP(-LN(2)/2)*AW22+(1-EXP(-LN(2)/2))/(LN(2)/2)*AQ23*AT23*VLOOKUP('Données projet'!$B$10,Paramètres!$A$1:$I$89,3,0)*0.475*44/12</f>
        <v>#N/A</v>
      </c>
      <c r="AX23" s="21" t="e">
        <f t="shared" si="6"/>
        <v>#N/A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1">
        <f t="shared" si="32"/>
        <v>6.1206979954107776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67">
        <f t="shared" si="1"/>
        <v>299.84937234200714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18.333333333333332</v>
      </c>
      <c r="N24" s="13">
        <f>IF('Données projet'!$A$36&gt;35,N23+M24-V23,IF(A24&lt;'Données projet'!$A$36,$K$205^A24,IF(A24='Données projet'!$A$36,'Données projet'!$B$36,N23+M24-V23)))</f>
        <v>178.66666666666669</v>
      </c>
      <c r="O24" s="13">
        <f>N24*VLOOKUP('Données projet'!$B$9,Paramètres!$A$1:$I$89,3,0)*VLOOKUP('Données projet'!$B$9,Paramètres!$A$1:$I$89,5,0)</f>
        <v>106.84266666666669</v>
      </c>
      <c r="P24" s="13">
        <f t="shared" si="33"/>
        <v>28.585836049762431</v>
      </c>
      <c r="Q24" s="20">
        <f t="shared" si="2"/>
        <v>235.87130889778066</v>
      </c>
      <c r="R24" s="59">
        <f t="shared" si="0"/>
        <v>518.20464223111401</v>
      </c>
      <c r="S24" s="59">
        <f ca="1">AVERAGE(OFFSET($R$3,0,0,'Données projet'!$E$9+1,1))-AVERAGE(OFFSET($H$3,0,0,'Données projet'!$E$9+1,1))</f>
        <v>161.92866721009744</v>
      </c>
      <c r="T24" s="59">
        <f t="shared" si="34"/>
        <v>327.23695023676987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7.0883690916364746</v>
      </c>
      <c r="AA24" s="21">
        <f>EXP(-LN(2)/25)*AA23+(1-EXP(-LN(2)/25))/(LN(2)/25)*Calculateur!V24*Calculateur!X24*VLOOKUP('Données projet'!$B$9,Paramètres!$A$1:$I$89,3,0)*0.475*44/12</f>
        <v>8.0388044638412541</v>
      </c>
      <c r="AB24" s="21">
        <f>EXP(-LN(2)/2)*AB23+(1-EXP(-LN(2)/2))/(LN(2)/2)*V24*Y24*VLOOKUP('Données projet'!$B$9,Paramètres!$A$1:$I$89,3,0)*0.475*44/12</f>
        <v>2.9042825524010221</v>
      </c>
      <c r="AC24" s="22">
        <f t="shared" si="3"/>
        <v>18.03145610787875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0</v>
      </c>
      <c r="AI24" s="13">
        <f>IF('Données projet'!$A$62&gt;35,AI23+AH24-AQ23,IF(A24&lt;'Données projet'!$A$62,$AF$205^A24,IF(A24='Données projet'!$A$62,'Données projet'!$B$62,AI23+AH24-AQ23)))</f>
        <v>0</v>
      </c>
      <c r="AJ24" s="13" t="e">
        <f>AI24*VLOOKUP('Données projet'!$B$10,Paramètres!$A$1:$I$89,3,0)*VLOOKUP('Données projet'!$B$10,Paramètres!$A$1:$I$89,5,0)</f>
        <v>#N/A</v>
      </c>
      <c r="AK24" s="13" t="e">
        <f t="shared" si="35"/>
        <v>#N/A</v>
      </c>
      <c r="AL24" s="20" t="e">
        <f t="shared" si="4"/>
        <v>#N/A</v>
      </c>
      <c r="AM24" s="59" t="e">
        <f t="shared" si="5"/>
        <v>#N/A</v>
      </c>
      <c r="AN24" s="59" t="e">
        <f ca="1">AVERAGE(OFFSET($AM$3,0,0,'Données projet'!$E$10+1,1))-AVERAGE(OFFSET($H$3,0,0,'Données projet'!$E$10+1,1))</f>
        <v>#N/A</v>
      </c>
      <c r="AO24" s="59" t="e">
        <f t="shared" si="36"/>
        <v>#N/A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 t="e">
        <f>EXP(-LN(2)/35)*AU23+(1-EXP(-LN(2)/35))/(LN(2)/35)*AQ24*AR24*VLOOKUP('Données projet'!$B$10,Paramètres!$A$1:$I$89,3,0)*0.475*44/12</f>
        <v>#N/A</v>
      </c>
      <c r="AV24" s="21" t="e">
        <f>EXP(-LN(2)/25)*AV23+(1-EXP(-LN(2)/25))/(LN(2)/25)*Calculateur!AQ24*Calculateur!AS24*VLOOKUP('Données projet'!$B$10,Paramètres!$A$1:$I$89,3,0)*0.475*44/12</f>
        <v>#N/A</v>
      </c>
      <c r="AW24" s="21" t="e">
        <f>EXP(-LN(2)/2)*AW23+(1-EXP(-LN(2)/2))/(LN(2)/2)*AQ24*AT24*VLOOKUP('Données projet'!$B$10,Paramètres!$A$1:$I$89,3,0)*0.475*44/12</f>
        <v>#N/A</v>
      </c>
      <c r="AX24" s="21" t="e">
        <f t="shared" si="6"/>
        <v>#N/A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1">
        <f t="shared" si="32"/>
        <v>6.3775322468881095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67">
        <f t="shared" si="1"/>
        <v>301.84538199666349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>
        <f>VLOOKUP(A25,'Données projet'!$A$35:$I$55,2,0)</f>
        <v>197</v>
      </c>
      <c r="L25" s="12">
        <f>VLOOKUP(A25,'Données projet'!$A$35:$I$55,9,0)</f>
        <v>18.333333333333332</v>
      </c>
      <c r="M25" s="12">
        <f t="array" ref="M25">INDEX(L:L,MIN(IF(ISNUMBER(L25:L221),ROW(L25:L221),"")))</f>
        <v>18.333333333333332</v>
      </c>
      <c r="N25" s="13">
        <f>IF('Données projet'!$A$36&gt;35,N24+M25-V24,IF(A25&lt;'Données projet'!$A$36,$K$205^A25,IF(A25='Données projet'!$A$36,'Données projet'!$B$36,N24+M25-V24)))</f>
        <v>197.00000000000003</v>
      </c>
      <c r="O25" s="13">
        <f>N25*VLOOKUP('Données projet'!$B$9,Paramètres!$A$1:$I$89,3,0)*VLOOKUP('Données projet'!$B$9,Paramètres!$A$1:$I$89,5,0)</f>
        <v>117.80600000000003</v>
      </c>
      <c r="P25" s="13">
        <f t="shared" si="33"/>
        <v>31.162736572430632</v>
      </c>
      <c r="Q25" s="20">
        <f t="shared" si="2"/>
        <v>259.45388286365005</v>
      </c>
      <c r="R25" s="59">
        <f t="shared" si="0"/>
        <v>543.00943841920559</v>
      </c>
      <c r="S25" s="59">
        <f ca="1">AVERAGE(OFFSET($R$3,0,0,'Données projet'!$E$9+1,1))-AVERAGE(OFFSET($H$3,0,0,'Données projet'!$E$9+1,1))</f>
        <v>161.92866721009744</v>
      </c>
      <c r="T25" s="59">
        <f t="shared" si="34"/>
        <v>327.23695023676987</v>
      </c>
      <c r="U25" s="15">
        <f>IF(ISNA(VLOOKUP(A25,'Données projet'!$A$35:$I$55,3,0)),0,VLOOKUP(A25,'Données projet'!$A$35:$I$55,3,0))</f>
        <v>8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6.9493704972277213</v>
      </c>
      <c r="AA25" s="21">
        <f>EXP(-LN(2)/25)*AA24+(1-EXP(-LN(2)/25))/(LN(2)/25)*Calculateur!V25*Calculateur!X25*VLOOKUP('Données projet'!$B$9,Paramètres!$A$1:$I$89,3,0)*0.475*44/12</f>
        <v>7.8189829330351612</v>
      </c>
      <c r="AB25" s="21">
        <f>EXP(-LN(2)/2)*AB24+(1-EXP(-LN(2)/2))/(LN(2)/2)*V25*Y25*VLOOKUP('Données projet'!$B$9,Paramètres!$A$1:$I$89,3,0)*0.475*44/12</f>
        <v>2.0536378872845376</v>
      </c>
      <c r="AC25" s="22">
        <f t="shared" si="3"/>
        <v>16.821991317547422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0</v>
      </c>
      <c r="AI25" s="13">
        <f>IF('Données projet'!$A$62&gt;35,AI24+AH25-AQ24,IF(A25&lt;'Données projet'!$A$62,$AF$205^A25,IF(A25='Données projet'!$A$62,'Données projet'!$B$62,AI24+AH25-AQ24)))</f>
        <v>0</v>
      </c>
      <c r="AJ25" s="13" t="e">
        <f>AI25*VLOOKUP('Données projet'!$B$10,Paramètres!$A$1:$I$89,3,0)*VLOOKUP('Données projet'!$B$10,Paramètres!$A$1:$I$89,5,0)</f>
        <v>#N/A</v>
      </c>
      <c r="AK25" s="13" t="e">
        <f t="shared" si="35"/>
        <v>#N/A</v>
      </c>
      <c r="AL25" s="20" t="e">
        <f t="shared" si="4"/>
        <v>#N/A</v>
      </c>
      <c r="AM25" s="59" t="e">
        <f t="shared" si="5"/>
        <v>#N/A</v>
      </c>
      <c r="AN25" s="59" t="e">
        <f ca="1">AVERAGE(OFFSET($AM$3,0,0,'Données projet'!$E$10+1,1))-AVERAGE(OFFSET($H$3,0,0,'Données projet'!$E$10+1,1))</f>
        <v>#N/A</v>
      </c>
      <c r="AO25" s="59" t="e">
        <f t="shared" si="36"/>
        <v>#N/A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 t="e">
        <f>EXP(-LN(2)/35)*AU24+(1-EXP(-LN(2)/35))/(LN(2)/35)*AQ25*AR25*VLOOKUP('Données projet'!$B$10,Paramètres!$A$1:$I$89,3,0)*0.475*44/12</f>
        <v>#N/A</v>
      </c>
      <c r="AV25" s="21" t="e">
        <f>EXP(-LN(2)/25)*AV24+(1-EXP(-LN(2)/25))/(LN(2)/25)*Calculateur!AQ25*Calculateur!AS25*VLOOKUP('Données projet'!$B$10,Paramètres!$A$1:$I$89,3,0)*0.475*44/12</f>
        <v>#N/A</v>
      </c>
      <c r="AW25" s="21" t="e">
        <f>EXP(-LN(2)/2)*AW24+(1-EXP(-LN(2)/2))/(LN(2)/2)*AQ25*AT25*VLOOKUP('Données projet'!$B$10,Paramètres!$A$1:$I$89,3,0)*0.475*44/12</f>
        <v>#N/A</v>
      </c>
      <c r="AX25" s="21" t="e">
        <f t="shared" si="6"/>
        <v>#N/A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1">
        <f t="shared" si="32"/>
        <v>6.6330107072474558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67">
        <f t="shared" si="1"/>
        <v>303.83903031512267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>
        <f>VLOOKUP(A26,'Données projet'!$A$35:$I$55,2,0)</f>
        <v>215</v>
      </c>
      <c r="L26" s="12">
        <f>VLOOKUP(A26,'Données projet'!$A$35:$I$55,9,0)</f>
        <v>18</v>
      </c>
      <c r="M26" s="12">
        <f t="array" ref="M26">INDEX(L:L,MIN(IF(ISNUMBER(L26:L222),ROW(L26:L222),"")))</f>
        <v>18</v>
      </c>
      <c r="N26" s="13">
        <f>IF('Données projet'!$A$36&gt;35,N25+M26-V25,IF(A26&lt;'Données projet'!$A$36,$K$205^A26,IF(A26='Données projet'!$A$36,'Données projet'!$B$36,N25+M26-V25)))</f>
        <v>215.00000000000003</v>
      </c>
      <c r="O26" s="13">
        <f>N26*VLOOKUP('Données projet'!$B$9,Paramètres!$A$1:$I$89,3,0)*VLOOKUP('Données projet'!$B$9,Paramètres!$A$1:$I$89,5,0)</f>
        <v>128.57000000000002</v>
      </c>
      <c r="P26" s="13">
        <f t="shared" si="33"/>
        <v>33.665715905233277</v>
      </c>
      <c r="Q26" s="20">
        <f t="shared" si="2"/>
        <v>282.56053853494797</v>
      </c>
      <c r="R26" s="59">
        <f t="shared" si="0"/>
        <v>567.33831631272574</v>
      </c>
      <c r="S26" s="59">
        <f ca="1">AVERAGE(OFFSET($R$3,0,0,'Données projet'!$E$9+1,1))-AVERAGE(OFFSET($H$3,0,0,'Données projet'!$E$9+1,1))</f>
        <v>161.92866721009744</v>
      </c>
      <c r="T26" s="59">
        <f t="shared" si="34"/>
        <v>327.23695023676987</v>
      </c>
      <c r="U26" s="15">
        <f>IF(ISNA(VLOOKUP(A26,'Données projet'!$A$35:$I$55,3,0)),0,VLOOKUP(A26,'Données projet'!$A$35:$I$55,3,0))</f>
        <v>9</v>
      </c>
      <c r="V26" s="15">
        <f>IF(ISNA(VLOOKUP(A26,'Données projet'!$A$35:$I$55,4,0)),0,VLOOKUP(A26,'Données projet'!$A$35:$I$55,4,0))</f>
        <v>52</v>
      </c>
      <c r="W26" s="16">
        <f>IF(ISNA(VLOOKUP(A26,'Données projet'!$A$35:$I$55,5,0)),0%,VLOOKUP(A26,'Données projet'!$A$35:$I$55,5,0)*VLOOKUP('Données projet'!$B$9,Paramètres!$A$1:$I$89,7,0))</f>
        <v>0.27</v>
      </c>
      <c r="X26" s="16">
        <f>IF(ISNA(VLOOKUP(A26,'Données projet'!$A$35:$I$55,6,0)),0%,VLOOKUP(A26,'Données projet'!$A$35:$I$55,6,0)*VLOOKUP('Données projet'!$B$9,Paramètres!$A$1:$I$89,7,0))</f>
        <v>9.9000000000000005E-2</v>
      </c>
      <c r="Y26" s="16">
        <f>IF(ISNA(VLOOKUP(A26,'Données projet'!$A$35:$I$55,7,0)),0%,VLOOKUP(A26,'Données projet'!$A$35:$I$55,7,0))</f>
        <v>0.18</v>
      </c>
      <c r="Z26" s="21">
        <f>EXP(-LN(2)/35)*Z25+(1-EXP(-LN(2)/35))/(LN(2)/35)*V26*W26*VLOOKUP('Données projet'!$B$9,Paramètres!$A$1:$I$89,3,0)*0.475*44/12</f>
        <v>17.950826623188497</v>
      </c>
      <c r="AA26" s="21">
        <f>EXP(-LN(2)/25)*AA25+(1-EXP(-LN(2)/25))/(LN(2)/25)*Calculateur!V26*Calculateur!X26*VLOOKUP('Données projet'!$B$9,Paramètres!$A$1:$I$89,3,0)*0.475*44/12</f>
        <v>11.672926805426151</v>
      </c>
      <c r="AB26" s="21">
        <f>EXP(-LN(2)/2)*AB25+(1-EXP(-LN(2)/2))/(LN(2)/2)*V26*Y26*VLOOKUP('Données projet'!$B$9,Paramètres!$A$1:$I$89,3,0)*0.475*44/12</f>
        <v>7.7895624704994475</v>
      </c>
      <c r="AC26" s="22">
        <f t="shared" si="3"/>
        <v>37.413315899114096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0</v>
      </c>
      <c r="AI26" s="13">
        <f>IF('Données projet'!$A$62&gt;35,AI25+AH26-AQ25,IF(A26&lt;'Données projet'!$A$62,$AF$205^A26,IF(A26='Données projet'!$A$62,'Données projet'!$B$62,AI25+AH26-AQ25)))</f>
        <v>0</v>
      </c>
      <c r="AJ26" s="13" t="e">
        <f>AI26*VLOOKUP('Données projet'!$B$10,Paramètres!$A$1:$I$89,3,0)*VLOOKUP('Données projet'!$B$10,Paramètres!$A$1:$I$89,5,0)</f>
        <v>#N/A</v>
      </c>
      <c r="AK26" s="13" t="e">
        <f t="shared" si="35"/>
        <v>#N/A</v>
      </c>
      <c r="AL26" s="20" t="e">
        <f t="shared" si="4"/>
        <v>#N/A</v>
      </c>
      <c r="AM26" s="59" t="e">
        <f t="shared" si="5"/>
        <v>#N/A</v>
      </c>
      <c r="AN26" s="59" t="e">
        <f ca="1">AVERAGE(OFFSET($AM$3,0,0,'Données projet'!$E$10+1,1))-AVERAGE(OFFSET($H$3,0,0,'Données projet'!$E$10+1,1))</f>
        <v>#N/A</v>
      </c>
      <c r="AO26" s="59" t="e">
        <f t="shared" si="36"/>
        <v>#N/A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 t="e">
        <f>EXP(-LN(2)/35)*AU25+(1-EXP(-LN(2)/35))/(LN(2)/35)*AQ26*AR26*VLOOKUP('Données projet'!$B$10,Paramètres!$A$1:$I$89,3,0)*0.475*44/12</f>
        <v>#N/A</v>
      </c>
      <c r="AV26" s="21" t="e">
        <f>EXP(-LN(2)/25)*AV25+(1-EXP(-LN(2)/25))/(LN(2)/25)*Calculateur!AQ26*Calculateur!AS26*VLOOKUP('Données projet'!$B$10,Paramètres!$A$1:$I$89,3,0)*0.475*44/12</f>
        <v>#N/A</v>
      </c>
      <c r="AW26" s="21" t="e">
        <f>EXP(-LN(2)/2)*AW25+(1-EXP(-LN(2)/2))/(LN(2)/2)*AQ26*AT26*VLOOKUP('Données projet'!$B$10,Paramètres!$A$1:$I$89,3,0)*0.475*44/12</f>
        <v>#N/A</v>
      </c>
      <c r="AX26" s="21" t="e">
        <f t="shared" si="6"/>
        <v>#N/A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1">
        <f t="shared" si="32"/>
        <v>6.8871990614123195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67">
        <f t="shared" si="1"/>
        <v>305.83043169862646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>
        <f>VLOOKUP(A27,'Données projet'!$A$35:$I$55,2,0)</f>
        <v>177</v>
      </c>
      <c r="L27" s="12">
        <f>VLOOKUP(A27,'Données projet'!$A$35:$I$55,9,0)</f>
        <v>14</v>
      </c>
      <c r="M27" s="12">
        <f t="array" ref="M27">INDEX(L:L,MIN(IF(ISNUMBER(L27:L223),ROW(L27:L223),"")))</f>
        <v>14</v>
      </c>
      <c r="N27" s="13">
        <f>IF('Données projet'!$A$36&gt;35,N26+M27-V26,IF(A27&lt;'Données projet'!$A$36,$K$205^A27,IF(A27='Données projet'!$A$36,'Données projet'!$B$36,N26+M27-V26)))</f>
        <v>177.00000000000003</v>
      </c>
      <c r="O27" s="13">
        <f>N27*VLOOKUP('Données projet'!$B$9,Paramètres!$A$1:$I$89,3,0)*VLOOKUP('Données projet'!$B$9,Paramètres!$A$1:$I$89,5,0)</f>
        <v>105.84600000000002</v>
      </c>
      <c r="P27" s="13">
        <f t="shared" si="33"/>
        <v>28.350087862757704</v>
      </c>
      <c r="Q27" s="20">
        <f t="shared" si="2"/>
        <v>233.72485302763639</v>
      </c>
      <c r="R27" s="59">
        <f t="shared" si="0"/>
        <v>519.72485302763641</v>
      </c>
      <c r="S27" s="59">
        <f ca="1">AVERAGE(OFFSET($R$3,0,0,'Données projet'!$E$9+1,1))-AVERAGE(OFFSET($H$3,0,0,'Données projet'!$E$9+1,1))</f>
        <v>161.92866721009744</v>
      </c>
      <c r="T27" s="59">
        <f t="shared" si="34"/>
        <v>327.23695023676987</v>
      </c>
      <c r="U27" s="15">
        <f>IF(ISNA(VLOOKUP(A27,'Données projet'!$A$35:$I$55,3,0)),0,VLOOKUP(A27,'Données projet'!$A$35:$I$55,3,0))</f>
        <v>10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17.598821862030896</v>
      </c>
      <c r="AA27" s="21">
        <f>EXP(-LN(2)/25)*AA26+(1-EXP(-LN(2)/25))/(LN(2)/25)*Calculateur!V27*Calculateur!X27*VLOOKUP('Données projet'!$B$9,Paramètres!$A$1:$I$89,3,0)*0.475*44/12</f>
        <v>11.35373000807923</v>
      </c>
      <c r="AB27" s="21">
        <f>EXP(-LN(2)/2)*AB26+(1-EXP(-LN(2)/2))/(LN(2)/2)*V27*Y27*VLOOKUP('Données projet'!$B$9,Paramètres!$A$1:$I$89,3,0)*0.475*44/12</f>
        <v>5.5080524453663955</v>
      </c>
      <c r="AC27" s="22">
        <f t="shared" si="3"/>
        <v>34.460604315476523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0</v>
      </c>
      <c r="AI27" s="13">
        <f>IF('Données projet'!$A$62&gt;35,AI26+AH27-AQ26,IF(A27&lt;'Données projet'!$A$62,$AF$205^A27,IF(A27='Données projet'!$A$62,'Données projet'!$B$62,AI26+AH27-AQ26)))</f>
        <v>0</v>
      </c>
      <c r="AJ27" s="13" t="e">
        <f>AI27*VLOOKUP('Données projet'!$B$10,Paramètres!$A$1:$I$89,3,0)*VLOOKUP('Données projet'!$B$10,Paramètres!$A$1:$I$89,5,0)</f>
        <v>#N/A</v>
      </c>
      <c r="AK27" s="13" t="e">
        <f t="shared" si="35"/>
        <v>#N/A</v>
      </c>
      <c r="AL27" s="20" t="e">
        <f t="shared" si="4"/>
        <v>#N/A</v>
      </c>
      <c r="AM27" s="59" t="e">
        <f t="shared" si="5"/>
        <v>#N/A</v>
      </c>
      <c r="AN27" s="59" t="e">
        <f ca="1">AVERAGE(OFFSET($AM$3,0,0,'Données projet'!$E$10+1,1))-AVERAGE(OFFSET($H$3,0,0,'Données projet'!$E$10+1,1))</f>
        <v>#N/A</v>
      </c>
      <c r="AO27" s="59" t="e">
        <f t="shared" si="36"/>
        <v>#N/A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 t="e">
        <f>EXP(-LN(2)/35)*AU26+(1-EXP(-LN(2)/35))/(LN(2)/35)*AQ27*AR27*VLOOKUP('Données projet'!$B$10,Paramètres!$A$1:$I$89,3,0)*0.475*44/12</f>
        <v>#N/A</v>
      </c>
      <c r="AV27" s="21" t="e">
        <f>EXP(-LN(2)/25)*AV26+(1-EXP(-LN(2)/25))/(LN(2)/25)*Calculateur!AQ27*Calculateur!AS27*VLOOKUP('Données projet'!$B$10,Paramètres!$A$1:$I$89,3,0)*0.475*44/12</f>
        <v>#N/A</v>
      </c>
      <c r="AW27" s="21" t="e">
        <f>EXP(-LN(2)/2)*AW26+(1-EXP(-LN(2)/2))/(LN(2)/2)*AQ27*AT27*VLOOKUP('Données projet'!$B$10,Paramètres!$A$1:$I$89,3,0)*0.475*44/12</f>
        <v>#N/A</v>
      </c>
      <c r="AX27" s="21" t="e">
        <f t="shared" si="6"/>
        <v>#N/A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1">
        <f t="shared" si="32"/>
        <v>7.140157210880437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67">
        <f t="shared" si="1"/>
        <v>307.81969047561677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15.666666666666666</v>
      </c>
      <c r="N28" s="13">
        <f>IF('Données projet'!$A$36&gt;35,N27+M28-V27,IF(A28&lt;'Données projet'!$A$36,$K$205^A28,IF(A28='Données projet'!$A$36,'Données projet'!$B$36,N27+M28-V27)))</f>
        <v>192.66666666666669</v>
      </c>
      <c r="O28" s="13">
        <f>N28*VLOOKUP('Données projet'!$B$9,Paramètres!$A$1:$I$89,3,0)*VLOOKUP('Données projet'!$B$9,Paramètres!$A$1:$I$89,5,0)</f>
        <v>115.21466666666669</v>
      </c>
      <c r="P28" s="13">
        <f t="shared" si="33"/>
        <v>30.556269263555691</v>
      </c>
      <c r="Q28" s="20">
        <f t="shared" si="2"/>
        <v>253.88438007847063</v>
      </c>
      <c r="R28" s="59">
        <f t="shared" si="0"/>
        <v>541.10660230069288</v>
      </c>
      <c r="S28" s="59">
        <f ca="1">AVERAGE(OFFSET($R$3,0,0,'Données projet'!$E$9+1,1))-AVERAGE(OFFSET($H$3,0,0,'Données projet'!$E$9+1,1))</f>
        <v>161.92866721009744</v>
      </c>
      <c r="T28" s="59">
        <f t="shared" si="34"/>
        <v>327.23695023676987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17.253719699537889</v>
      </c>
      <c r="AA28" s="21">
        <f>EXP(-LN(2)/25)*AA27+(1-EXP(-LN(2)/25))/(LN(2)/25)*Calculateur!V28*Calculateur!X28*VLOOKUP('Données projet'!$B$9,Paramètres!$A$1:$I$89,3,0)*0.475*44/12</f>
        <v>11.043261663941593</v>
      </c>
      <c r="AB28" s="21">
        <f>EXP(-LN(2)/2)*AB27+(1-EXP(-LN(2)/2))/(LN(2)/2)*V28*Y28*VLOOKUP('Données projet'!$B$9,Paramètres!$A$1:$I$89,3,0)*0.475*44/12</f>
        <v>3.8947812352497242</v>
      </c>
      <c r="AC28" s="22">
        <f t="shared" si="3"/>
        <v>32.191762598729206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0</v>
      </c>
      <c r="AI28" s="13">
        <f>IF('Données projet'!$A$62&gt;35,AI27+AH28-AQ27,IF(A28&lt;'Données projet'!$A$62,$AF$205^A28,IF(A28='Données projet'!$A$62,'Données projet'!$B$62,AI27+AH28-AQ27)))</f>
        <v>0</v>
      </c>
      <c r="AJ28" s="13" t="e">
        <f>AI28*VLOOKUP('Données projet'!$B$10,Paramètres!$A$1:$I$89,3,0)*VLOOKUP('Données projet'!$B$10,Paramètres!$A$1:$I$89,5,0)</f>
        <v>#N/A</v>
      </c>
      <c r="AK28" s="13" t="e">
        <f t="shared" si="35"/>
        <v>#N/A</v>
      </c>
      <c r="AL28" s="20" t="e">
        <f t="shared" si="4"/>
        <v>#N/A</v>
      </c>
      <c r="AM28" s="59" t="e">
        <f t="shared" si="5"/>
        <v>#N/A</v>
      </c>
      <c r="AN28" s="59" t="e">
        <f ca="1">AVERAGE(OFFSET($AM$3,0,0,'Données projet'!$E$10+1,1))-AVERAGE(OFFSET($H$3,0,0,'Données projet'!$E$10+1,1))</f>
        <v>#N/A</v>
      </c>
      <c r="AO28" s="59" t="e">
        <f t="shared" si="36"/>
        <v>#N/A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 t="e">
        <f>EXP(-LN(2)/35)*AU27+(1-EXP(-LN(2)/35))/(LN(2)/35)*AQ28*AR28*VLOOKUP('Données projet'!$B$10,Paramètres!$A$1:$I$89,3,0)*0.475*44/12</f>
        <v>#N/A</v>
      </c>
      <c r="AV28" s="21" t="e">
        <f>EXP(-LN(2)/25)*AV27+(1-EXP(-LN(2)/25))/(LN(2)/25)*Calculateur!AQ28*Calculateur!AS28*VLOOKUP('Données projet'!$B$10,Paramètres!$A$1:$I$89,3,0)*0.475*44/12</f>
        <v>#N/A</v>
      </c>
      <c r="AW28" s="21" t="e">
        <f>EXP(-LN(2)/2)*AW27+(1-EXP(-LN(2)/2))/(LN(2)/2)*AQ28*AT28*VLOOKUP('Données projet'!$B$10,Paramètres!$A$1:$I$89,3,0)*0.475*44/12</f>
        <v>#N/A</v>
      </c>
      <c r="AX28" s="21" t="e">
        <f t="shared" si="6"/>
        <v>#N/A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1">
        <f t="shared" si="32"/>
        <v>7.3919399937804329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67">
        <f t="shared" si="1"/>
        <v>309.80690215583428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15.666666666666666</v>
      </c>
      <c r="N29" s="13">
        <f>IF('Données projet'!$A$36&gt;35,N28+M29-V28,IF(A29&lt;'Données projet'!$A$36,$K$205^A29,IF(A29='Données projet'!$A$36,'Données projet'!$B$36,N28+M29-V28)))</f>
        <v>208.33333333333334</v>
      </c>
      <c r="O29" s="13">
        <f>N29*VLOOKUP('Données projet'!$B$9,Paramètres!$A$1:$I$89,3,0)*VLOOKUP('Données projet'!$B$9,Paramètres!$A$1:$I$89,5,0)</f>
        <v>124.58333333333334</v>
      </c>
      <c r="P29" s="13">
        <f t="shared" si="33"/>
        <v>32.741643365926784</v>
      </c>
      <c r="Q29" s="20">
        <f t="shared" si="2"/>
        <v>274.00766775121139</v>
      </c>
      <c r="R29" s="59">
        <f t="shared" si="0"/>
        <v>562.4521121956559</v>
      </c>
      <c r="S29" s="59">
        <f ca="1">AVERAGE(OFFSET($R$3,0,0,'Données projet'!$E$9+1,1))-AVERAGE(OFFSET($H$3,0,0,'Données projet'!$E$9+1,1))</f>
        <v>161.92866721009744</v>
      </c>
      <c r="T29" s="59">
        <f t="shared" si="34"/>
        <v>327.23695023676987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16.915384779959837</v>
      </c>
      <c r="AA29" s="21">
        <f>EXP(-LN(2)/25)*AA28+(1-EXP(-LN(2)/25))/(LN(2)/25)*Calculateur!V29*Calculateur!X29*VLOOKUP('Données projet'!$B$9,Paramètres!$A$1:$I$89,3,0)*0.475*44/12</f>
        <v>10.741283093001218</v>
      </c>
      <c r="AB29" s="21">
        <f>EXP(-LN(2)/2)*AB28+(1-EXP(-LN(2)/2))/(LN(2)/2)*V29*Y29*VLOOKUP('Données projet'!$B$9,Paramètres!$A$1:$I$89,3,0)*0.475*44/12</f>
        <v>2.7540262226831982</v>
      </c>
      <c r="AC29" s="22">
        <f t="shared" si="3"/>
        <v>30.410694095644253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0</v>
      </c>
      <c r="AI29" s="13">
        <f>IF('Données projet'!$A$62&gt;35,AI28+AH29-AQ28,IF(A29&lt;'Données projet'!$A$62,$AF$205^A29,IF(A29='Données projet'!$A$62,'Données projet'!$B$62,AI28+AH29-AQ28)))</f>
        <v>0</v>
      </c>
      <c r="AJ29" s="13" t="e">
        <f>AI29*VLOOKUP('Données projet'!$B$10,Paramètres!$A$1:$I$89,3,0)*VLOOKUP('Données projet'!$B$10,Paramètres!$A$1:$I$89,5,0)</f>
        <v>#N/A</v>
      </c>
      <c r="AK29" s="13" t="e">
        <f t="shared" si="35"/>
        <v>#N/A</v>
      </c>
      <c r="AL29" s="20" t="e">
        <f t="shared" si="4"/>
        <v>#N/A</v>
      </c>
      <c r="AM29" s="59" t="e">
        <f t="shared" si="5"/>
        <v>#N/A</v>
      </c>
      <c r="AN29" s="59" t="e">
        <f ca="1">AVERAGE(OFFSET($AM$3,0,0,'Données projet'!$E$10+1,1))-AVERAGE(OFFSET($H$3,0,0,'Données projet'!$E$10+1,1))</f>
        <v>#N/A</v>
      </c>
      <c r="AO29" s="59" t="e">
        <f t="shared" si="36"/>
        <v>#N/A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 t="e">
        <f>EXP(-LN(2)/35)*AU28+(1-EXP(-LN(2)/35))/(LN(2)/35)*AQ29*AR29*VLOOKUP('Données projet'!$B$10,Paramètres!$A$1:$I$89,3,0)*0.475*44/12</f>
        <v>#N/A</v>
      </c>
      <c r="AV29" s="21" t="e">
        <f>EXP(-LN(2)/25)*AV28+(1-EXP(-LN(2)/25))/(LN(2)/25)*Calculateur!AQ29*Calculateur!AS29*VLOOKUP('Données projet'!$B$10,Paramètres!$A$1:$I$89,3,0)*0.475*44/12</f>
        <v>#N/A</v>
      </c>
      <c r="AW29" s="21" t="e">
        <f>EXP(-LN(2)/2)*AW28+(1-EXP(-LN(2)/2))/(LN(2)/2)*AQ29*AT29*VLOOKUP('Données projet'!$B$10,Paramètres!$A$1:$I$89,3,0)*0.475*44/12</f>
        <v>#N/A</v>
      </c>
      <c r="AX29" s="21" t="e">
        <f t="shared" si="6"/>
        <v>#N/A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1">
        <f t="shared" si="32"/>
        <v>7.6425977910346958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67">
        <f t="shared" si="1"/>
        <v>311.79215448605208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>
        <f>VLOOKUP(A30,'Données projet'!$A$35:$I$55,2,0)</f>
        <v>224</v>
      </c>
      <c r="L30" s="12">
        <f>VLOOKUP(A30,'Données projet'!$A$35:$I$55,9,0)</f>
        <v>15.666666666666666</v>
      </c>
      <c r="M30" s="12">
        <f t="array" ref="M30">INDEX(L:L,MIN(IF(ISNUMBER(L30:L226),ROW(L30:L226),"")))</f>
        <v>15.666666666666666</v>
      </c>
      <c r="N30" s="13">
        <f>IF('Données projet'!$A$36&gt;35,N29+M30-V29,IF(A30&lt;'Données projet'!$A$36,$K$205^A30,IF(A30='Données projet'!$A$36,'Données projet'!$B$36,N29+M30-V29)))</f>
        <v>224</v>
      </c>
      <c r="O30" s="13">
        <f>N30*VLOOKUP('Données projet'!$B$9,Paramètres!$A$1:$I$89,3,0)*VLOOKUP('Données projet'!$B$9,Paramètres!$A$1:$I$89,5,0)</f>
        <v>133.95200000000003</v>
      </c>
      <c r="P30" s="13">
        <f t="shared" si="33"/>
        <v>34.907952797441666</v>
      </c>
      <c r="Q30" s="20">
        <f t="shared" si="2"/>
        <v>294.09775112221092</v>
      </c>
      <c r="R30" s="59">
        <f t="shared" si="0"/>
        <v>583.76441778887761</v>
      </c>
      <c r="S30" s="59">
        <f ca="1">AVERAGE(OFFSET($R$3,0,0,'Données projet'!$E$9+1,1))-AVERAGE(OFFSET($H$3,0,0,'Données projet'!$E$9+1,1))</f>
        <v>161.92866721009744</v>
      </c>
      <c r="T30" s="59">
        <f t="shared" si="34"/>
        <v>327.23695023676987</v>
      </c>
      <c r="U30" s="15">
        <f>IF(ISNA(VLOOKUP(A30,'Données projet'!$A$35:$I$55,3,0)),0,VLOOKUP(A30,'Données projet'!$A$35:$I$55,3,0))</f>
        <v>11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16.583684401790784</v>
      </c>
      <c r="AA30" s="21">
        <f>EXP(-LN(2)/25)*AA29+(1-EXP(-LN(2)/25))/(LN(2)/25)*Calculateur!V30*Calculateur!X30*VLOOKUP('Données projet'!$B$9,Paramètres!$A$1:$I$89,3,0)*0.475*44/12</f>
        <v>10.447562141963571</v>
      </c>
      <c r="AB30" s="21">
        <f>EXP(-LN(2)/2)*AB29+(1-EXP(-LN(2)/2))/(LN(2)/2)*V30*Y30*VLOOKUP('Données projet'!$B$9,Paramètres!$A$1:$I$89,3,0)*0.475*44/12</f>
        <v>1.9473906176248623</v>
      </c>
      <c r="AC30" s="22">
        <f t="shared" si="3"/>
        <v>28.978637161379218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0</v>
      </c>
      <c r="AI30" s="13">
        <f>IF('Données projet'!$A$62&gt;35,AI29+AH30-AQ29,IF(A30&lt;'Données projet'!$A$62,$AF$205^A30,IF(A30='Données projet'!$A$62,'Données projet'!$B$62,AI29+AH30-AQ29)))</f>
        <v>0</v>
      </c>
      <c r="AJ30" s="13" t="e">
        <f>AI30*VLOOKUP('Données projet'!$B$10,Paramètres!$A$1:$I$89,3,0)*VLOOKUP('Données projet'!$B$10,Paramètres!$A$1:$I$89,5,0)</f>
        <v>#N/A</v>
      </c>
      <c r="AK30" s="13" t="e">
        <f t="shared" si="35"/>
        <v>#N/A</v>
      </c>
      <c r="AL30" s="20" t="e">
        <f t="shared" si="4"/>
        <v>#N/A</v>
      </c>
      <c r="AM30" s="59" t="e">
        <f t="shared" si="5"/>
        <v>#N/A</v>
      </c>
      <c r="AN30" s="59" t="e">
        <f ca="1">AVERAGE(OFFSET($AM$3,0,0,'Données projet'!$E$10+1,1))-AVERAGE(OFFSET($H$3,0,0,'Données projet'!$E$10+1,1))</f>
        <v>#N/A</v>
      </c>
      <c r="AO30" s="59" t="e">
        <f t="shared" si="36"/>
        <v>#N/A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 t="e">
        <f>EXP(-LN(2)/35)*AU29+(1-EXP(-LN(2)/35))/(LN(2)/35)*AQ30*AR30*VLOOKUP('Données projet'!$B$10,Paramètres!$A$1:$I$89,3,0)*0.475*44/12</f>
        <v>#N/A</v>
      </c>
      <c r="AV30" s="21" t="e">
        <f>EXP(-LN(2)/25)*AV29+(1-EXP(-LN(2)/25))/(LN(2)/25)*Calculateur!AQ30*Calculateur!AS30*VLOOKUP('Données projet'!$B$10,Paramètres!$A$1:$I$89,3,0)*0.475*44/12</f>
        <v>#N/A</v>
      </c>
      <c r="AW30" s="21" t="e">
        <f>EXP(-LN(2)/2)*AW29+(1-EXP(-LN(2)/2))/(LN(2)/2)*AQ30*AT30*VLOOKUP('Données projet'!$B$10,Paramètres!$A$1:$I$89,3,0)*0.475*44/12</f>
        <v>#N/A</v>
      </c>
      <c r="AX30" s="21" t="e">
        <f t="shared" si="6"/>
        <v>#N/A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1">
        <f t="shared" si="32"/>
        <v>7.8921770401958202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67">
        <f t="shared" si="1"/>
        <v>313.77552834500773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15</v>
      </c>
      <c r="N31" s="13">
        <f>IF('Données projet'!$A$36&gt;35,N30+M31-V30,IF(A31&lt;'Données projet'!$A$36,$K$205^A31,IF(A31='Données projet'!$A$36,'Données projet'!$B$36,N30+M31-V30)))</f>
        <v>239</v>
      </c>
      <c r="O31" s="13">
        <f>N31*VLOOKUP('Données projet'!$B$9,Paramètres!$A$1:$I$89,3,0)*VLOOKUP('Données projet'!$B$9,Paramètres!$A$1:$I$89,5,0)</f>
        <v>142.922</v>
      </c>
      <c r="P31" s="13">
        <f t="shared" si="33"/>
        <v>36.965587791044591</v>
      </c>
      <c r="Q31" s="20">
        <f t="shared" si="2"/>
        <v>313.30421540273591</v>
      </c>
      <c r="R31" s="59">
        <f t="shared" si="0"/>
        <v>604.19310429162476</v>
      </c>
      <c r="S31" s="59">
        <f ca="1">AVERAGE(OFFSET($R$3,0,0,'Données projet'!$E$9+1,1))-AVERAGE(OFFSET($H$3,0,0,'Données projet'!$E$9+1,1))</f>
        <v>161.92866721009744</v>
      </c>
      <c r="T31" s="59">
        <f t="shared" si="34"/>
        <v>327.23695023676987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16.258488465720372</v>
      </c>
      <c r="AA31" s="21">
        <f>EXP(-LN(2)/25)*AA30+(1-EXP(-LN(2)/25))/(LN(2)/25)*Calculateur!V31*Calculateur!X31*VLOOKUP('Données projet'!$B$9,Paramètres!$A$1:$I$89,3,0)*0.475*44/12</f>
        <v>10.161873005778162</v>
      </c>
      <c r="AB31" s="21">
        <f>EXP(-LN(2)/2)*AB30+(1-EXP(-LN(2)/2))/(LN(2)/2)*V31*Y31*VLOOKUP('Données projet'!$B$9,Paramètres!$A$1:$I$89,3,0)*0.475*44/12</f>
        <v>1.3770131113415993</v>
      </c>
      <c r="AC31" s="22">
        <f t="shared" si="3"/>
        <v>27.797374582840135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0</v>
      </c>
      <c r="AI31" s="13">
        <f>IF('Données projet'!$A$62&gt;35,AI30+AH31-AQ30,IF(A31&lt;'Données projet'!$A$62,$AF$205^A31,IF(A31='Données projet'!$A$62,'Données projet'!$B$62,AI30+AH31-AQ30)))</f>
        <v>0</v>
      </c>
      <c r="AJ31" s="13" t="e">
        <f>AI31*VLOOKUP('Données projet'!$B$10,Paramètres!$A$1:$I$89,3,0)*VLOOKUP('Données projet'!$B$10,Paramètres!$A$1:$I$89,5,0)</f>
        <v>#N/A</v>
      </c>
      <c r="AK31" s="13" t="e">
        <f t="shared" si="35"/>
        <v>#N/A</v>
      </c>
      <c r="AL31" s="20" t="e">
        <f t="shared" si="4"/>
        <v>#N/A</v>
      </c>
      <c r="AM31" s="59" t="e">
        <f t="shared" si="5"/>
        <v>#N/A</v>
      </c>
      <c r="AN31" s="59" t="e">
        <f ca="1">AVERAGE(OFFSET($AM$3,0,0,'Données projet'!$E$10+1,1))-AVERAGE(OFFSET($H$3,0,0,'Données projet'!$E$10+1,1))</f>
        <v>#N/A</v>
      </c>
      <c r="AO31" s="59" t="e">
        <f t="shared" si="36"/>
        <v>#N/A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 t="e">
        <f>EXP(-LN(2)/35)*AU30+(1-EXP(-LN(2)/35))/(LN(2)/35)*AQ31*AR31*VLOOKUP('Données projet'!$B$10,Paramètres!$A$1:$I$89,3,0)*0.475*44/12</f>
        <v>#N/A</v>
      </c>
      <c r="AV31" s="21" t="e">
        <f>EXP(-LN(2)/25)*AV30+(1-EXP(-LN(2)/25))/(LN(2)/25)*Calculateur!AQ31*Calculateur!AS31*VLOOKUP('Données projet'!$B$10,Paramètres!$A$1:$I$89,3,0)*0.475*44/12</f>
        <v>#N/A</v>
      </c>
      <c r="AW31" s="21" t="e">
        <f>EXP(-LN(2)/2)*AW30+(1-EXP(-LN(2)/2))/(LN(2)/2)*AQ31*AT31*VLOOKUP('Données projet'!$B$10,Paramètres!$A$1:$I$89,3,0)*0.475*44/12</f>
        <v>#N/A</v>
      </c>
      <c r="AX31" s="21" t="e">
        <f t="shared" si="6"/>
        <v>#N/A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1">
        <f t="shared" si="32"/>
        <v>8.1407206738151334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67">
        <f t="shared" si="1"/>
        <v>315.75709850689469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15</v>
      </c>
      <c r="N32" s="13">
        <f>IF('Données projet'!$A$36&gt;35,N31+M32-V31,IF(A32&lt;'Données projet'!$A$36,$K$205^A32,IF(A32='Données projet'!$A$36,'Données projet'!$B$36,N31+M32-V31)))</f>
        <v>254</v>
      </c>
      <c r="O32" s="13">
        <f>N32*VLOOKUP('Données projet'!$B$9,Paramètres!$A$1:$I$89,3,0)*VLOOKUP('Données projet'!$B$9,Paramètres!$A$1:$I$89,5,0)</f>
        <v>151.892</v>
      </c>
      <c r="P32" s="13">
        <f t="shared" si="33"/>
        <v>39.008235247069422</v>
      </c>
      <c r="Q32" s="20">
        <f t="shared" si="2"/>
        <v>332.48457638864585</v>
      </c>
      <c r="R32" s="59">
        <f t="shared" si="0"/>
        <v>624.59568749975699</v>
      </c>
      <c r="S32" s="59">
        <f ca="1">AVERAGE(OFFSET($R$3,0,0,'Données projet'!$E$9+1,1))-AVERAGE(OFFSET($H$3,0,0,'Données projet'!$E$9+1,1))</f>
        <v>161.92866721009744</v>
      </c>
      <c r="T32" s="59">
        <f t="shared" si="34"/>
        <v>327.23695023676987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15.939669423606368</v>
      </c>
      <c r="AA32" s="21">
        <f>EXP(-LN(2)/25)*AA31+(1-EXP(-LN(2)/25))/(LN(2)/25)*Calculateur!V32*Calculateur!X32*VLOOKUP('Données projet'!$B$9,Paramètres!$A$1:$I$89,3,0)*0.475*44/12</f>
        <v>9.8839960540454825</v>
      </c>
      <c r="AB32" s="21">
        <f>EXP(-LN(2)/2)*AB31+(1-EXP(-LN(2)/2))/(LN(2)/2)*V32*Y32*VLOOKUP('Données projet'!$B$9,Paramètres!$A$1:$I$89,3,0)*0.475*44/12</f>
        <v>0.97369530881243138</v>
      </c>
      <c r="AC32" s="22">
        <f t="shared" si="3"/>
        <v>26.797360786464282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0</v>
      </c>
      <c r="AI32" s="13">
        <f>IF('Données projet'!$A$62&gt;35,AI31+AH32-AQ31,IF(A32&lt;'Données projet'!$A$62,$AF$205^A32,IF(A32='Données projet'!$A$62,'Données projet'!$B$62,AI31+AH32-AQ31)))</f>
        <v>0</v>
      </c>
      <c r="AJ32" s="13" t="e">
        <f>AI32*VLOOKUP('Données projet'!$B$10,Paramètres!$A$1:$I$89,3,0)*VLOOKUP('Données projet'!$B$10,Paramètres!$A$1:$I$89,5,0)</f>
        <v>#N/A</v>
      </c>
      <c r="AK32" s="13" t="e">
        <f t="shared" si="35"/>
        <v>#N/A</v>
      </c>
      <c r="AL32" s="20" t="e">
        <f t="shared" si="4"/>
        <v>#N/A</v>
      </c>
      <c r="AM32" s="59" t="e">
        <f t="shared" si="5"/>
        <v>#N/A</v>
      </c>
      <c r="AN32" s="59" t="e">
        <f ca="1">AVERAGE(OFFSET($AM$3,0,0,'Données projet'!$E$10+1,1))-AVERAGE(OFFSET($H$3,0,0,'Données projet'!$E$10+1,1))</f>
        <v>#N/A</v>
      </c>
      <c r="AO32" s="59" t="e">
        <f t="shared" si="36"/>
        <v>#N/A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 t="e">
        <f>EXP(-LN(2)/35)*AU31+(1-EXP(-LN(2)/35))/(LN(2)/35)*AQ32*AR32*VLOOKUP('Données projet'!$B$10,Paramètres!$A$1:$I$89,3,0)*0.475*44/12</f>
        <v>#N/A</v>
      </c>
      <c r="AV32" s="21" t="e">
        <f>EXP(-LN(2)/25)*AV31+(1-EXP(-LN(2)/25))/(LN(2)/25)*Calculateur!AQ32*Calculateur!AS32*VLOOKUP('Données projet'!$B$10,Paramètres!$A$1:$I$89,3,0)*0.475*44/12</f>
        <v>#N/A</v>
      </c>
      <c r="AW32" s="21" t="e">
        <f>EXP(-LN(2)/2)*AW31+(1-EXP(-LN(2)/2))/(LN(2)/2)*AQ32*AT32*VLOOKUP('Données projet'!$B$10,Paramètres!$A$1:$I$89,3,0)*0.475*44/12</f>
        <v>#N/A</v>
      </c>
      <c r="AX32" s="21" t="e">
        <f t="shared" si="6"/>
        <v>#N/A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1">
        <f t="shared" si="32"/>
        <v>8.388268495647786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67">
        <f t="shared" si="1"/>
        <v>317.73693429658658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269</v>
      </c>
      <c r="L33" s="12">
        <f>VLOOKUP(A33,'Données projet'!$A$35:$I$55,9,0)</f>
        <v>15</v>
      </c>
      <c r="M33" s="12">
        <f t="array" ref="M33">INDEX(L:L,MIN(IF(ISNUMBER(L33:L229),ROW(L33:L229),"")))</f>
        <v>15</v>
      </c>
      <c r="N33" s="13">
        <f>IF('Données projet'!$A$36&gt;35,N32+M33-V32,IF(A33&lt;'Données projet'!$A$36,$K$205^A33,IF(A33='Données projet'!$A$36,'Données projet'!$B$36,N32+M33-V32)))</f>
        <v>269</v>
      </c>
      <c r="O33" s="13">
        <f>N33*VLOOKUP('Données projet'!$B$9,Paramètres!$A$1:$I$89,3,0)*VLOOKUP('Données projet'!$B$9,Paramètres!$A$1:$I$89,5,0)</f>
        <v>160.86200000000002</v>
      </c>
      <c r="P33" s="13">
        <f t="shared" si="33"/>
        <v>41.03688107178359</v>
      </c>
      <c r="Q33" s="20">
        <f t="shared" si="2"/>
        <v>351.64055120002314</v>
      </c>
      <c r="R33" s="59">
        <f t="shared" si="0"/>
        <v>644.97388453335645</v>
      </c>
      <c r="S33" s="59">
        <f ca="1">AVERAGE(OFFSET($R$3,0,0,'Données projet'!$E$9+1,1))-AVERAGE(OFFSET($H$3,0,0,'Données projet'!$E$9+1,1))</f>
        <v>161.92866721009744</v>
      </c>
      <c r="T33" s="59">
        <f t="shared" si="34"/>
        <v>327.23695023676987</v>
      </c>
      <c r="U33" s="15">
        <f>IF(ISNA(VLOOKUP(A33,'Données projet'!$A$35:$I$55,3,0)),0,VLOOKUP(A33,'Données projet'!$A$35:$I$55,3,0))</f>
        <v>12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15.627102228447804</v>
      </c>
      <c r="AA33" s="21">
        <f>EXP(-LN(2)/25)*AA32+(1-EXP(-LN(2)/25))/(LN(2)/25)*Calculateur!V33*Calculateur!X33*VLOOKUP('Données projet'!$B$9,Paramètres!$A$1:$I$89,3,0)*0.475*44/12</f>
        <v>9.6137176621708473</v>
      </c>
      <c r="AB33" s="21">
        <f>EXP(-LN(2)/2)*AB32+(1-EXP(-LN(2)/2))/(LN(2)/2)*V33*Y33*VLOOKUP('Données projet'!$B$9,Paramètres!$A$1:$I$89,3,0)*0.475*44/12</f>
        <v>0.68850655567079977</v>
      </c>
      <c r="AC33" s="22">
        <f t="shared" si="3"/>
        <v>25.929326446289451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0</v>
      </c>
      <c r="AI33" s="13">
        <f>IF('Données projet'!$A$62&gt;35,AI32+AH33-AQ32,IF(A33&lt;'Données projet'!$A$62,$AF$205^A33,IF(A33='Données projet'!$A$62,'Données projet'!$B$62,AI32+AH33-AQ32)))</f>
        <v>0</v>
      </c>
      <c r="AJ33" s="13" t="e">
        <f>AI33*VLOOKUP('Données projet'!$B$10,Paramètres!$A$1:$I$89,3,0)*VLOOKUP('Données projet'!$B$10,Paramètres!$A$1:$I$89,5,0)</f>
        <v>#N/A</v>
      </c>
      <c r="AK33" s="13" t="e">
        <f t="shared" si="35"/>
        <v>#N/A</v>
      </c>
      <c r="AL33" s="20" t="e">
        <f t="shared" si="4"/>
        <v>#N/A</v>
      </c>
      <c r="AM33" s="59" t="e">
        <f t="shared" si="5"/>
        <v>#N/A</v>
      </c>
      <c r="AN33" s="59" t="e">
        <f ca="1">AVERAGE(OFFSET($AM$3,0,0,'Données projet'!$E$10+1,1))-AVERAGE(OFFSET($H$3,0,0,'Données projet'!$E$10+1,1))</f>
        <v>#N/A</v>
      </c>
      <c r="AO33" s="59" t="e">
        <f t="shared" si="36"/>
        <v>#N/A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 t="e">
        <f>EXP(-LN(2)/35)*AU32+(1-EXP(-LN(2)/35))/(LN(2)/35)*AQ33*AR33*VLOOKUP('Données projet'!$B$10,Paramètres!$A$1:$I$89,3,0)*0.475*44/12</f>
        <v>#N/A</v>
      </c>
      <c r="AV33" s="21" t="e">
        <f>EXP(-LN(2)/25)*AV32+(1-EXP(-LN(2)/25))/(LN(2)/25)*Calculateur!AQ33*Calculateur!AS33*VLOOKUP('Données projet'!$B$10,Paramètres!$A$1:$I$89,3,0)*0.475*44/12</f>
        <v>#N/A</v>
      </c>
      <c r="AW33" s="21" t="e">
        <f>EXP(-LN(2)/2)*AW32+(1-EXP(-LN(2)/2))/(LN(2)/2)*AQ33*AT33*VLOOKUP('Données projet'!$B$10,Paramètres!$A$1:$I$89,3,0)*0.475*44/12</f>
        <v>#N/A</v>
      </c>
      <c r="AX33" s="21" t="e">
        <f t="shared" si="6"/>
        <v>#N/A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1">
        <f t="shared" si="32"/>
        <v>8.6348575052881742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67">
        <f t="shared" si="1"/>
        <v>319.71510015504356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14.333333333333334</v>
      </c>
      <c r="N34" s="13">
        <f>IF('Données projet'!$A$36&gt;35,N33+M34-V33,IF(A34&lt;'Données projet'!$A$36,$K$205^A34,IF(A34='Données projet'!$A$36,'Données projet'!$B$36,N33+M34-V33)))</f>
        <v>283.33333333333331</v>
      </c>
      <c r="O34" s="13">
        <f>N34*VLOOKUP('Données projet'!$B$9,Paramètres!$A$1:$I$89,3,0)*VLOOKUP('Données projet'!$B$9,Paramètres!$A$1:$I$89,5,0)</f>
        <v>169.43333333333337</v>
      </c>
      <c r="P34" s="13">
        <f t="shared" si="33"/>
        <v>42.963084450507054</v>
      </c>
      <c r="Q34" s="20">
        <f t="shared" si="2"/>
        <v>369.92376097352206</v>
      </c>
      <c r="R34" s="59">
        <f t="shared" si="0"/>
        <v>663.25709430685538</v>
      </c>
      <c r="S34" s="59">
        <f ca="1">AVERAGE(OFFSET($R$3,0,0,'Données projet'!$E$9+1,1))-AVERAGE(OFFSET($H$3,0,0,'Données projet'!$E$9+1,1))</f>
        <v>161.92866721009744</v>
      </c>
      <c r="T34" s="59">
        <f t="shared" si="34"/>
        <v>327.23695023676987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15.320664285339134</v>
      </c>
      <c r="AA34" s="21">
        <f>EXP(-LN(2)/25)*AA33+(1-EXP(-LN(2)/25))/(LN(2)/25)*Calculateur!V34*Calculateur!X34*VLOOKUP('Données projet'!$B$9,Paramètres!$A$1:$I$89,3,0)*0.475*44/12</f>
        <v>9.3508300471353465</v>
      </c>
      <c r="AB34" s="21">
        <f>EXP(-LN(2)/2)*AB33+(1-EXP(-LN(2)/2))/(LN(2)/2)*V34*Y34*VLOOKUP('Données projet'!$B$9,Paramètres!$A$1:$I$89,3,0)*0.475*44/12</f>
        <v>0.48684765440621575</v>
      </c>
      <c r="AC34" s="22">
        <f t="shared" si="3"/>
        <v>25.158341986880696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0</v>
      </c>
      <c r="AJ34" s="13" t="e">
        <f>AI34*VLOOKUP('Données projet'!$B$10,Paramètres!$A$1:$I$89,3,0)*VLOOKUP('Données projet'!$B$10,Paramètres!$A$1:$I$89,5,0)</f>
        <v>#N/A</v>
      </c>
      <c r="AK34" s="13" t="e">
        <f t="shared" si="35"/>
        <v>#N/A</v>
      </c>
      <c r="AL34" s="20" t="e">
        <f t="shared" si="4"/>
        <v>#N/A</v>
      </c>
      <c r="AM34" s="59" t="e">
        <f t="shared" si="5"/>
        <v>#N/A</v>
      </c>
      <c r="AN34" s="59" t="e">
        <f ca="1">AVERAGE(OFFSET($AM$3,0,0,'Données projet'!$E$10+1,1))-AVERAGE(OFFSET($H$3,0,0,'Données projet'!$E$10+1,1))</f>
        <v>#N/A</v>
      </c>
      <c r="AO34" s="59" t="e">
        <f t="shared" si="36"/>
        <v>#N/A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 t="e">
        <f>EXP(-LN(2)/35)*AU33+(1-EXP(-LN(2)/35))/(LN(2)/35)*AQ34*AR34*VLOOKUP('Données projet'!$B$10,Paramètres!$A$1:$I$89,3,0)*0.475*44/12</f>
        <v>#N/A</v>
      </c>
      <c r="AV34" s="21" t="e">
        <f>EXP(-LN(2)/25)*AV33+(1-EXP(-LN(2)/25))/(LN(2)/25)*Calculateur!AQ34*Calculateur!AS34*VLOOKUP('Données projet'!$B$10,Paramètres!$A$1:$I$89,3,0)*0.475*44/12</f>
        <v>#N/A</v>
      </c>
      <c r="AW34" s="21" t="e">
        <f>EXP(-LN(2)/2)*AW33+(1-EXP(-LN(2)/2))/(LN(2)/2)*AQ34*AT34*VLOOKUP('Données projet'!$B$10,Paramètres!$A$1:$I$89,3,0)*0.475*44/12</f>
        <v>#N/A</v>
      </c>
      <c r="AX34" s="21" t="e">
        <f t="shared" si="6"/>
        <v>#N/A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1">
        <f t="shared" si="32"/>
        <v>8.8805221797401579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67">
        <f t="shared" si="1"/>
        <v>321.69165612971409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14.333333333333334</v>
      </c>
      <c r="N35" s="13">
        <f>IF('Données projet'!$A$36&gt;35,N34+M35-V34,IF(A35&lt;'Données projet'!$A$36,$K$205^A35,IF(A35='Données projet'!$A$36,'Données projet'!$B$36,N34+M35-V34)))</f>
        <v>297.66666666666663</v>
      </c>
      <c r="O35" s="13">
        <f>N35*VLOOKUP('Données projet'!$B$9,Paramètres!$A$1:$I$89,3,0)*VLOOKUP('Données projet'!$B$9,Paramètres!$A$1:$I$89,5,0)</f>
        <v>178.00466666666665</v>
      </c>
      <c r="P35" s="13">
        <f t="shared" si="33"/>
        <v>44.877973671695507</v>
      </c>
      <c r="Q35" s="20">
        <f t="shared" ref="Q35:Q66" si="53">(O35+P35)*0.475*44/12</f>
        <v>388.18726525598072</v>
      </c>
      <c r="R35" s="59">
        <f t="shared" si="0"/>
        <v>681.52059858931398</v>
      </c>
      <c r="S35" s="59">
        <f ca="1">AVERAGE(OFFSET($R$3,0,0,'Données projet'!$E$9+1,1))-AVERAGE(OFFSET($H$3,0,0,'Données projet'!$E$9+1,1))</f>
        <v>161.92866721009744</v>
      </c>
      <c r="T35" s="59">
        <f t="shared" si="34"/>
        <v>327.23695023676987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15.020235403386136</v>
      </c>
      <c r="AA35" s="21">
        <f>EXP(-LN(2)/25)*AA34+(1-EXP(-LN(2)/25))/(LN(2)/25)*Calculateur!V35*Calculateur!X35*VLOOKUP('Données projet'!$B$9,Paramètres!$A$1:$I$89,3,0)*0.475*44/12</f>
        <v>9.0951311077576502</v>
      </c>
      <c r="AB35" s="21">
        <f>EXP(-LN(2)/2)*AB34+(1-EXP(-LN(2)/2))/(LN(2)/2)*V35*Y35*VLOOKUP('Données projet'!$B$9,Paramètres!$A$1:$I$89,3,0)*0.475*44/12</f>
        <v>0.34425327783539994</v>
      </c>
      <c r="AC35" s="22">
        <f t="shared" si="3"/>
        <v>24.459619788979186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0</v>
      </c>
      <c r="AJ35" s="13" t="e">
        <f>AI35*VLOOKUP('Données projet'!$B$10,Paramètres!$A$1:$I$89,3,0)*VLOOKUP('Données projet'!$B$10,Paramètres!$A$1:$I$89,5,0)</f>
        <v>#N/A</v>
      </c>
      <c r="AK35" s="13" t="e">
        <f t="shared" si="35"/>
        <v>#N/A</v>
      </c>
      <c r="AL35" s="20" t="e">
        <f t="shared" si="4"/>
        <v>#N/A</v>
      </c>
      <c r="AM35" s="59" t="e">
        <f t="shared" si="5"/>
        <v>#N/A</v>
      </c>
      <c r="AN35" s="59" t="e">
        <f ca="1">AVERAGE(OFFSET($AM$3,0,0,'Données projet'!$E$10+1,1))-AVERAGE(OFFSET($H$3,0,0,'Données projet'!$E$10+1,1))</f>
        <v>#N/A</v>
      </c>
      <c r="AO35" s="59" t="e">
        <f t="shared" si="36"/>
        <v>#N/A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 t="e">
        <f>EXP(-LN(2)/35)*AU34+(1-EXP(-LN(2)/35))/(LN(2)/35)*AQ35*AR35*VLOOKUP('Données projet'!$B$10,Paramètres!$A$1:$I$89,3,0)*0.475*44/12</f>
        <v>#N/A</v>
      </c>
      <c r="AV35" s="21" t="e">
        <f>EXP(-LN(2)/25)*AV34+(1-EXP(-LN(2)/25))/(LN(2)/25)*Calculateur!AQ35*Calculateur!AS35*VLOOKUP('Données projet'!$B$10,Paramètres!$A$1:$I$89,3,0)*0.475*44/12</f>
        <v>#N/A</v>
      </c>
      <c r="AW35" s="21" t="e">
        <f>EXP(-LN(2)/2)*AW34+(1-EXP(-LN(2)/2))/(LN(2)/2)*AQ35*AT35*VLOOKUP('Données projet'!$B$10,Paramètres!$A$1:$I$89,3,0)*0.475*44/12</f>
        <v>#N/A</v>
      </c>
      <c r="AX35" s="21" t="e">
        <f t="shared" si="6"/>
        <v>#N/A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1">
        <f t="shared" si="32"/>
        <v>9.1252947188023139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67">
        <f t="shared" si="1"/>
        <v>323.66665830191403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>
        <f>VLOOKUP(A36,'Données projet'!$A$35:$I$55,2,0)</f>
        <v>312</v>
      </c>
      <c r="L36" s="12">
        <f>VLOOKUP(A36,'Données projet'!$A$35:$I$55,9,0)</f>
        <v>14.333333333333334</v>
      </c>
      <c r="M36" s="12">
        <f t="array" ref="M36">INDEX(L:L,MIN(IF(ISNUMBER(L36:L232),ROW(L36:L232),"")))</f>
        <v>14.333333333333334</v>
      </c>
      <c r="N36" s="13">
        <f>IF('Données projet'!$A$36&gt;35,N35+M36-V35,IF(A36&lt;'Données projet'!$A$36,$K$205^A36,IF(A36='Données projet'!$A$36,'Données projet'!$B$36,N35+M36-V35)))</f>
        <v>311.99999999999994</v>
      </c>
      <c r="O36" s="13">
        <f>N36*VLOOKUP('Données projet'!$B$9,Paramètres!$A$1:$I$89,3,0)*VLOOKUP('Données projet'!$B$9,Paramètres!$A$1:$I$89,5,0)</f>
        <v>186.57599999999999</v>
      </c>
      <c r="P36" s="13">
        <f t="shared" si="33"/>
        <v>46.782155731694274</v>
      </c>
      <c r="Q36" s="20">
        <f t="shared" si="53"/>
        <v>406.43212123270087</v>
      </c>
      <c r="R36" s="59">
        <f t="shared" si="0"/>
        <v>699.76545456603412</v>
      </c>
      <c r="S36" s="59">
        <f ca="1">AVERAGE(OFFSET($R$3,0,0,'Données projet'!$E$9+1,1))-AVERAGE(OFFSET($H$3,0,0,'Données projet'!$E$9+1,1))</f>
        <v>161.92866721009744</v>
      </c>
      <c r="T36" s="59">
        <f t="shared" si="34"/>
        <v>327.23695023676987</v>
      </c>
      <c r="U36" s="15">
        <f>IF(ISNA(VLOOKUP(A36,'Données projet'!$A$35:$I$55,3,0)),0,VLOOKUP(A36,'Données projet'!$A$35:$I$55,3,0))</f>
        <v>13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14.725697748564713</v>
      </c>
      <c r="AA36" s="21">
        <f>EXP(-LN(2)/25)*AA35+(1-EXP(-LN(2)/25))/(LN(2)/25)*Calculateur!V36*Calculateur!X36*VLOOKUP('Données projet'!$B$9,Paramètres!$A$1:$I$89,3,0)*0.475*44/12</f>
        <v>8.8464242693238599</v>
      </c>
      <c r="AB36" s="21">
        <f>EXP(-LN(2)/2)*AB35+(1-EXP(-LN(2)/2))/(LN(2)/2)*V36*Y36*VLOOKUP('Données projet'!$B$9,Paramètres!$A$1:$I$89,3,0)*0.475*44/12</f>
        <v>0.2434238272031079</v>
      </c>
      <c r="AC36" s="22">
        <f t="shared" si="3"/>
        <v>23.815545845091684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0</v>
      </c>
      <c r="AJ36" s="13" t="e">
        <f>AI36*VLOOKUP('Données projet'!$B$10,Paramètres!$A$1:$I$89,3,0)*VLOOKUP('Données projet'!$B$10,Paramètres!$A$1:$I$89,5,0)</f>
        <v>#N/A</v>
      </c>
      <c r="AK36" s="13" t="e">
        <f t="shared" si="35"/>
        <v>#N/A</v>
      </c>
      <c r="AL36" s="20" t="e">
        <f t="shared" si="4"/>
        <v>#N/A</v>
      </c>
      <c r="AM36" s="59" t="e">
        <f t="shared" si="5"/>
        <v>#N/A</v>
      </c>
      <c r="AN36" s="59" t="e">
        <f ca="1">AVERAGE(OFFSET($AM$3,0,0,'Données projet'!$E$10+1,1))-AVERAGE(OFFSET($H$3,0,0,'Données projet'!$E$10+1,1))</f>
        <v>#N/A</v>
      </c>
      <c r="AO36" s="59" t="e">
        <f t="shared" si="36"/>
        <v>#N/A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 t="e">
        <f>EXP(-LN(2)/35)*AU35+(1-EXP(-LN(2)/35))/(LN(2)/35)*AQ36*AR36*VLOOKUP('Données projet'!$B$10,Paramètres!$A$1:$I$89,3,0)*0.475*44/12</f>
        <v>#N/A</v>
      </c>
      <c r="AV36" s="21" t="e">
        <f>EXP(-LN(2)/25)*AV35+(1-EXP(-LN(2)/25))/(LN(2)/25)*Calculateur!AQ36*Calculateur!AS36*VLOOKUP('Données projet'!$B$10,Paramètres!$A$1:$I$89,3,0)*0.475*44/12</f>
        <v>#N/A</v>
      </c>
      <c r="AW36" s="21" t="e">
        <f>EXP(-LN(2)/2)*AW35+(1-EXP(-LN(2)/2))/(LN(2)/2)*AQ36*AT36*VLOOKUP('Données projet'!$B$10,Paramètres!$A$1:$I$89,3,0)*0.475*44/12</f>
        <v>#N/A</v>
      </c>
      <c r="AX36" s="21" t="e">
        <f t="shared" si="6"/>
        <v>#N/A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1">
        <f t="shared" si="32"/>
        <v>9.3692052598737909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67">
        <f t="shared" si="1"/>
        <v>325.64015916094684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>
        <f>VLOOKUP(A37,'Données projet'!$A$35:$I$55,2,0)</f>
        <v>325</v>
      </c>
      <c r="L37" s="12">
        <f>VLOOKUP(A37,'Données projet'!$A$35:$I$55,9,0)</f>
        <v>13</v>
      </c>
      <c r="M37" s="12">
        <f t="array" ref="M37">INDEX(L:L,MIN(IF(ISNUMBER(L37:L233),ROW(L37:L233),"")))</f>
        <v>13</v>
      </c>
      <c r="N37" s="13">
        <f>IF('Données projet'!$A$36&gt;35,N36+M37-V36,IF(A37&lt;'Données projet'!$A$36,$K$205^A37,IF(A37='Données projet'!$A$36,'Données projet'!$B$36,N36+M37-V36)))</f>
        <v>324.99999999999994</v>
      </c>
      <c r="O37" s="13">
        <f>N37*VLOOKUP('Données projet'!$B$9,Paramètres!$A$1:$I$89,3,0)*VLOOKUP('Données projet'!$B$9,Paramètres!$A$1:$I$89,5,0)</f>
        <v>194.34999999999997</v>
      </c>
      <c r="P37" s="13">
        <f t="shared" si="33"/>
        <v>48.500405405690429</v>
      </c>
      <c r="Q37" s="20">
        <f t="shared" si="53"/>
        <v>422.96445608157745</v>
      </c>
      <c r="R37" s="59">
        <f t="shared" si="0"/>
        <v>716.29778941491077</v>
      </c>
      <c r="S37" s="59">
        <f ca="1">AVERAGE(OFFSET($R$3,0,0,'Données projet'!$E$9+1,1))-AVERAGE(OFFSET($H$3,0,0,'Données projet'!$E$9+1,1))</f>
        <v>161.92866721009744</v>
      </c>
      <c r="T37" s="59">
        <f t="shared" si="34"/>
        <v>327.23695023676987</v>
      </c>
      <c r="U37" s="15">
        <f>IF(ISNA(VLOOKUP(A37,'Données projet'!$A$35:$I$55,3,0)),0,VLOOKUP(A37,'Données projet'!$A$35:$I$55,3,0))</f>
        <v>14</v>
      </c>
      <c r="V37" s="15">
        <f>IF(ISNA(VLOOKUP(A37,'Données projet'!$A$35:$I$55,4,0)),0,VLOOKUP(A37,'Données projet'!$A$35:$I$55,4,0))</f>
        <v>325</v>
      </c>
      <c r="W37" s="16">
        <f>IF(ISNA(VLOOKUP(A37,'Données projet'!$A$35:$I$55,5,0)),0%,VLOOKUP(A37,'Données projet'!$A$35:$I$55,5,0)*VLOOKUP('Données projet'!$B$9,Paramètres!$A$1:$I$89,7,0))</f>
        <v>0.36000000000000004</v>
      </c>
      <c r="X37" s="16">
        <f>IF(ISNA(VLOOKUP(A37,'Données projet'!$A$35:$I$55,6,0)),0%,VLOOKUP(A37,'Données projet'!$A$35:$I$55,6,0)*VLOOKUP('Données projet'!$B$9,Paramètres!$A$1:$I$89,7,0))</f>
        <v>4.9500000000000002E-2</v>
      </c>
      <c r="Y37" s="16">
        <f>IF(ISNA(VLOOKUP(A37,'Données projet'!$A$35:$I$55,7,0)),0%,VLOOKUP(A37,'Données projet'!$A$35:$I$55,7,0))</f>
        <v>0.09</v>
      </c>
      <c r="Z37" s="21">
        <f>EXP(-LN(2)/35)*Z36+(1-EXP(-LN(2)/35))/(LN(2)/35)*V37*W37*VLOOKUP('Données projet'!$B$9,Paramètres!$A$1:$I$89,3,0)*0.475*44/12</f>
        <v>107.251344486787</v>
      </c>
      <c r="AA37" s="21">
        <f>EXP(-LN(2)/25)*AA36+(1-EXP(-LN(2)/25))/(LN(2)/25)*Calculateur!V37*Calculateur!X37*VLOOKUP('Données projet'!$B$9,Paramètres!$A$1:$I$89,3,0)*0.475*44/12</f>
        <v>21.316250744582462</v>
      </c>
      <c r="AB37" s="21">
        <f>EXP(-LN(2)/2)*AB36+(1-EXP(-LN(2)/2))/(LN(2)/2)*V37*Y37*VLOOKUP('Données projet'!$B$9,Paramètres!$A$1:$I$89,3,0)*0.475*44/12</f>
        <v>19.976567871101878</v>
      </c>
      <c r="AC37" s="22">
        <f t="shared" si="3"/>
        <v>148.54416310247134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0</v>
      </c>
      <c r="AJ37" s="13" t="e">
        <f>AI37*VLOOKUP('Données projet'!$B$10,Paramètres!$A$1:$I$89,3,0)*VLOOKUP('Données projet'!$B$10,Paramètres!$A$1:$I$89,5,0)</f>
        <v>#N/A</v>
      </c>
      <c r="AK37" s="13" t="e">
        <f t="shared" si="35"/>
        <v>#N/A</v>
      </c>
      <c r="AL37" s="20" t="e">
        <f t="shared" si="4"/>
        <v>#N/A</v>
      </c>
      <c r="AM37" s="59" t="e">
        <f t="shared" si="5"/>
        <v>#N/A</v>
      </c>
      <c r="AN37" s="59" t="e">
        <f ca="1">AVERAGE(OFFSET($AM$3,0,0,'Données projet'!$E$10+1,1))-AVERAGE(OFFSET($H$3,0,0,'Données projet'!$E$10+1,1))</f>
        <v>#N/A</v>
      </c>
      <c r="AO37" s="59" t="e">
        <f t="shared" si="36"/>
        <v>#N/A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 t="e">
        <f>EXP(-LN(2)/35)*AU36+(1-EXP(-LN(2)/35))/(LN(2)/35)*AQ37*AR37*VLOOKUP('Données projet'!$B$10,Paramètres!$A$1:$I$89,3,0)*0.475*44/12</f>
        <v>#N/A</v>
      </c>
      <c r="AV37" s="21" t="e">
        <f>EXP(-LN(2)/25)*AV36+(1-EXP(-LN(2)/25))/(LN(2)/25)*Calculateur!AQ37*Calculateur!AS37*VLOOKUP('Données projet'!$B$10,Paramètres!$A$1:$I$89,3,0)*0.475*44/12</f>
        <v>#N/A</v>
      </c>
      <c r="AW37" s="21" t="e">
        <f>EXP(-LN(2)/2)*AW36+(1-EXP(-LN(2)/2))/(LN(2)/2)*AQ37*AT37*VLOOKUP('Données projet'!$B$10,Paramètres!$A$1:$I$89,3,0)*0.475*44/12</f>
        <v>#N/A</v>
      </c>
      <c r="AX37" s="21" t="e">
        <f t="shared" si="6"/>
        <v>#N/A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1">
        <f t="shared" si="32"/>
        <v>9.612282066778798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67">
        <f t="shared" si="1"/>
        <v>327.61220793297304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0</v>
      </c>
      <c r="N38" s="13">
        <f>IF('Données projet'!$A$36&gt;35,N37+M38-V37,IF(A38&lt;'Données projet'!$A$36,$K$205^A38,IF(A38='Données projet'!$A$36,'Données projet'!$B$36,N37+M38-V37)))</f>
        <v>-5.6843418860808015E-14</v>
      </c>
      <c r="O38" s="13">
        <f>N38*VLOOKUP('Données projet'!$B$9,Paramètres!$A$1:$I$89,3,0)*VLOOKUP('Données projet'!$B$9,Paramètres!$A$1:$I$89,5,0)</f>
        <v>-3.3992364478763198E-14</v>
      </c>
      <c r="P38" s="13" t="e">
        <f t="shared" si="33"/>
        <v>#NUM!</v>
      </c>
      <c r="Q38" s="20" t="e">
        <f t="shared" si="53"/>
        <v>#NUM!</v>
      </c>
      <c r="R38" s="59" t="e">
        <f t="shared" si="0"/>
        <v>#NUM!</v>
      </c>
      <c r="S38" s="59">
        <f ca="1">AVERAGE(OFFSET($R$3,0,0,'Données projet'!$E$9+1,1))-AVERAGE(OFFSET($H$3,0,0,'Données projet'!$E$9+1,1))</f>
        <v>161.92866721009744</v>
      </c>
      <c r="T38" s="59">
        <f t="shared" si="34"/>
        <v>327.23695023676987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105.14821103826188</v>
      </c>
      <c r="AA38" s="21">
        <f>EXP(-LN(2)/25)*AA37+(1-EXP(-LN(2)/25))/(LN(2)/25)*Calculateur!V38*Calculateur!X38*VLOOKUP('Données projet'!$B$9,Paramètres!$A$1:$I$89,3,0)*0.475*44/12</f>
        <v>20.733356746998947</v>
      </c>
      <c r="AB38" s="21">
        <f>EXP(-LN(2)/2)*AB37+(1-EXP(-LN(2)/2))/(LN(2)/2)*V38*Y38*VLOOKUP('Données projet'!$B$9,Paramètres!$A$1:$I$89,3,0)*0.475*44/12</f>
        <v>14.125566606489452</v>
      </c>
      <c r="AC38" s="22">
        <f t="shared" si="3"/>
        <v>140.00713439175027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0</v>
      </c>
      <c r="AJ38" s="13" t="e">
        <f>AI38*VLOOKUP('Données projet'!$B$10,Paramètres!$A$1:$I$89,3,0)*VLOOKUP('Données projet'!$B$10,Paramètres!$A$1:$I$89,5,0)</f>
        <v>#N/A</v>
      </c>
      <c r="AK38" s="13" t="e">
        <f t="shared" si="35"/>
        <v>#N/A</v>
      </c>
      <c r="AL38" s="20" t="e">
        <f t="shared" si="4"/>
        <v>#N/A</v>
      </c>
      <c r="AM38" s="59" t="e">
        <f t="shared" si="5"/>
        <v>#N/A</v>
      </c>
      <c r="AN38" s="59" t="e">
        <f ca="1">AVERAGE(OFFSET($AM$3,0,0,'Données projet'!$E$10+1,1))-AVERAGE(OFFSET($H$3,0,0,'Données projet'!$E$10+1,1))</f>
        <v>#N/A</v>
      </c>
      <c r="AO38" s="59" t="e">
        <f t="shared" si="36"/>
        <v>#N/A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 t="e">
        <f>EXP(-LN(2)/35)*AU37+(1-EXP(-LN(2)/35))/(LN(2)/35)*AQ38*AR38*VLOOKUP('Données projet'!$B$10,Paramètres!$A$1:$I$89,3,0)*0.475*44/12</f>
        <v>#N/A</v>
      </c>
      <c r="AV38" s="21" t="e">
        <f>EXP(-LN(2)/25)*AV37+(1-EXP(-LN(2)/25))/(LN(2)/25)*Calculateur!AQ38*Calculateur!AS38*VLOOKUP('Données projet'!$B$10,Paramètres!$A$1:$I$89,3,0)*0.475*44/12</f>
        <v>#N/A</v>
      </c>
      <c r="AW38" s="21" t="e">
        <f>EXP(-LN(2)/2)*AW37+(1-EXP(-LN(2)/2))/(LN(2)/2)*AQ38*AT38*VLOOKUP('Données projet'!$B$10,Paramètres!$A$1:$I$89,3,0)*0.475*44/12</f>
        <v>#N/A</v>
      </c>
      <c r="AX38" s="21" t="e">
        <f t="shared" si="6"/>
        <v>#N/A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1">
        <f t="shared" si="32"/>
        <v>9.8545516964045738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67">
        <f t="shared" si="1"/>
        <v>329.58285087123795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-5.6843418860808015E-14</v>
      </c>
      <c r="O39" s="13">
        <f>N39*VLOOKUP('Données projet'!$B$9,Paramètres!$A$1:$I$89,3,0)*VLOOKUP('Données projet'!$B$9,Paramètres!$A$1:$I$89,5,0)</f>
        <v>-3.3992364478763198E-14</v>
      </c>
      <c r="P39" s="13" t="e">
        <f t="shared" si="33"/>
        <v>#NUM!</v>
      </c>
      <c r="Q39" s="20" t="e">
        <f t="shared" si="53"/>
        <v>#NUM!</v>
      </c>
      <c r="R39" s="59" t="e">
        <f t="shared" si="0"/>
        <v>#NUM!</v>
      </c>
      <c r="S39" s="59">
        <f ca="1">AVERAGE(OFFSET($R$3,0,0,'Données projet'!$E$9+1,1))-AVERAGE(OFFSET($H$3,0,0,'Données projet'!$E$9+1,1))</f>
        <v>161.92866721009744</v>
      </c>
      <c r="T39" s="59">
        <f t="shared" si="34"/>
        <v>327.23695023676987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103.08631875387758</v>
      </c>
      <c r="AA39" s="21">
        <f>EXP(-LN(2)/25)*AA38+(1-EXP(-LN(2)/25))/(LN(2)/25)*Calculateur!V39*Calculateur!X39*VLOOKUP('Données projet'!$B$9,Paramètres!$A$1:$I$89,3,0)*0.475*44/12</f>
        <v>20.166402016432414</v>
      </c>
      <c r="AB39" s="21">
        <f>EXP(-LN(2)/2)*AB38+(1-EXP(-LN(2)/2))/(LN(2)/2)*V39*Y39*VLOOKUP('Données projet'!$B$9,Paramètres!$A$1:$I$89,3,0)*0.475*44/12</f>
        <v>9.9882839355509407</v>
      </c>
      <c r="AC39" s="22">
        <f t="shared" si="3"/>
        <v>133.24100470586095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0</v>
      </c>
      <c r="AJ39" s="13" t="e">
        <f>AI39*VLOOKUP('Données projet'!$B$10,Paramètres!$A$1:$I$89,3,0)*VLOOKUP('Données projet'!$B$10,Paramètres!$A$1:$I$89,5,0)</f>
        <v>#N/A</v>
      </c>
      <c r="AK39" s="13" t="e">
        <f t="shared" si="35"/>
        <v>#N/A</v>
      </c>
      <c r="AL39" s="20" t="e">
        <f t="shared" si="4"/>
        <v>#N/A</v>
      </c>
      <c r="AM39" s="59" t="e">
        <f t="shared" si="5"/>
        <v>#N/A</v>
      </c>
      <c r="AN39" s="59" t="e">
        <f ca="1">AVERAGE(OFFSET($AM$3,0,0,'Données projet'!$E$10+1,1))-AVERAGE(OFFSET($H$3,0,0,'Données projet'!$E$10+1,1))</f>
        <v>#N/A</v>
      </c>
      <c r="AO39" s="59" t="e">
        <f t="shared" si="36"/>
        <v>#N/A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 t="e">
        <f>EXP(-LN(2)/35)*AU38+(1-EXP(-LN(2)/35))/(LN(2)/35)*AQ39*AR39*VLOOKUP('Données projet'!$B$10,Paramètres!$A$1:$I$89,3,0)*0.475*44/12</f>
        <v>#N/A</v>
      </c>
      <c r="AV39" s="21" t="e">
        <f>EXP(-LN(2)/25)*AV38+(1-EXP(-LN(2)/25))/(LN(2)/25)*Calculateur!AQ39*Calculateur!AS39*VLOOKUP('Données projet'!$B$10,Paramètres!$A$1:$I$89,3,0)*0.475*44/12</f>
        <v>#N/A</v>
      </c>
      <c r="AW39" s="21" t="e">
        <f>EXP(-LN(2)/2)*AW38+(1-EXP(-LN(2)/2))/(LN(2)/2)*AQ39*AT39*VLOOKUP('Données projet'!$B$10,Paramètres!$A$1:$I$89,3,0)*0.475*44/12</f>
        <v>#N/A</v>
      </c>
      <c r="AX39" s="21" t="e">
        <f t="shared" si="6"/>
        <v>#N/A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1">
        <f t="shared" si="32"/>
        <v>10.096039146303498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67">
        <f t="shared" si="1"/>
        <v>331.55213151314524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-5.6843418860808015E-14</v>
      </c>
      <c r="O40" s="13">
        <f>N40*VLOOKUP('Données projet'!$B$9,Paramètres!$A$1:$I$89,3,0)*VLOOKUP('Données projet'!$B$9,Paramètres!$A$1:$I$89,5,0)</f>
        <v>-3.3992364478763198E-14</v>
      </c>
      <c r="P40" s="13" t="e">
        <f t="shared" si="33"/>
        <v>#NUM!</v>
      </c>
      <c r="Q40" s="20" t="e">
        <f t="shared" si="53"/>
        <v>#NUM!</v>
      </c>
      <c r="R40" s="59" t="e">
        <f t="shared" si="0"/>
        <v>#NUM!</v>
      </c>
      <c r="S40" s="59">
        <f ca="1">AVERAGE(OFFSET($R$3,0,0,'Données projet'!$E$9+1,1))-AVERAGE(OFFSET($H$3,0,0,'Données projet'!$E$9+1,1))</f>
        <v>161.92866721009744</v>
      </c>
      <c r="T40" s="59">
        <f t="shared" si="34"/>
        <v>327.23695023676987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101.06485891955994</v>
      </c>
      <c r="AA40" s="21">
        <f>EXP(-LN(2)/25)*AA39+(1-EXP(-LN(2)/25))/(LN(2)/25)*Calculateur!V40*Calculateur!X40*VLOOKUP('Données projet'!$B$9,Paramètres!$A$1:$I$89,3,0)*0.475*44/12</f>
        <v>19.614950692788078</v>
      </c>
      <c r="AB40" s="21">
        <f>EXP(-LN(2)/2)*AB39+(1-EXP(-LN(2)/2))/(LN(2)/2)*V40*Y40*VLOOKUP('Données projet'!$B$9,Paramètres!$A$1:$I$89,3,0)*0.475*44/12</f>
        <v>7.0627833032447276</v>
      </c>
      <c r="AC40" s="22">
        <f t="shared" si="3"/>
        <v>127.74259291559274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0</v>
      </c>
      <c r="AJ40" s="13" t="e">
        <f>AI40*VLOOKUP('Données projet'!$B$10,Paramètres!$A$1:$I$89,3,0)*VLOOKUP('Données projet'!$B$10,Paramètres!$A$1:$I$89,5,0)</f>
        <v>#N/A</v>
      </c>
      <c r="AK40" s="13" t="e">
        <f t="shared" si="35"/>
        <v>#N/A</v>
      </c>
      <c r="AL40" s="20" t="e">
        <f t="shared" si="4"/>
        <v>#N/A</v>
      </c>
      <c r="AM40" s="59" t="e">
        <f t="shared" si="5"/>
        <v>#N/A</v>
      </c>
      <c r="AN40" s="59" t="e">
        <f ca="1">AVERAGE(OFFSET($AM$3,0,0,'Données projet'!$E$10+1,1))-AVERAGE(OFFSET($H$3,0,0,'Données projet'!$E$10+1,1))</f>
        <v>#N/A</v>
      </c>
      <c r="AO40" s="59" t="e">
        <f t="shared" si="36"/>
        <v>#N/A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 t="e">
        <f>EXP(-LN(2)/35)*AU39+(1-EXP(-LN(2)/35))/(LN(2)/35)*AQ40*AR40*VLOOKUP('Données projet'!$B$10,Paramètres!$A$1:$I$89,3,0)*0.475*44/12</f>
        <v>#N/A</v>
      </c>
      <c r="AV40" s="21" t="e">
        <f>EXP(-LN(2)/25)*AV39+(1-EXP(-LN(2)/25))/(LN(2)/25)*Calculateur!AQ40*Calculateur!AS40*VLOOKUP('Données projet'!$B$10,Paramètres!$A$1:$I$89,3,0)*0.475*44/12</f>
        <v>#N/A</v>
      </c>
      <c r="AW40" s="21" t="e">
        <f>EXP(-LN(2)/2)*AW39+(1-EXP(-LN(2)/2))/(LN(2)/2)*AQ40*AT40*VLOOKUP('Données projet'!$B$10,Paramètres!$A$1:$I$89,3,0)*0.475*44/12</f>
        <v>#N/A</v>
      </c>
      <c r="AX40" s="21" t="e">
        <f t="shared" si="6"/>
        <v>#N/A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1">
        <f t="shared" si="32"/>
        <v>10.336767985889495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67">
        <f t="shared" si="1"/>
        <v>333.52009090875754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-5.6843418860808015E-14</v>
      </c>
      <c r="O41" s="13">
        <f>N41*VLOOKUP('Données projet'!$B$9,Paramètres!$A$1:$I$89,3,0)*VLOOKUP('Données projet'!$B$9,Paramètres!$A$1:$I$89,5,0)</f>
        <v>-3.3992364478763198E-14</v>
      </c>
      <c r="P41" s="13" t="e">
        <f t="shared" si="33"/>
        <v>#NUM!</v>
      </c>
      <c r="Q41" s="20" t="e">
        <f t="shared" si="53"/>
        <v>#NUM!</v>
      </c>
      <c r="R41" s="59" t="e">
        <f t="shared" si="0"/>
        <v>#NUM!</v>
      </c>
      <c r="S41" s="59">
        <f ca="1">AVERAGE(OFFSET($R$3,0,0,'Données projet'!$E$9+1,1))-AVERAGE(OFFSET($H$3,0,0,'Données projet'!$E$9+1,1))</f>
        <v>161.92866721009744</v>
      </c>
      <c r="T41" s="59">
        <f t="shared" si="34"/>
        <v>327.23695023676987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99.083038679624522</v>
      </c>
      <c r="AA41" s="21">
        <f>EXP(-LN(2)/25)*AA40+(1-EXP(-LN(2)/25))/(LN(2)/25)*Calculateur!V41*Calculateur!X41*VLOOKUP('Données projet'!$B$9,Paramètres!$A$1:$I$89,3,0)*0.475*44/12</f>
        <v>19.078578834588363</v>
      </c>
      <c r="AB41" s="21">
        <f>EXP(-LN(2)/2)*AB40+(1-EXP(-LN(2)/2))/(LN(2)/2)*V41*Y41*VLOOKUP('Données projet'!$B$9,Paramètres!$A$1:$I$89,3,0)*0.475*44/12</f>
        <v>4.9941419677754713</v>
      </c>
      <c r="AC41" s="22">
        <f t="shared" si="3"/>
        <v>123.15575948198835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0</v>
      </c>
      <c r="AJ41" s="13" t="e">
        <f>AI41*VLOOKUP('Données projet'!$B$10,Paramètres!$A$1:$I$89,3,0)*VLOOKUP('Données projet'!$B$10,Paramètres!$A$1:$I$89,5,0)</f>
        <v>#N/A</v>
      </c>
      <c r="AK41" s="13" t="e">
        <f t="shared" si="35"/>
        <v>#N/A</v>
      </c>
      <c r="AL41" s="20" t="e">
        <f t="shared" si="4"/>
        <v>#N/A</v>
      </c>
      <c r="AM41" s="59" t="e">
        <f t="shared" si="5"/>
        <v>#N/A</v>
      </c>
      <c r="AN41" s="59" t="e">
        <f ca="1">AVERAGE(OFFSET($AM$3,0,0,'Données projet'!$E$10+1,1))-AVERAGE(OFFSET($H$3,0,0,'Données projet'!$E$10+1,1))</f>
        <v>#N/A</v>
      </c>
      <c r="AO41" s="59" t="e">
        <f t="shared" si="36"/>
        <v>#N/A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 t="e">
        <f>EXP(-LN(2)/35)*AU40+(1-EXP(-LN(2)/35))/(LN(2)/35)*AQ41*AR41*VLOOKUP('Données projet'!$B$10,Paramètres!$A$1:$I$89,3,0)*0.475*44/12</f>
        <v>#N/A</v>
      </c>
      <c r="AV41" s="21" t="e">
        <f>EXP(-LN(2)/25)*AV40+(1-EXP(-LN(2)/25))/(LN(2)/25)*Calculateur!AQ41*Calculateur!AS41*VLOOKUP('Données projet'!$B$10,Paramètres!$A$1:$I$89,3,0)*0.475*44/12</f>
        <v>#N/A</v>
      </c>
      <c r="AW41" s="21" t="e">
        <f>EXP(-LN(2)/2)*AW40+(1-EXP(-LN(2)/2))/(LN(2)/2)*AQ41*AT41*VLOOKUP('Données projet'!$B$10,Paramètres!$A$1:$I$89,3,0)*0.475*44/12</f>
        <v>#N/A</v>
      </c>
      <c r="AX41" s="21" t="e">
        <f t="shared" si="6"/>
        <v>#N/A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1">
        <f t="shared" si="32"/>
        <v>10.576760473435781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67">
        <f t="shared" si="1"/>
        <v>335.48676782456732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-5.6843418860808015E-14</v>
      </c>
      <c r="O42" s="13">
        <f>N42*VLOOKUP('Données projet'!$B$9,Paramètres!$A$1:$I$89,3,0)*VLOOKUP('Données projet'!$B$9,Paramètres!$A$1:$I$89,5,0)</f>
        <v>-3.3992364478763198E-14</v>
      </c>
      <c r="P42" s="13" t="e">
        <f t="shared" si="33"/>
        <v>#NUM!</v>
      </c>
      <c r="Q42" s="20" t="e">
        <f t="shared" si="53"/>
        <v>#NUM!</v>
      </c>
      <c r="R42" s="59" t="e">
        <f t="shared" si="0"/>
        <v>#NUM!</v>
      </c>
      <c r="S42" s="59">
        <f ca="1">AVERAGE(OFFSET($R$3,0,0,'Données projet'!$E$9+1,1))-AVERAGE(OFFSET($H$3,0,0,'Données projet'!$E$9+1,1))</f>
        <v>161.92866721009744</v>
      </c>
      <c r="T42" s="59">
        <f t="shared" si="34"/>
        <v>327.23695023676987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97.140080725803244</v>
      </c>
      <c r="AA42" s="21">
        <f>EXP(-LN(2)/25)*AA41+(1-EXP(-LN(2)/25))/(LN(2)/25)*Calculateur!V42*Calculateur!X42*VLOOKUP('Données projet'!$B$9,Paramètres!$A$1:$I$89,3,0)*0.475*44/12</f>
        <v>18.556874093057687</v>
      </c>
      <c r="AB42" s="21">
        <f>EXP(-LN(2)/2)*AB41+(1-EXP(-LN(2)/2))/(LN(2)/2)*V42*Y42*VLOOKUP('Données projet'!$B$9,Paramètres!$A$1:$I$89,3,0)*0.475*44/12</f>
        <v>3.5313916516223642</v>
      </c>
      <c r="AC42" s="22">
        <f t="shared" si="3"/>
        <v>119.2283464704833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0</v>
      </c>
      <c r="AJ42" s="13" t="e">
        <f>AI42*VLOOKUP('Données projet'!$B$10,Paramètres!$A$1:$I$89,3,0)*VLOOKUP('Données projet'!$B$10,Paramètres!$A$1:$I$89,5,0)</f>
        <v>#N/A</v>
      </c>
      <c r="AK42" s="13" t="e">
        <f t="shared" si="35"/>
        <v>#N/A</v>
      </c>
      <c r="AL42" s="20" t="e">
        <f t="shared" si="4"/>
        <v>#N/A</v>
      </c>
      <c r="AM42" s="59" t="e">
        <f t="shared" si="5"/>
        <v>#N/A</v>
      </c>
      <c r="AN42" s="59" t="e">
        <f ca="1">AVERAGE(OFFSET($AM$3,0,0,'Données projet'!$E$10+1,1))-AVERAGE(OFFSET($H$3,0,0,'Données projet'!$E$10+1,1))</f>
        <v>#N/A</v>
      </c>
      <c r="AO42" s="59" t="e">
        <f t="shared" si="36"/>
        <v>#N/A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 t="e">
        <f>EXP(-LN(2)/35)*AU41+(1-EXP(-LN(2)/35))/(LN(2)/35)*AQ42*AR42*VLOOKUP('Données projet'!$B$10,Paramètres!$A$1:$I$89,3,0)*0.475*44/12</f>
        <v>#N/A</v>
      </c>
      <c r="AV42" s="21" t="e">
        <f>EXP(-LN(2)/25)*AV41+(1-EXP(-LN(2)/25))/(LN(2)/25)*Calculateur!AQ42*Calculateur!AS42*VLOOKUP('Données projet'!$B$10,Paramètres!$A$1:$I$89,3,0)*0.475*44/12</f>
        <v>#N/A</v>
      </c>
      <c r="AW42" s="21" t="e">
        <f>EXP(-LN(2)/2)*AW41+(1-EXP(-LN(2)/2))/(LN(2)/2)*AQ42*AT42*VLOOKUP('Données projet'!$B$10,Paramètres!$A$1:$I$89,3,0)*0.475*44/12</f>
        <v>#N/A</v>
      </c>
      <c r="AX42" s="21" t="e">
        <f t="shared" si="6"/>
        <v>#N/A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1">
        <f t="shared" si="32"/>
        <v>10.816037660735208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67">
        <f t="shared" si="1"/>
        <v>337.45219892578052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-5.6843418860808015E-14</v>
      </c>
      <c r="O43" s="13">
        <f>N43*VLOOKUP('Données projet'!$B$9,Paramètres!$A$1:$I$89,3,0)*VLOOKUP('Données projet'!$B$9,Paramètres!$A$1:$I$89,5,0)</f>
        <v>-3.3992364478763198E-14</v>
      </c>
      <c r="P43" s="13" t="e">
        <f t="shared" si="33"/>
        <v>#NUM!</v>
      </c>
      <c r="Q43" s="20" t="e">
        <f t="shared" si="53"/>
        <v>#NUM!</v>
      </c>
      <c r="R43" s="59" t="e">
        <f t="shared" si="0"/>
        <v>#NUM!</v>
      </c>
      <c r="S43" s="59">
        <f ca="1">AVERAGE(OFFSET($R$3,0,0,'Données projet'!$E$9+1,1))-AVERAGE(OFFSET($H$3,0,0,'Données projet'!$E$9+1,1))</f>
        <v>161.92866721009744</v>
      </c>
      <c r="T43" s="59">
        <f t="shared" si="34"/>
        <v>327.23695023676987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95.235222992369074</v>
      </c>
      <c r="AA43" s="21">
        <f>EXP(-LN(2)/25)*AA42+(1-EXP(-LN(2)/25))/(LN(2)/25)*Calculateur!V43*Calculateur!X43*VLOOKUP('Données projet'!$B$9,Paramètres!$A$1:$I$89,3,0)*0.475*44/12</f>
        <v>18.049435395119428</v>
      </c>
      <c r="AB43" s="21">
        <f>EXP(-LN(2)/2)*AB42+(1-EXP(-LN(2)/2))/(LN(2)/2)*V43*Y43*VLOOKUP('Données projet'!$B$9,Paramètres!$A$1:$I$89,3,0)*0.475*44/12</f>
        <v>2.4970709838877361</v>
      </c>
      <c r="AC43" s="22">
        <f t="shared" si="3"/>
        <v>115.78172937137624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0</v>
      </c>
      <c r="AJ43" s="13" t="e">
        <f>AI43*VLOOKUP('Données projet'!$B$10,Paramètres!$A$1:$I$89,3,0)*VLOOKUP('Données projet'!$B$10,Paramètres!$A$1:$I$89,5,0)</f>
        <v>#N/A</v>
      </c>
      <c r="AK43" s="13" t="e">
        <f t="shared" si="35"/>
        <v>#N/A</v>
      </c>
      <c r="AL43" s="20" t="e">
        <f t="shared" si="4"/>
        <v>#N/A</v>
      </c>
      <c r="AM43" s="59" t="e">
        <f t="shared" si="5"/>
        <v>#N/A</v>
      </c>
      <c r="AN43" s="59" t="e">
        <f ca="1">AVERAGE(OFFSET($AM$3,0,0,'Données projet'!$E$10+1,1))-AVERAGE(OFFSET($H$3,0,0,'Données projet'!$E$10+1,1))</f>
        <v>#N/A</v>
      </c>
      <c r="AO43" s="59" t="e">
        <f t="shared" si="36"/>
        <v>#N/A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 t="e">
        <f>EXP(-LN(2)/35)*AU42+(1-EXP(-LN(2)/35))/(LN(2)/35)*AQ43*AR43*VLOOKUP('Données projet'!$B$10,Paramètres!$A$1:$I$89,3,0)*0.475*44/12</f>
        <v>#N/A</v>
      </c>
      <c r="AV43" s="21" t="e">
        <f>EXP(-LN(2)/25)*AV42+(1-EXP(-LN(2)/25))/(LN(2)/25)*Calculateur!AQ43*Calculateur!AS43*VLOOKUP('Données projet'!$B$10,Paramètres!$A$1:$I$89,3,0)*0.475*44/12</f>
        <v>#N/A</v>
      </c>
      <c r="AW43" s="21" t="e">
        <f>EXP(-LN(2)/2)*AW42+(1-EXP(-LN(2)/2))/(LN(2)/2)*AQ43*AT43*VLOOKUP('Données projet'!$B$10,Paramètres!$A$1:$I$89,3,0)*0.475*44/12</f>
        <v>#N/A</v>
      </c>
      <c r="AX43" s="21" t="e">
        <f t="shared" si="6"/>
        <v>#N/A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1">
        <f t="shared" si="32"/>
        <v>11.054619486999963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67">
        <f t="shared" si="1"/>
        <v>339.41641893985832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-5.6843418860808015E-14</v>
      </c>
      <c r="O44" s="13">
        <f>N44*VLOOKUP('Données projet'!$B$9,Paramètres!$A$1:$I$89,3,0)*VLOOKUP('Données projet'!$B$9,Paramètres!$A$1:$I$89,5,0)</f>
        <v>-3.3992364478763198E-14</v>
      </c>
      <c r="P44" s="13" t="e">
        <f t="shared" si="33"/>
        <v>#NUM!</v>
      </c>
      <c r="Q44" s="20" t="e">
        <f t="shared" si="53"/>
        <v>#NUM!</v>
      </c>
      <c r="R44" s="59" t="e">
        <f t="shared" si="0"/>
        <v>#NUM!</v>
      </c>
      <c r="S44" s="59">
        <f ca="1">AVERAGE(OFFSET($R$3,0,0,'Données projet'!$E$9+1,1))-AVERAGE(OFFSET($H$3,0,0,'Données projet'!$E$9+1,1))</f>
        <v>161.92866721009744</v>
      </c>
      <c r="T44" s="59">
        <f t="shared" si="34"/>
        <v>327.23695023676987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93.367718357239056</v>
      </c>
      <c r="AA44" s="21">
        <f>EXP(-LN(2)/25)*AA43+(1-EXP(-LN(2)/25))/(LN(2)/25)*Calculateur!V44*Calculateur!X44*VLOOKUP('Données projet'!$B$9,Paramètres!$A$1:$I$89,3,0)*0.475*44/12</f>
        <v>17.555872635061331</v>
      </c>
      <c r="AB44" s="21">
        <f>EXP(-LN(2)/2)*AB43+(1-EXP(-LN(2)/2))/(LN(2)/2)*V44*Y44*VLOOKUP('Données projet'!$B$9,Paramètres!$A$1:$I$89,3,0)*0.475*44/12</f>
        <v>1.7656958258111823</v>
      </c>
      <c r="AC44" s="22">
        <f t="shared" si="3"/>
        <v>112.68928681811157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0</v>
      </c>
      <c r="AJ44" s="13" t="e">
        <f>AI44*VLOOKUP('Données projet'!$B$10,Paramètres!$A$1:$I$89,3,0)*VLOOKUP('Données projet'!$B$10,Paramètres!$A$1:$I$89,5,0)</f>
        <v>#N/A</v>
      </c>
      <c r="AK44" s="13" t="e">
        <f t="shared" si="35"/>
        <v>#N/A</v>
      </c>
      <c r="AL44" s="20" t="e">
        <f t="shared" si="4"/>
        <v>#N/A</v>
      </c>
      <c r="AM44" s="59" t="e">
        <f t="shared" si="5"/>
        <v>#N/A</v>
      </c>
      <c r="AN44" s="59" t="e">
        <f ca="1">AVERAGE(OFFSET($AM$3,0,0,'Données projet'!$E$10+1,1))-AVERAGE(OFFSET($H$3,0,0,'Données projet'!$E$10+1,1))</f>
        <v>#N/A</v>
      </c>
      <c r="AO44" s="59" t="e">
        <f t="shared" si="36"/>
        <v>#N/A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 t="e">
        <f>EXP(-LN(2)/35)*AU43+(1-EXP(-LN(2)/35))/(LN(2)/35)*AQ44*AR44*VLOOKUP('Données projet'!$B$10,Paramètres!$A$1:$I$89,3,0)*0.475*44/12</f>
        <v>#N/A</v>
      </c>
      <c r="AV44" s="21" t="e">
        <f>EXP(-LN(2)/25)*AV43+(1-EXP(-LN(2)/25))/(LN(2)/25)*Calculateur!AQ44*Calculateur!AS44*VLOOKUP('Données projet'!$B$10,Paramètres!$A$1:$I$89,3,0)*0.475*44/12</f>
        <v>#N/A</v>
      </c>
      <c r="AW44" s="21" t="e">
        <f>EXP(-LN(2)/2)*AW43+(1-EXP(-LN(2)/2))/(LN(2)/2)*AQ44*AT44*VLOOKUP('Données projet'!$B$10,Paramètres!$A$1:$I$89,3,0)*0.475*44/12</f>
        <v>#N/A</v>
      </c>
      <c r="AX44" s="21" t="e">
        <f t="shared" si="6"/>
        <v>#N/A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1">
        <f t="shared" si="32"/>
        <v>11.292524863342397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67">
        <f t="shared" si="1"/>
        <v>341.37946080365469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-5.6843418860808015E-14</v>
      </c>
      <c r="O45" s="13">
        <f>N45*VLOOKUP('Données projet'!$B$9,Paramètres!$A$1:$I$89,3,0)*VLOOKUP('Données projet'!$B$9,Paramètres!$A$1:$I$89,5,0)</f>
        <v>-3.3992364478763198E-14</v>
      </c>
      <c r="P45" s="13" t="e">
        <f t="shared" si="33"/>
        <v>#NUM!</v>
      </c>
      <c r="Q45" s="20" t="e">
        <f t="shared" si="53"/>
        <v>#NUM!</v>
      </c>
      <c r="R45" s="59" t="e">
        <f t="shared" si="0"/>
        <v>#NUM!</v>
      </c>
      <c r="S45" s="59">
        <f ca="1">AVERAGE(OFFSET($R$3,0,0,'Données projet'!$E$9+1,1))-AVERAGE(OFFSET($H$3,0,0,'Données projet'!$E$9+1,1))</f>
        <v>161.92866721009744</v>
      </c>
      <c r="T45" s="59">
        <f t="shared" si="34"/>
        <v>327.23695023676987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91.536834348938584</v>
      </c>
      <c r="AA45" s="21">
        <f>EXP(-LN(2)/25)*AA44+(1-EXP(-LN(2)/25))/(LN(2)/25)*Calculateur!V45*Calculateur!X45*VLOOKUP('Données projet'!$B$9,Paramètres!$A$1:$I$89,3,0)*0.475*44/12</f>
        <v>17.075806374632361</v>
      </c>
      <c r="AB45" s="21">
        <f>EXP(-LN(2)/2)*AB44+(1-EXP(-LN(2)/2))/(LN(2)/2)*V45*Y45*VLOOKUP('Données projet'!$B$9,Paramètres!$A$1:$I$89,3,0)*0.475*44/12</f>
        <v>1.248535491943868</v>
      </c>
      <c r="AC45" s="22">
        <f t="shared" si="3"/>
        <v>109.86117621551482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0</v>
      </c>
      <c r="AJ45" s="13" t="e">
        <f>AI45*VLOOKUP('Données projet'!$B$10,Paramètres!$A$1:$I$89,3,0)*VLOOKUP('Données projet'!$B$10,Paramètres!$A$1:$I$89,5,0)</f>
        <v>#N/A</v>
      </c>
      <c r="AK45" s="13" t="e">
        <f t="shared" si="35"/>
        <v>#N/A</v>
      </c>
      <c r="AL45" s="20" t="e">
        <f t="shared" si="4"/>
        <v>#N/A</v>
      </c>
      <c r="AM45" s="59" t="e">
        <f t="shared" si="5"/>
        <v>#N/A</v>
      </c>
      <c r="AN45" s="59" t="e">
        <f ca="1">AVERAGE(OFFSET($AM$3,0,0,'Données projet'!$E$10+1,1))-AVERAGE(OFFSET($H$3,0,0,'Données projet'!$E$10+1,1))</f>
        <v>#N/A</v>
      </c>
      <c r="AO45" s="59" t="e">
        <f t="shared" si="36"/>
        <v>#N/A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 t="e">
        <f>EXP(-LN(2)/35)*AU44+(1-EXP(-LN(2)/35))/(LN(2)/35)*AQ45*AR45*VLOOKUP('Données projet'!$B$10,Paramètres!$A$1:$I$89,3,0)*0.475*44/12</f>
        <v>#N/A</v>
      </c>
      <c r="AV45" s="21" t="e">
        <f>EXP(-LN(2)/25)*AV44+(1-EXP(-LN(2)/25))/(LN(2)/25)*Calculateur!AQ45*Calculateur!AS45*VLOOKUP('Données projet'!$B$10,Paramètres!$A$1:$I$89,3,0)*0.475*44/12</f>
        <v>#N/A</v>
      </c>
      <c r="AW45" s="21" t="e">
        <f>EXP(-LN(2)/2)*AW44+(1-EXP(-LN(2)/2))/(LN(2)/2)*AQ45*AT45*VLOOKUP('Données projet'!$B$10,Paramètres!$A$1:$I$89,3,0)*0.475*44/12</f>
        <v>#N/A</v>
      </c>
      <c r="AX45" s="21" t="e">
        <f t="shared" si="6"/>
        <v>#N/A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1">
        <f t="shared" si="32"/>
        <v>11.529771748983352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67">
        <f t="shared" si="1"/>
        <v>343.34135579614605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-5.6843418860808015E-14</v>
      </c>
      <c r="O46" s="13">
        <f>N46*VLOOKUP('Données projet'!$B$9,Paramètres!$A$1:$I$89,3,0)*VLOOKUP('Données projet'!$B$9,Paramètres!$A$1:$I$89,5,0)</f>
        <v>-3.3992364478763198E-14</v>
      </c>
      <c r="P46" s="13" t="e">
        <f t="shared" si="33"/>
        <v>#NUM!</v>
      </c>
      <c r="Q46" s="20" t="e">
        <f t="shared" si="53"/>
        <v>#NUM!</v>
      </c>
      <c r="R46" s="59" t="e">
        <f t="shared" si="0"/>
        <v>#NUM!</v>
      </c>
      <c r="S46" s="59">
        <f ca="1">AVERAGE(OFFSET($R$3,0,0,'Données projet'!$E$9+1,1))-AVERAGE(OFFSET($H$3,0,0,'Données projet'!$E$9+1,1))</f>
        <v>161.92866721009744</v>
      </c>
      <c r="T46" s="59">
        <f t="shared" si="34"/>
        <v>327.23695023676987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89.741852859311905</v>
      </c>
      <c r="AA46" s="21">
        <f>EXP(-LN(2)/25)*AA45+(1-EXP(-LN(2)/25))/(LN(2)/25)*Calculateur!V46*Calculateur!X46*VLOOKUP('Données projet'!$B$9,Paramètres!$A$1:$I$89,3,0)*0.475*44/12</f>
        <v>16.60886755134041</v>
      </c>
      <c r="AB46" s="21">
        <f>EXP(-LN(2)/2)*AB45+(1-EXP(-LN(2)/2))/(LN(2)/2)*V46*Y46*VLOOKUP('Données projet'!$B$9,Paramètres!$A$1:$I$89,3,0)*0.475*44/12</f>
        <v>0.88284791290559117</v>
      </c>
      <c r="AC46" s="22">
        <f t="shared" si="3"/>
        <v>107.2335683235579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0</v>
      </c>
      <c r="AJ46" s="13" t="e">
        <f>AI46*VLOOKUP('Données projet'!$B$10,Paramètres!$A$1:$I$89,3,0)*VLOOKUP('Données projet'!$B$10,Paramètres!$A$1:$I$89,5,0)</f>
        <v>#N/A</v>
      </c>
      <c r="AK46" s="13" t="e">
        <f t="shared" si="35"/>
        <v>#N/A</v>
      </c>
      <c r="AL46" s="20" t="e">
        <f t="shared" si="4"/>
        <v>#N/A</v>
      </c>
      <c r="AM46" s="59" t="e">
        <f t="shared" si="5"/>
        <v>#N/A</v>
      </c>
      <c r="AN46" s="59" t="e">
        <f ca="1">AVERAGE(OFFSET($AM$3,0,0,'Données projet'!$E$10+1,1))-AVERAGE(OFFSET($H$3,0,0,'Données projet'!$E$10+1,1))</f>
        <v>#N/A</v>
      </c>
      <c r="AO46" s="59" t="e">
        <f t="shared" si="36"/>
        <v>#N/A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 t="e">
        <f>EXP(-LN(2)/35)*AU45+(1-EXP(-LN(2)/35))/(LN(2)/35)*AQ46*AR46*VLOOKUP('Données projet'!$B$10,Paramètres!$A$1:$I$89,3,0)*0.475*44/12</f>
        <v>#N/A</v>
      </c>
      <c r="AV46" s="21" t="e">
        <f>EXP(-LN(2)/25)*AV45+(1-EXP(-LN(2)/25))/(LN(2)/25)*Calculateur!AQ46*Calculateur!AS46*VLOOKUP('Données projet'!$B$10,Paramètres!$A$1:$I$89,3,0)*0.475*44/12</f>
        <v>#N/A</v>
      </c>
      <c r="AW46" s="21" t="e">
        <f>EXP(-LN(2)/2)*AW45+(1-EXP(-LN(2)/2))/(LN(2)/2)*AQ46*AT46*VLOOKUP('Données projet'!$B$10,Paramètres!$A$1:$I$89,3,0)*0.475*44/12</f>
        <v>#N/A</v>
      </c>
      <c r="AX46" s="21" t="e">
        <f t="shared" si="6"/>
        <v>#N/A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1">
        <f t="shared" si="32"/>
        <v>11.766377220171686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67">
        <f t="shared" si="1"/>
        <v>345.30213365846572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-5.6843418860808015E-14</v>
      </c>
      <c r="O47" s="13">
        <f>N47*VLOOKUP('Données projet'!$B$9,Paramètres!$A$1:$I$89,3,0)*VLOOKUP('Données projet'!$B$9,Paramètres!$A$1:$I$89,5,0)</f>
        <v>-3.3992364478763198E-14</v>
      </c>
      <c r="P47" s="13" t="e">
        <f t="shared" si="33"/>
        <v>#NUM!</v>
      </c>
      <c r="Q47" s="20" t="e">
        <f t="shared" si="53"/>
        <v>#NUM!</v>
      </c>
      <c r="R47" s="59" t="e">
        <f t="shared" si="0"/>
        <v>#NUM!</v>
      </c>
      <c r="S47" s="59">
        <f ca="1">AVERAGE(OFFSET($R$3,0,0,'Données projet'!$E$9+1,1))-AVERAGE(OFFSET($H$3,0,0,'Données projet'!$E$9+1,1))</f>
        <v>161.92866721009744</v>
      </c>
      <c r="T47" s="59">
        <f t="shared" si="34"/>
        <v>327.23695023676987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87.982069861866194</v>
      </c>
      <c r="AA47" s="21">
        <f>EXP(-LN(2)/25)*AA46+(1-EXP(-LN(2)/25))/(LN(2)/25)*Calculateur!V47*Calculateur!X47*VLOOKUP('Données projet'!$B$9,Paramètres!$A$1:$I$89,3,0)*0.475*44/12</f>
        <v>16.154697194726623</v>
      </c>
      <c r="AB47" s="21">
        <f>EXP(-LN(2)/2)*AB46+(1-EXP(-LN(2)/2))/(LN(2)/2)*V47*Y47*VLOOKUP('Données projet'!$B$9,Paramètres!$A$1:$I$89,3,0)*0.475*44/12</f>
        <v>0.62426774597193402</v>
      </c>
      <c r="AC47" s="22">
        <f t="shared" si="3"/>
        <v>104.76103480256475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0</v>
      </c>
      <c r="AJ47" s="13" t="e">
        <f>AI47*VLOOKUP('Données projet'!$B$10,Paramètres!$A$1:$I$89,3,0)*VLOOKUP('Données projet'!$B$10,Paramètres!$A$1:$I$89,5,0)</f>
        <v>#N/A</v>
      </c>
      <c r="AK47" s="13" t="e">
        <f t="shared" si="35"/>
        <v>#N/A</v>
      </c>
      <c r="AL47" s="20" t="e">
        <f t="shared" si="4"/>
        <v>#N/A</v>
      </c>
      <c r="AM47" s="59" t="e">
        <f t="shared" si="5"/>
        <v>#N/A</v>
      </c>
      <c r="AN47" s="59" t="e">
        <f ca="1">AVERAGE(OFFSET($AM$3,0,0,'Données projet'!$E$10+1,1))-AVERAGE(OFFSET($H$3,0,0,'Données projet'!$E$10+1,1))</f>
        <v>#N/A</v>
      </c>
      <c r="AO47" s="59" t="e">
        <f t="shared" si="36"/>
        <v>#N/A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 t="e">
        <f>EXP(-LN(2)/35)*AU46+(1-EXP(-LN(2)/35))/(LN(2)/35)*AQ47*AR47*VLOOKUP('Données projet'!$B$10,Paramètres!$A$1:$I$89,3,0)*0.475*44/12</f>
        <v>#N/A</v>
      </c>
      <c r="AV47" s="21" t="e">
        <f>EXP(-LN(2)/25)*AV46+(1-EXP(-LN(2)/25))/(LN(2)/25)*Calculateur!AQ47*Calculateur!AS47*VLOOKUP('Données projet'!$B$10,Paramètres!$A$1:$I$89,3,0)*0.475*44/12</f>
        <v>#N/A</v>
      </c>
      <c r="AW47" s="21" t="e">
        <f>EXP(-LN(2)/2)*AW46+(1-EXP(-LN(2)/2))/(LN(2)/2)*AQ47*AT47*VLOOKUP('Données projet'!$B$10,Paramètres!$A$1:$I$89,3,0)*0.475*44/12</f>
        <v>#N/A</v>
      </c>
      <c r="AX47" s="21" t="e">
        <f t="shared" si="6"/>
        <v>#N/A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1">
        <f t="shared" si="32"/>
        <v>12.002357532661732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67">
        <f t="shared" si="1"/>
        <v>347.2618227027192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-5.6843418860808015E-14</v>
      </c>
      <c r="O48" s="13">
        <f>N48*VLOOKUP('Données projet'!$B$9,Paramètres!$A$1:$I$89,3,0)*VLOOKUP('Données projet'!$B$9,Paramètres!$A$1:$I$89,5,0)</f>
        <v>-3.3992364478763198E-14</v>
      </c>
      <c r="P48" s="13" t="e">
        <f t="shared" si="33"/>
        <v>#NUM!</v>
      </c>
      <c r="Q48" s="20" t="e">
        <f t="shared" si="53"/>
        <v>#NUM!</v>
      </c>
      <c r="R48" s="59" t="e">
        <f t="shared" si="0"/>
        <v>#NUM!</v>
      </c>
      <c r="S48" s="59">
        <f ca="1">AVERAGE(OFFSET($R$3,0,0,'Données projet'!$E$9+1,1))-AVERAGE(OFFSET($H$3,0,0,'Données projet'!$E$9+1,1))</f>
        <v>161.92866721009744</v>
      </c>
      <c r="T48" s="59">
        <f t="shared" si="34"/>
        <v>327.23695023676987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86.256795135638754</v>
      </c>
      <c r="AA48" s="21">
        <f>EXP(-LN(2)/25)*AA47+(1-EXP(-LN(2)/25))/(LN(2)/25)*Calculateur!V48*Calculateur!X48*VLOOKUP('Données projet'!$B$9,Paramètres!$A$1:$I$89,3,0)*0.475*44/12</f>
        <v>15.712946150398221</v>
      </c>
      <c r="AB48" s="21">
        <f>EXP(-LN(2)/2)*AB47+(1-EXP(-LN(2)/2))/(LN(2)/2)*V48*Y48*VLOOKUP('Données projet'!$B$9,Paramètres!$A$1:$I$89,3,0)*0.475*44/12</f>
        <v>0.44142395645279559</v>
      </c>
      <c r="AC48" s="22">
        <f t="shared" si="3"/>
        <v>102.41116524248977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0</v>
      </c>
      <c r="AJ48" s="13" t="e">
        <f>AI48*VLOOKUP('Données projet'!$B$10,Paramètres!$A$1:$I$89,3,0)*VLOOKUP('Données projet'!$B$10,Paramètres!$A$1:$I$89,5,0)</f>
        <v>#N/A</v>
      </c>
      <c r="AK48" s="13" t="e">
        <f t="shared" si="35"/>
        <v>#N/A</v>
      </c>
      <c r="AL48" s="20" t="e">
        <f t="shared" si="4"/>
        <v>#N/A</v>
      </c>
      <c r="AM48" s="59" t="e">
        <f t="shared" si="5"/>
        <v>#N/A</v>
      </c>
      <c r="AN48" s="59" t="e">
        <f ca="1">AVERAGE(OFFSET($AM$3,0,0,'Données projet'!$E$10+1,1))-AVERAGE(OFFSET($H$3,0,0,'Données projet'!$E$10+1,1))</f>
        <v>#N/A</v>
      </c>
      <c r="AO48" s="59" t="e">
        <f t="shared" si="36"/>
        <v>#N/A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 t="e">
        <f>EXP(-LN(2)/35)*AU47+(1-EXP(-LN(2)/35))/(LN(2)/35)*AQ48*AR48*VLOOKUP('Données projet'!$B$10,Paramètres!$A$1:$I$89,3,0)*0.475*44/12</f>
        <v>#N/A</v>
      </c>
      <c r="AV48" s="21" t="e">
        <f>EXP(-LN(2)/25)*AV47+(1-EXP(-LN(2)/25))/(LN(2)/25)*Calculateur!AQ48*Calculateur!AS48*VLOOKUP('Données projet'!$B$10,Paramètres!$A$1:$I$89,3,0)*0.475*44/12</f>
        <v>#N/A</v>
      </c>
      <c r="AW48" s="21" t="e">
        <f>EXP(-LN(2)/2)*AW47+(1-EXP(-LN(2)/2))/(LN(2)/2)*AQ48*AT48*VLOOKUP('Données projet'!$B$10,Paramètres!$A$1:$I$89,3,0)*0.475*44/12</f>
        <v>#N/A</v>
      </c>
      <c r="AX48" s="21" t="e">
        <f t="shared" si="6"/>
        <v>#N/A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1">
        <f t="shared" si="32"/>
        <v>12.237728178480605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67">
        <f t="shared" si="1"/>
        <v>349.22044991085374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-5.6843418860808015E-14</v>
      </c>
      <c r="O49" s="13">
        <f>N49*VLOOKUP('Données projet'!$B$9,Paramètres!$A$1:$I$89,3,0)*VLOOKUP('Données projet'!$B$9,Paramètres!$A$1:$I$89,5,0)</f>
        <v>-3.3992364478763198E-14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161.92866721009744</v>
      </c>
      <c r="T49" s="59">
        <f t="shared" si="34"/>
        <v>327.23695023676987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84.565351994478959</v>
      </c>
      <c r="AA49" s="21">
        <f>EXP(-LN(2)/25)*AA48+(1-EXP(-LN(2)/25))/(LN(2)/25)*Calculateur!V49*Calculateur!X49*VLOOKUP('Données projet'!$B$9,Paramètres!$A$1:$I$89,3,0)*0.475*44/12</f>
        <v>15.283274811607656</v>
      </c>
      <c r="AB49" s="21">
        <f>EXP(-LN(2)/2)*AB48+(1-EXP(-LN(2)/2))/(LN(2)/2)*V49*Y49*VLOOKUP('Données projet'!$B$9,Paramètres!$A$1:$I$89,3,0)*0.475*44/12</f>
        <v>0.31213387298596701</v>
      </c>
      <c r="AC49" s="22">
        <f t="shared" si="3"/>
        <v>100.16076067907258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0</v>
      </c>
      <c r="AJ49" s="13" t="e">
        <f>AI49*VLOOKUP('Données projet'!$B$10,Paramètres!$A$1:$I$89,3,0)*VLOOKUP('Données projet'!$B$10,Paramètres!$A$1:$I$89,5,0)</f>
        <v>#N/A</v>
      </c>
      <c r="AK49" s="13" t="e">
        <f t="shared" si="35"/>
        <v>#N/A</v>
      </c>
      <c r="AL49" s="20" t="e">
        <f t="shared" si="4"/>
        <v>#N/A</v>
      </c>
      <c r="AM49" s="59" t="e">
        <f t="shared" si="5"/>
        <v>#N/A</v>
      </c>
      <c r="AN49" s="59" t="e">
        <f ca="1">AVERAGE(OFFSET($AM$3,0,0,'Données projet'!$E$10+1,1))-AVERAGE(OFFSET($H$3,0,0,'Données projet'!$E$10+1,1))</f>
        <v>#N/A</v>
      </c>
      <c r="AO49" s="59" t="e">
        <f t="shared" si="36"/>
        <v>#N/A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 t="e">
        <f>EXP(-LN(2)/35)*AU48+(1-EXP(-LN(2)/35))/(LN(2)/35)*AQ49*AR49*VLOOKUP('Données projet'!$B$10,Paramètres!$A$1:$I$89,3,0)*0.475*44/12</f>
        <v>#N/A</v>
      </c>
      <c r="AV49" s="21" t="e">
        <f>EXP(-LN(2)/25)*AV48+(1-EXP(-LN(2)/25))/(LN(2)/25)*Calculateur!AQ49*Calculateur!AS49*VLOOKUP('Données projet'!$B$10,Paramètres!$A$1:$I$89,3,0)*0.475*44/12</f>
        <v>#N/A</v>
      </c>
      <c r="AW49" s="21" t="e">
        <f>EXP(-LN(2)/2)*AW48+(1-EXP(-LN(2)/2))/(LN(2)/2)*AQ49*AT49*VLOOKUP('Données projet'!$B$10,Paramètres!$A$1:$I$89,3,0)*0.475*44/12</f>
        <v>#N/A</v>
      </c>
      <c r="AX49" s="21" t="e">
        <f t="shared" si="6"/>
        <v>#N/A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1">
        <f t="shared" si="32"/>
        <v>12.472503937619972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67">
        <f t="shared" si="1"/>
        <v>351.17804102468818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-5.6843418860808015E-14</v>
      </c>
      <c r="O50" s="13">
        <f>N50*VLOOKUP('Données projet'!$B$9,Paramètres!$A$1:$I$89,3,0)*VLOOKUP('Données projet'!$B$9,Paramètres!$A$1:$I$89,5,0)</f>
        <v>-3.3992364478763198E-14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161.92866721009744</v>
      </c>
      <c r="T50" s="59">
        <f t="shared" si="34"/>
        <v>327.23695023676987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82.907077021638869</v>
      </c>
      <c r="AA50" s="21">
        <f>EXP(-LN(2)/25)*AA49+(1-EXP(-LN(2)/25))/(LN(2)/25)*Calculateur!V50*Calculateur!X50*VLOOKUP('Données projet'!$B$9,Paramètres!$A$1:$I$89,3,0)*0.475*44/12</f>
        <v>14.865352858171754</v>
      </c>
      <c r="AB50" s="21">
        <f>EXP(-LN(2)/2)*AB49+(1-EXP(-LN(2)/2))/(LN(2)/2)*V50*Y50*VLOOKUP('Données projet'!$B$9,Paramètres!$A$1:$I$89,3,0)*0.475*44/12</f>
        <v>0.22071197822639779</v>
      </c>
      <c r="AC50" s="22">
        <f t="shared" si="3"/>
        <v>97.993141858037035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0</v>
      </c>
      <c r="AJ50" s="13" t="e">
        <f>AI50*VLOOKUP('Données projet'!$B$10,Paramètres!$A$1:$I$89,3,0)*VLOOKUP('Données projet'!$B$10,Paramètres!$A$1:$I$89,5,0)</f>
        <v>#N/A</v>
      </c>
      <c r="AK50" s="13" t="e">
        <f t="shared" si="35"/>
        <v>#N/A</v>
      </c>
      <c r="AL50" s="20" t="e">
        <f t="shared" si="4"/>
        <v>#N/A</v>
      </c>
      <c r="AM50" s="59" t="e">
        <f t="shared" si="5"/>
        <v>#N/A</v>
      </c>
      <c r="AN50" s="59" t="e">
        <f ca="1">AVERAGE(OFFSET($AM$3,0,0,'Données projet'!$E$10+1,1))-AVERAGE(OFFSET($H$3,0,0,'Données projet'!$E$10+1,1))</f>
        <v>#N/A</v>
      </c>
      <c r="AO50" s="59" t="e">
        <f t="shared" si="36"/>
        <v>#N/A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 t="e">
        <f>EXP(-LN(2)/35)*AU49+(1-EXP(-LN(2)/35))/(LN(2)/35)*AQ50*AR50*VLOOKUP('Données projet'!$B$10,Paramètres!$A$1:$I$89,3,0)*0.475*44/12</f>
        <v>#N/A</v>
      </c>
      <c r="AV50" s="21" t="e">
        <f>EXP(-LN(2)/25)*AV49+(1-EXP(-LN(2)/25))/(LN(2)/25)*Calculateur!AQ50*Calculateur!AS50*VLOOKUP('Données projet'!$B$10,Paramètres!$A$1:$I$89,3,0)*0.475*44/12</f>
        <v>#N/A</v>
      </c>
      <c r="AW50" s="21" t="e">
        <f>EXP(-LN(2)/2)*AW49+(1-EXP(-LN(2)/2))/(LN(2)/2)*AQ50*AT50*VLOOKUP('Données projet'!$B$10,Paramètres!$A$1:$I$89,3,0)*0.475*44/12</f>
        <v>#N/A</v>
      </c>
      <c r="AX50" s="21" t="e">
        <f t="shared" si="6"/>
        <v>#N/A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1">
        <f t="shared" si="32"/>
        <v>12.706698925204435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67">
        <f t="shared" si="1"/>
        <v>353.13462062806445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-5.6843418860808015E-14</v>
      </c>
      <c r="O51" s="13">
        <f>N51*VLOOKUP('Données projet'!$B$9,Paramètres!$A$1:$I$89,3,0)*VLOOKUP('Données projet'!$B$9,Paramètres!$A$1:$I$89,5,0)</f>
        <v>-3.3992364478763198E-14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161.92866721009744</v>
      </c>
      <c r="T51" s="59">
        <f t="shared" si="34"/>
        <v>327.23695023676987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81.281319809568302</v>
      </c>
      <c r="AA51" s="21">
        <f>EXP(-LN(2)/25)*AA50+(1-EXP(-LN(2)/25))/(LN(2)/25)*Calculateur!V51*Calculateur!X51*VLOOKUP('Données projet'!$B$9,Paramètres!$A$1:$I$89,3,0)*0.475*44/12</f>
        <v>14.458859002530115</v>
      </c>
      <c r="AB51" s="21">
        <f>EXP(-LN(2)/2)*AB50+(1-EXP(-LN(2)/2))/(LN(2)/2)*V51*Y51*VLOOKUP('Données projet'!$B$9,Paramètres!$A$1:$I$89,3,0)*0.475*44/12</f>
        <v>0.1560669364929835</v>
      </c>
      <c r="AC51" s="22">
        <f t="shared" si="3"/>
        <v>95.896245748591397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0</v>
      </c>
      <c r="AJ51" s="13" t="e">
        <f>AI51*VLOOKUP('Données projet'!$B$10,Paramètres!$A$1:$I$89,3,0)*VLOOKUP('Données projet'!$B$10,Paramètres!$A$1:$I$89,5,0)</f>
        <v>#N/A</v>
      </c>
      <c r="AK51" s="13" t="e">
        <f t="shared" si="35"/>
        <v>#N/A</v>
      </c>
      <c r="AL51" s="20" t="e">
        <f t="shared" si="4"/>
        <v>#N/A</v>
      </c>
      <c r="AM51" s="59" t="e">
        <f t="shared" si="5"/>
        <v>#N/A</v>
      </c>
      <c r="AN51" s="59" t="e">
        <f ca="1">AVERAGE(OFFSET($AM$3,0,0,'Données projet'!$E$10+1,1))-AVERAGE(OFFSET($H$3,0,0,'Données projet'!$E$10+1,1))</f>
        <v>#N/A</v>
      </c>
      <c r="AO51" s="59" t="e">
        <f t="shared" si="36"/>
        <v>#N/A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 t="e">
        <f>EXP(-LN(2)/35)*AU50+(1-EXP(-LN(2)/35))/(LN(2)/35)*AQ51*AR51*VLOOKUP('Données projet'!$B$10,Paramètres!$A$1:$I$89,3,0)*0.475*44/12</f>
        <v>#N/A</v>
      </c>
      <c r="AV51" s="21" t="e">
        <f>EXP(-LN(2)/25)*AV50+(1-EXP(-LN(2)/25))/(LN(2)/25)*Calculateur!AQ51*Calculateur!AS51*VLOOKUP('Données projet'!$B$10,Paramètres!$A$1:$I$89,3,0)*0.475*44/12</f>
        <v>#N/A</v>
      </c>
      <c r="AW51" s="21" t="e">
        <f>EXP(-LN(2)/2)*AW50+(1-EXP(-LN(2)/2))/(LN(2)/2)*AQ51*AT51*VLOOKUP('Données projet'!$B$10,Paramètres!$A$1:$I$89,3,0)*0.475*44/12</f>
        <v>#N/A</v>
      </c>
      <c r="AX51" s="21" t="e">
        <f t="shared" si="6"/>
        <v>#N/A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1">
        <f t="shared" si="32"/>
        <v>12.940326634618209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67">
        <f t="shared" si="1"/>
        <v>355.09021222196009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-5.6843418860808015E-14</v>
      </c>
      <c r="O52" s="13">
        <f>N52*VLOOKUP('Données projet'!$B$9,Paramètres!$A$1:$I$89,3,0)*VLOOKUP('Données projet'!$B$9,Paramètres!$A$1:$I$89,5,0)</f>
        <v>-3.3992364478763198E-14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161.92866721009744</v>
      </c>
      <c r="T52" s="59">
        <f t="shared" si="34"/>
        <v>327.23695023676987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79.687442704812455</v>
      </c>
      <c r="AA52" s="21">
        <f>EXP(-LN(2)/25)*AA51+(1-EXP(-LN(2)/25))/(LN(2)/25)*Calculateur!V52*Calculateur!X52*VLOOKUP('Données projet'!$B$9,Paramètres!$A$1:$I$89,3,0)*0.475*44/12</f>
        <v>14.063480742747581</v>
      </c>
      <c r="AB52" s="21">
        <f>EXP(-LN(2)/2)*AB51+(1-EXP(-LN(2)/2))/(LN(2)/2)*V52*Y52*VLOOKUP('Données projet'!$B$9,Paramètres!$A$1:$I$89,3,0)*0.475*44/12</f>
        <v>0.1103559891131989</v>
      </c>
      <c r="AC52" s="22">
        <f t="shared" si="3"/>
        <v>93.861279436673243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0</v>
      </c>
      <c r="AJ52" s="13" t="e">
        <f>AI52*VLOOKUP('Données projet'!$B$10,Paramètres!$A$1:$I$89,3,0)*VLOOKUP('Données projet'!$B$10,Paramètres!$A$1:$I$89,5,0)</f>
        <v>#N/A</v>
      </c>
      <c r="AK52" s="13" t="e">
        <f t="shared" si="35"/>
        <v>#N/A</v>
      </c>
      <c r="AL52" s="20" t="e">
        <f t="shared" si="4"/>
        <v>#N/A</v>
      </c>
      <c r="AM52" s="59" t="e">
        <f t="shared" si="5"/>
        <v>#N/A</v>
      </c>
      <c r="AN52" s="59" t="e">
        <f ca="1">AVERAGE(OFFSET($AM$3,0,0,'Données projet'!$E$10+1,1))-AVERAGE(OFFSET($H$3,0,0,'Données projet'!$E$10+1,1))</f>
        <v>#N/A</v>
      </c>
      <c r="AO52" s="59" t="e">
        <f t="shared" si="36"/>
        <v>#N/A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 t="e">
        <f>EXP(-LN(2)/35)*AU51+(1-EXP(-LN(2)/35))/(LN(2)/35)*AQ52*AR52*VLOOKUP('Données projet'!$B$10,Paramètres!$A$1:$I$89,3,0)*0.475*44/12</f>
        <v>#N/A</v>
      </c>
      <c r="AV52" s="21" t="e">
        <f>EXP(-LN(2)/25)*AV51+(1-EXP(-LN(2)/25))/(LN(2)/25)*Calculateur!AQ52*Calculateur!AS52*VLOOKUP('Données projet'!$B$10,Paramètres!$A$1:$I$89,3,0)*0.475*44/12</f>
        <v>#N/A</v>
      </c>
      <c r="AW52" s="21" t="e">
        <f>EXP(-LN(2)/2)*AW51+(1-EXP(-LN(2)/2))/(LN(2)/2)*AQ52*AT52*VLOOKUP('Données projet'!$B$10,Paramètres!$A$1:$I$89,3,0)*0.475*44/12</f>
        <v>#N/A</v>
      </c>
      <c r="AX52" s="21" t="e">
        <f t="shared" si="6"/>
        <v>#N/A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1">
        <f t="shared" si="32"/>
        <v>13.17339997701186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67">
        <f t="shared" si="1"/>
        <v>357.0448382932957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-5.6843418860808015E-14</v>
      </c>
      <c r="O53" s="13">
        <f>N53*VLOOKUP('Données projet'!$B$9,Paramètres!$A$1:$I$89,3,0)*VLOOKUP('Données projet'!$B$9,Paramètres!$A$1:$I$89,5,0)</f>
        <v>-3.3992364478763198E-14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161.92866721009744</v>
      </c>
      <c r="T53" s="59">
        <f t="shared" si="34"/>
        <v>327.23695023676987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78.124820557911832</v>
      </c>
      <c r="AA53" s="21">
        <f>EXP(-LN(2)/25)*AA52+(1-EXP(-LN(2)/25))/(LN(2)/25)*Calculateur!V53*Calculateur!X53*VLOOKUP('Données projet'!$B$9,Paramètres!$A$1:$I$89,3,0)*0.475*44/12</f>
        <v>13.678914122270839</v>
      </c>
      <c r="AB53" s="21">
        <f>EXP(-LN(2)/2)*AB52+(1-EXP(-LN(2)/2))/(LN(2)/2)*V53*Y53*VLOOKUP('Données projet'!$B$9,Paramètres!$A$1:$I$89,3,0)*0.475*44/12</f>
        <v>7.8033468246491752E-2</v>
      </c>
      <c r="AC53" s="22">
        <f t="shared" si="3"/>
        <v>91.88176814842916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0</v>
      </c>
      <c r="AJ53" s="13" t="e">
        <f>AI53*VLOOKUP('Données projet'!$B$10,Paramètres!$A$1:$I$89,3,0)*VLOOKUP('Données projet'!$B$10,Paramètres!$A$1:$I$89,5,0)</f>
        <v>#N/A</v>
      </c>
      <c r="AK53" s="13" t="e">
        <f t="shared" si="35"/>
        <v>#N/A</v>
      </c>
      <c r="AL53" s="20" t="e">
        <f t="shared" si="4"/>
        <v>#N/A</v>
      </c>
      <c r="AM53" s="59" t="e">
        <f t="shared" si="5"/>
        <v>#N/A</v>
      </c>
      <c r="AN53" s="59" t="e">
        <f ca="1">AVERAGE(OFFSET($AM$3,0,0,'Données projet'!$E$10+1,1))-AVERAGE(OFFSET($H$3,0,0,'Données projet'!$E$10+1,1))</f>
        <v>#N/A</v>
      </c>
      <c r="AO53" s="59" t="e">
        <f t="shared" si="36"/>
        <v>#N/A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 t="e">
        <f>EXP(-LN(2)/35)*AU52+(1-EXP(-LN(2)/35))/(LN(2)/35)*AQ53*AR53*VLOOKUP('Données projet'!$B$10,Paramètres!$A$1:$I$89,3,0)*0.475*44/12</f>
        <v>#N/A</v>
      </c>
      <c r="AV53" s="21" t="e">
        <f>EXP(-LN(2)/25)*AV52+(1-EXP(-LN(2)/25))/(LN(2)/25)*Calculateur!AQ53*Calculateur!AS53*VLOOKUP('Données projet'!$B$10,Paramètres!$A$1:$I$89,3,0)*0.475*44/12</f>
        <v>#N/A</v>
      </c>
      <c r="AW53" s="21" t="e">
        <f>EXP(-LN(2)/2)*AW52+(1-EXP(-LN(2)/2))/(LN(2)/2)*AQ53*AT53*VLOOKUP('Données projet'!$B$10,Paramètres!$A$1:$I$89,3,0)*0.475*44/12</f>
        <v>#N/A</v>
      </c>
      <c r="AX53" s="21" t="e">
        <f t="shared" si="6"/>
        <v>#N/A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1">
        <f t="shared" si="32"/>
        <v>13.405931317559242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67">
        <f t="shared" si="1"/>
        <v>358.99852037808239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-5.6843418860808015E-14</v>
      </c>
      <c r="O54" s="13">
        <f>N54*VLOOKUP('Données projet'!$B$9,Paramètres!$A$1:$I$89,3,0)*VLOOKUP('Données projet'!$B$9,Paramètres!$A$1:$I$89,5,0)</f>
        <v>-3.3992364478763198E-14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161.92866721009744</v>
      </c>
      <c r="T54" s="59">
        <f t="shared" si="34"/>
        <v>327.23695023676987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76.59284047820654</v>
      </c>
      <c r="AA54" s="21">
        <f>EXP(-LN(2)/25)*AA53+(1-EXP(-LN(2)/25))/(LN(2)/25)*Calculateur!V54*Calculateur!X54*VLOOKUP('Données projet'!$B$9,Paramètres!$A$1:$I$89,3,0)*0.475*44/12</f>
        <v>13.304863496254514</v>
      </c>
      <c r="AB54" s="21">
        <f>EXP(-LN(2)/2)*AB53+(1-EXP(-LN(2)/2))/(LN(2)/2)*V54*Y54*VLOOKUP('Données projet'!$B$9,Paramètres!$A$1:$I$89,3,0)*0.475*44/12</f>
        <v>5.5177994556599448E-2</v>
      </c>
      <c r="AC54" s="22">
        <f t="shared" si="3"/>
        <v>89.952881969017653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0</v>
      </c>
      <c r="AJ54" s="13" t="e">
        <f>AI54*VLOOKUP('Données projet'!$B$10,Paramètres!$A$1:$I$89,3,0)*VLOOKUP('Données projet'!$B$10,Paramètres!$A$1:$I$89,5,0)</f>
        <v>#N/A</v>
      </c>
      <c r="AK54" s="13" t="e">
        <f t="shared" si="35"/>
        <v>#N/A</v>
      </c>
      <c r="AL54" s="20" t="e">
        <f t="shared" si="4"/>
        <v>#N/A</v>
      </c>
      <c r="AM54" s="59" t="e">
        <f t="shared" si="5"/>
        <v>#N/A</v>
      </c>
      <c r="AN54" s="59" t="e">
        <f ca="1">AVERAGE(OFFSET($AM$3,0,0,'Données projet'!$E$10+1,1))-AVERAGE(OFFSET($H$3,0,0,'Données projet'!$E$10+1,1))</f>
        <v>#N/A</v>
      </c>
      <c r="AO54" s="59" t="e">
        <f t="shared" si="36"/>
        <v>#N/A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 t="e">
        <f>EXP(-LN(2)/35)*AU53+(1-EXP(-LN(2)/35))/(LN(2)/35)*AQ54*AR54*VLOOKUP('Données projet'!$B$10,Paramètres!$A$1:$I$89,3,0)*0.475*44/12</f>
        <v>#N/A</v>
      </c>
      <c r="AV54" s="21" t="e">
        <f>EXP(-LN(2)/25)*AV53+(1-EXP(-LN(2)/25))/(LN(2)/25)*Calculateur!AQ54*Calculateur!AS54*VLOOKUP('Données projet'!$B$10,Paramètres!$A$1:$I$89,3,0)*0.475*44/12</f>
        <v>#N/A</v>
      </c>
      <c r="AW54" s="21" t="e">
        <f>EXP(-LN(2)/2)*AW53+(1-EXP(-LN(2)/2))/(LN(2)/2)*AQ54*AT54*VLOOKUP('Données projet'!$B$10,Paramètres!$A$1:$I$89,3,0)*0.475*44/12</f>
        <v>#N/A</v>
      </c>
      <c r="AX54" s="21" t="e">
        <f t="shared" si="6"/>
        <v>#N/A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1">
        <f t="shared" si="32"/>
        <v>13.637932508790366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67">
        <f t="shared" si="1"/>
        <v>360.95127911947662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-5.6843418860808015E-14</v>
      </c>
      <c r="O55" s="13">
        <f>N55*VLOOKUP('Données projet'!$B$9,Paramètres!$A$1:$I$89,3,0)*VLOOKUP('Données projet'!$B$9,Paramètres!$A$1:$I$89,5,0)</f>
        <v>-3.3992364478763198E-14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161.92866721009744</v>
      </c>
      <c r="T55" s="59">
        <f t="shared" si="34"/>
        <v>327.23695023676987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75.090901593448677</v>
      </c>
      <c r="AA55" s="21">
        <f>EXP(-LN(2)/25)*AA54+(1-EXP(-LN(2)/25))/(LN(2)/25)*Calculateur!V55*Calculateur!X55*VLOOKUP('Données projet'!$B$9,Paramètres!$A$1:$I$89,3,0)*0.475*44/12</f>
        <v>12.941041304277071</v>
      </c>
      <c r="AB55" s="21">
        <f>EXP(-LN(2)/2)*AB54+(1-EXP(-LN(2)/2))/(LN(2)/2)*V55*Y55*VLOOKUP('Données projet'!$B$9,Paramètres!$A$1:$I$89,3,0)*0.475*44/12</f>
        <v>3.9016734123245876E-2</v>
      </c>
      <c r="AC55" s="22">
        <f t="shared" si="3"/>
        <v>88.070959631848993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0</v>
      </c>
      <c r="AJ55" s="13" t="e">
        <f>AI55*VLOOKUP('Données projet'!$B$10,Paramètres!$A$1:$I$89,3,0)*VLOOKUP('Données projet'!$B$10,Paramètres!$A$1:$I$89,5,0)</f>
        <v>#N/A</v>
      </c>
      <c r="AK55" s="13" t="e">
        <f t="shared" si="35"/>
        <v>#N/A</v>
      </c>
      <c r="AL55" s="20" t="e">
        <f t="shared" si="4"/>
        <v>#N/A</v>
      </c>
      <c r="AM55" s="59" t="e">
        <f t="shared" si="5"/>
        <v>#N/A</v>
      </c>
      <c r="AN55" s="59" t="e">
        <f ca="1">AVERAGE(OFFSET($AM$3,0,0,'Données projet'!$E$10+1,1))-AVERAGE(OFFSET($H$3,0,0,'Données projet'!$E$10+1,1))</f>
        <v>#N/A</v>
      </c>
      <c r="AO55" s="59" t="e">
        <f t="shared" si="36"/>
        <v>#N/A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 t="e">
        <f>EXP(-LN(2)/35)*AU54+(1-EXP(-LN(2)/35))/(LN(2)/35)*AQ55*AR55*VLOOKUP('Données projet'!$B$10,Paramètres!$A$1:$I$89,3,0)*0.475*44/12</f>
        <v>#N/A</v>
      </c>
      <c r="AV55" s="21" t="e">
        <f>EXP(-LN(2)/25)*AV54+(1-EXP(-LN(2)/25))/(LN(2)/25)*Calculateur!AQ55*Calculateur!AS55*VLOOKUP('Données projet'!$B$10,Paramètres!$A$1:$I$89,3,0)*0.475*44/12</f>
        <v>#N/A</v>
      </c>
      <c r="AW55" s="21" t="e">
        <f>EXP(-LN(2)/2)*AW54+(1-EXP(-LN(2)/2))/(LN(2)/2)*AQ55*AT55*VLOOKUP('Données projet'!$B$10,Paramètres!$A$1:$I$89,3,0)*0.475*44/12</f>
        <v>#N/A</v>
      </c>
      <c r="AX55" s="21" t="e">
        <f t="shared" si="6"/>
        <v>#N/A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1">
        <f t="shared" si="32"/>
        <v>13.869414921287754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67">
        <f t="shared" si="1"/>
        <v>362.90313432124293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-5.6843418860808015E-14</v>
      </c>
      <c r="O56" s="13">
        <f>N56*VLOOKUP('Données projet'!$B$9,Paramètres!$A$1:$I$89,3,0)*VLOOKUP('Données projet'!$B$9,Paramètres!$A$1:$I$89,5,0)</f>
        <v>-3.3992364478763198E-14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161.92866721009744</v>
      </c>
      <c r="T56" s="59">
        <f t="shared" si="34"/>
        <v>327.23695023676987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73.618414814128656</v>
      </c>
      <c r="AA56" s="21">
        <f>EXP(-LN(2)/25)*AA55+(1-EXP(-LN(2)/25))/(LN(2)/25)*Calculateur!V56*Calculateur!X56*VLOOKUP('Données projet'!$B$9,Paramètres!$A$1:$I$89,3,0)*0.475*44/12</f>
        <v>12.587167849271831</v>
      </c>
      <c r="AB56" s="21">
        <f>EXP(-LN(2)/2)*AB55+(1-EXP(-LN(2)/2))/(LN(2)/2)*V56*Y56*VLOOKUP('Données projet'!$B$9,Paramètres!$A$1:$I$89,3,0)*0.475*44/12</f>
        <v>2.7588997278299724E-2</v>
      </c>
      <c r="AC56" s="22">
        <f t="shared" si="3"/>
        <v>86.233171660678792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0</v>
      </c>
      <c r="AJ56" s="13" t="e">
        <f>AI56*VLOOKUP('Données projet'!$B$10,Paramètres!$A$1:$I$89,3,0)*VLOOKUP('Données projet'!$B$10,Paramètres!$A$1:$I$89,5,0)</f>
        <v>#N/A</v>
      </c>
      <c r="AK56" s="13" t="e">
        <f t="shared" si="35"/>
        <v>#N/A</v>
      </c>
      <c r="AL56" s="20" t="e">
        <f t="shared" si="4"/>
        <v>#N/A</v>
      </c>
      <c r="AM56" s="59" t="e">
        <f t="shared" si="5"/>
        <v>#N/A</v>
      </c>
      <c r="AN56" s="59" t="e">
        <f ca="1">AVERAGE(OFFSET($AM$3,0,0,'Données projet'!$E$10+1,1))-AVERAGE(OFFSET($H$3,0,0,'Données projet'!$E$10+1,1))</f>
        <v>#N/A</v>
      </c>
      <c r="AO56" s="59" t="e">
        <f t="shared" si="36"/>
        <v>#N/A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 t="e">
        <f>EXP(-LN(2)/35)*AU55+(1-EXP(-LN(2)/35))/(LN(2)/35)*AQ56*AR56*VLOOKUP('Données projet'!$B$10,Paramètres!$A$1:$I$89,3,0)*0.475*44/12</f>
        <v>#N/A</v>
      </c>
      <c r="AV56" s="21" t="e">
        <f>EXP(-LN(2)/25)*AV55+(1-EXP(-LN(2)/25))/(LN(2)/25)*Calculateur!AQ56*Calculateur!AS56*VLOOKUP('Données projet'!$B$10,Paramètres!$A$1:$I$89,3,0)*0.475*44/12</f>
        <v>#N/A</v>
      </c>
      <c r="AW56" s="21" t="e">
        <f>EXP(-LN(2)/2)*AW55+(1-EXP(-LN(2)/2))/(LN(2)/2)*AQ56*AT56*VLOOKUP('Données projet'!$B$10,Paramètres!$A$1:$I$89,3,0)*0.475*44/12</f>
        <v>#N/A</v>
      </c>
      <c r="AX56" s="21" t="e">
        <f t="shared" si="6"/>
        <v>#N/A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1">
        <f t="shared" si="32"/>
        <v>14.100389472000563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67">
        <f t="shared" si="1"/>
        <v>364.85410499706774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-5.6843418860808015E-14</v>
      </c>
      <c r="O57" s="13">
        <f>N57*VLOOKUP('Données projet'!$B$9,Paramètres!$A$1:$I$89,3,0)*VLOOKUP('Données projet'!$B$9,Paramètres!$A$1:$I$89,5,0)</f>
        <v>-3.3992364478763198E-14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161.92866721009744</v>
      </c>
      <c r="T57" s="59">
        <f t="shared" si="34"/>
        <v>327.23695023676987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72.174802602422844</v>
      </c>
      <c r="AA57" s="21">
        <f>EXP(-LN(2)/25)*AA56+(1-EXP(-LN(2)/25))/(LN(2)/25)*Calculateur!V57*Calculateur!X57*VLOOKUP('Données projet'!$B$9,Paramètres!$A$1:$I$89,3,0)*0.475*44/12</f>
        <v>12.242971082503104</v>
      </c>
      <c r="AB57" s="21">
        <f>EXP(-LN(2)/2)*AB56+(1-EXP(-LN(2)/2))/(LN(2)/2)*V57*Y57*VLOOKUP('Données projet'!$B$9,Paramètres!$A$1:$I$89,3,0)*0.475*44/12</f>
        <v>1.9508367061622938E-2</v>
      </c>
      <c r="AC57" s="22">
        <f t="shared" si="3"/>
        <v>84.437282051987566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0</v>
      </c>
      <c r="AJ57" s="13" t="e">
        <f>AI57*VLOOKUP('Données projet'!$B$10,Paramètres!$A$1:$I$89,3,0)*VLOOKUP('Données projet'!$B$10,Paramètres!$A$1:$I$89,5,0)</f>
        <v>#N/A</v>
      </c>
      <c r="AK57" s="13" t="e">
        <f t="shared" si="35"/>
        <v>#N/A</v>
      </c>
      <c r="AL57" s="20" t="e">
        <f t="shared" si="4"/>
        <v>#N/A</v>
      </c>
      <c r="AM57" s="59" t="e">
        <f t="shared" si="5"/>
        <v>#N/A</v>
      </c>
      <c r="AN57" s="59" t="e">
        <f ca="1">AVERAGE(OFFSET($AM$3,0,0,'Données projet'!$E$10+1,1))-AVERAGE(OFFSET($H$3,0,0,'Données projet'!$E$10+1,1))</f>
        <v>#N/A</v>
      </c>
      <c r="AO57" s="59" t="e">
        <f t="shared" si="36"/>
        <v>#N/A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 t="e">
        <f>EXP(-LN(2)/35)*AU56+(1-EXP(-LN(2)/35))/(LN(2)/35)*AQ57*AR57*VLOOKUP('Données projet'!$B$10,Paramètres!$A$1:$I$89,3,0)*0.475*44/12</f>
        <v>#N/A</v>
      </c>
      <c r="AV57" s="21" t="e">
        <f>EXP(-LN(2)/25)*AV56+(1-EXP(-LN(2)/25))/(LN(2)/25)*Calculateur!AQ57*Calculateur!AS57*VLOOKUP('Données projet'!$B$10,Paramètres!$A$1:$I$89,3,0)*0.475*44/12</f>
        <v>#N/A</v>
      </c>
      <c r="AW57" s="21" t="e">
        <f>EXP(-LN(2)/2)*AW56+(1-EXP(-LN(2)/2))/(LN(2)/2)*AQ57*AT57*VLOOKUP('Données projet'!$B$10,Paramètres!$A$1:$I$89,3,0)*0.475*44/12</f>
        <v>#N/A</v>
      </c>
      <c r="AX57" s="21" t="e">
        <f t="shared" si="6"/>
        <v>#N/A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1">
        <f t="shared" si="32"/>
        <v>14.330866650402033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67">
        <f t="shared" si="1"/>
        <v>366.80420941611692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-5.6843418860808015E-14</v>
      </c>
      <c r="O58" s="13">
        <f>N58*VLOOKUP('Données projet'!$B$9,Paramètres!$A$1:$I$89,3,0)*VLOOKUP('Données projet'!$B$9,Paramètres!$A$1:$I$89,5,0)</f>
        <v>-3.3992364478763198E-14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161.92866721009744</v>
      </c>
      <c r="T58" s="59">
        <f t="shared" si="34"/>
        <v>327.23695023676987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70.759498745672076</v>
      </c>
      <c r="AA58" s="21">
        <f>EXP(-LN(2)/25)*AA57+(1-EXP(-LN(2)/25))/(LN(2)/25)*Calculateur!V58*Calculateur!X58*VLOOKUP('Données projet'!$B$9,Paramètres!$A$1:$I$89,3,0)*0.475*44/12</f>
        <v>11.908186394422188</v>
      </c>
      <c r="AB58" s="21">
        <f>EXP(-LN(2)/2)*AB57+(1-EXP(-LN(2)/2))/(LN(2)/2)*V58*Y58*VLOOKUP('Données projet'!$B$9,Paramètres!$A$1:$I$89,3,0)*0.475*44/12</f>
        <v>1.3794498639149862E-2</v>
      </c>
      <c r="AC58" s="22">
        <f t="shared" si="3"/>
        <v>82.681479638733407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0</v>
      </c>
      <c r="AJ58" s="13" t="e">
        <f>AI58*VLOOKUP('Données projet'!$B$10,Paramètres!$A$1:$I$89,3,0)*VLOOKUP('Données projet'!$B$10,Paramètres!$A$1:$I$89,5,0)</f>
        <v>#N/A</v>
      </c>
      <c r="AK58" s="13" t="e">
        <f t="shared" si="35"/>
        <v>#N/A</v>
      </c>
      <c r="AL58" s="20" t="e">
        <f t="shared" si="4"/>
        <v>#N/A</v>
      </c>
      <c r="AM58" s="59" t="e">
        <f t="shared" si="5"/>
        <v>#N/A</v>
      </c>
      <c r="AN58" s="59" t="e">
        <f ca="1">AVERAGE(OFFSET($AM$3,0,0,'Données projet'!$E$10+1,1))-AVERAGE(OFFSET($H$3,0,0,'Données projet'!$E$10+1,1))</f>
        <v>#N/A</v>
      </c>
      <c r="AO58" s="59" t="e">
        <f t="shared" si="36"/>
        <v>#N/A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 t="e">
        <f>EXP(-LN(2)/35)*AU57+(1-EXP(-LN(2)/35))/(LN(2)/35)*AQ58*AR58*VLOOKUP('Données projet'!$B$10,Paramètres!$A$1:$I$89,3,0)*0.475*44/12</f>
        <v>#N/A</v>
      </c>
      <c r="AV58" s="21" t="e">
        <f>EXP(-LN(2)/25)*AV57+(1-EXP(-LN(2)/25))/(LN(2)/25)*Calculateur!AQ58*Calculateur!AS58*VLOOKUP('Données projet'!$B$10,Paramètres!$A$1:$I$89,3,0)*0.475*44/12</f>
        <v>#N/A</v>
      </c>
      <c r="AW58" s="21" t="e">
        <f>EXP(-LN(2)/2)*AW57+(1-EXP(-LN(2)/2))/(LN(2)/2)*AQ58*AT58*VLOOKUP('Données projet'!$B$10,Paramètres!$A$1:$I$89,3,0)*0.475*44/12</f>
        <v>#N/A</v>
      </c>
      <c r="AX58" s="21" t="e">
        <f t="shared" si="6"/>
        <v>#N/A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1">
        <f t="shared" si="32"/>
        <v>14.560856542690786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67">
        <f t="shared" si="1"/>
        <v>368.75346514518651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-5.6843418860808015E-14</v>
      </c>
      <c r="O59" s="13">
        <f>N59*VLOOKUP('Données projet'!$B$9,Paramètres!$A$1:$I$89,3,0)*VLOOKUP('Données projet'!$B$9,Paramètres!$A$1:$I$89,5,0)</f>
        <v>-3.3992364478763198E-14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161.92866721009744</v>
      </c>
      <c r="T59" s="59">
        <f t="shared" si="34"/>
        <v>327.23695023676987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69.371948134302087</v>
      </c>
      <c r="AA59" s="21">
        <f>EXP(-LN(2)/25)*AA58+(1-EXP(-LN(2)/25))/(LN(2)/25)*Calculateur!V59*Calculateur!X59*VLOOKUP('Données projet'!$B$9,Paramètres!$A$1:$I$89,3,0)*0.475*44/12</f>
        <v>11.582556411242408</v>
      </c>
      <c r="AB59" s="21">
        <f>EXP(-LN(2)/2)*AB58+(1-EXP(-LN(2)/2))/(LN(2)/2)*V59*Y59*VLOOKUP('Données projet'!$B$9,Paramètres!$A$1:$I$89,3,0)*0.475*44/12</f>
        <v>9.754183530811469E-3</v>
      </c>
      <c r="AC59" s="22">
        <f t="shared" si="3"/>
        <v>80.964258729075311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0</v>
      </c>
      <c r="AJ59" s="13" t="e">
        <f>AI59*VLOOKUP('Données projet'!$B$10,Paramètres!$A$1:$I$89,3,0)*VLOOKUP('Données projet'!$B$10,Paramètres!$A$1:$I$89,5,0)</f>
        <v>#N/A</v>
      </c>
      <c r="AK59" s="13" t="e">
        <f t="shared" si="35"/>
        <v>#N/A</v>
      </c>
      <c r="AL59" s="20" t="e">
        <f t="shared" si="4"/>
        <v>#N/A</v>
      </c>
      <c r="AM59" s="59" t="e">
        <f t="shared" si="5"/>
        <v>#N/A</v>
      </c>
      <c r="AN59" s="59" t="e">
        <f ca="1">AVERAGE(OFFSET($AM$3,0,0,'Données projet'!$E$10+1,1))-AVERAGE(OFFSET($H$3,0,0,'Données projet'!$E$10+1,1))</f>
        <v>#N/A</v>
      </c>
      <c r="AO59" s="59" t="e">
        <f t="shared" si="36"/>
        <v>#N/A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 t="e">
        <f>EXP(-LN(2)/35)*AU58+(1-EXP(-LN(2)/35))/(LN(2)/35)*AQ59*AR59*VLOOKUP('Données projet'!$B$10,Paramètres!$A$1:$I$89,3,0)*0.475*44/12</f>
        <v>#N/A</v>
      </c>
      <c r="AV59" s="21" t="e">
        <f>EXP(-LN(2)/25)*AV58+(1-EXP(-LN(2)/25))/(LN(2)/25)*Calculateur!AQ59*Calculateur!AS59*VLOOKUP('Données projet'!$B$10,Paramètres!$A$1:$I$89,3,0)*0.475*44/12</f>
        <v>#N/A</v>
      </c>
      <c r="AW59" s="21" t="e">
        <f>EXP(-LN(2)/2)*AW58+(1-EXP(-LN(2)/2))/(LN(2)/2)*AQ59*AT59*VLOOKUP('Données projet'!$B$10,Paramètres!$A$1:$I$89,3,0)*0.475*44/12</f>
        <v>#N/A</v>
      </c>
      <c r="AX59" s="21" t="e">
        <f t="shared" si="6"/>
        <v>#N/A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1">
        <f t="shared" si="32"/>
        <v>14.790368854214481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67">
        <f t="shared" si="1"/>
        <v>370.70188908775697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-5.6843418860808015E-14</v>
      </c>
      <c r="O60" s="13">
        <f>N60*VLOOKUP('Données projet'!$B$9,Paramètres!$A$1:$I$89,3,0)*VLOOKUP('Données projet'!$B$9,Paramètres!$A$1:$I$89,5,0)</f>
        <v>-3.3992364478763198E-14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161.92866721009744</v>
      </c>
      <c r="T60" s="59">
        <f t="shared" si="34"/>
        <v>327.23695023676987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68.011606544098754</v>
      </c>
      <c r="AA60" s="21">
        <f>EXP(-LN(2)/25)*AA59+(1-EXP(-LN(2)/25))/(LN(2)/25)*Calculateur!V60*Calculateur!X60*VLOOKUP('Données projet'!$B$9,Paramètres!$A$1:$I$89,3,0)*0.475*44/12</f>
        <v>11.265830797076815</v>
      </c>
      <c r="AB60" s="21">
        <f>EXP(-LN(2)/2)*AB59+(1-EXP(-LN(2)/2))/(LN(2)/2)*V60*Y60*VLOOKUP('Données projet'!$B$9,Paramètres!$A$1:$I$89,3,0)*0.475*44/12</f>
        <v>6.897249319574931E-3</v>
      </c>
      <c r="AC60" s="22">
        <f t="shared" si="3"/>
        <v>79.284334590495149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0</v>
      </c>
      <c r="AJ60" s="13" t="e">
        <f>AI60*VLOOKUP('Données projet'!$B$10,Paramètres!$A$1:$I$89,3,0)*VLOOKUP('Données projet'!$B$10,Paramètres!$A$1:$I$89,5,0)</f>
        <v>#N/A</v>
      </c>
      <c r="AK60" s="13" t="e">
        <f t="shared" si="35"/>
        <v>#N/A</v>
      </c>
      <c r="AL60" s="20" t="e">
        <f t="shared" si="4"/>
        <v>#N/A</v>
      </c>
      <c r="AM60" s="59" t="e">
        <f t="shared" si="5"/>
        <v>#N/A</v>
      </c>
      <c r="AN60" s="59" t="e">
        <f ca="1">AVERAGE(OFFSET($AM$3,0,0,'Données projet'!$E$10+1,1))-AVERAGE(OFFSET($H$3,0,0,'Données projet'!$E$10+1,1))</f>
        <v>#N/A</v>
      </c>
      <c r="AO60" s="59" t="e">
        <f t="shared" si="36"/>
        <v>#N/A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 t="e">
        <f>EXP(-LN(2)/35)*AU59+(1-EXP(-LN(2)/35))/(LN(2)/35)*AQ60*AR60*VLOOKUP('Données projet'!$B$10,Paramètres!$A$1:$I$89,3,0)*0.475*44/12</f>
        <v>#N/A</v>
      </c>
      <c r="AV60" s="21" t="e">
        <f>EXP(-LN(2)/25)*AV59+(1-EXP(-LN(2)/25))/(LN(2)/25)*Calculateur!AQ60*Calculateur!AS60*VLOOKUP('Données projet'!$B$10,Paramètres!$A$1:$I$89,3,0)*0.475*44/12</f>
        <v>#N/A</v>
      </c>
      <c r="AW60" s="21" t="e">
        <f>EXP(-LN(2)/2)*AW59+(1-EXP(-LN(2)/2))/(LN(2)/2)*AQ60*AT60*VLOOKUP('Données projet'!$B$10,Paramètres!$A$1:$I$89,3,0)*0.475*44/12</f>
        <v>#N/A</v>
      </c>
      <c r="AX60" s="21" t="e">
        <f t="shared" si="6"/>
        <v>#N/A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1">
        <f t="shared" si="32"/>
        <v>15.01941293027533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67">
        <f t="shared" si="1"/>
        <v>372.6494975202296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-5.6843418860808015E-14</v>
      </c>
      <c r="O61" s="13">
        <f>N61*VLOOKUP('Données projet'!$B$9,Paramètres!$A$1:$I$89,3,0)*VLOOKUP('Données projet'!$B$9,Paramètres!$A$1:$I$89,5,0)</f>
        <v>-3.3992364478763198E-14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161.92866721009744</v>
      </c>
      <c r="T61" s="59">
        <f t="shared" si="34"/>
        <v>327.23695023676987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66.677940422752869</v>
      </c>
      <c r="AA61" s="21">
        <f>EXP(-LN(2)/25)*AA60+(1-EXP(-LN(2)/25))/(LN(2)/25)*Calculateur!V61*Calculateur!X61*VLOOKUP('Données projet'!$B$9,Paramètres!$A$1:$I$89,3,0)*0.475*44/12</f>
        <v>10.957766061486456</v>
      </c>
      <c r="AB61" s="21">
        <f>EXP(-LN(2)/2)*AB60+(1-EXP(-LN(2)/2))/(LN(2)/2)*V61*Y61*VLOOKUP('Données projet'!$B$9,Paramètres!$A$1:$I$89,3,0)*0.475*44/12</f>
        <v>4.8770917654057345E-3</v>
      </c>
      <c r="AC61" s="22">
        <f t="shared" si="3"/>
        <v>77.64058357600473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0</v>
      </c>
      <c r="AJ61" s="13" t="e">
        <f>AI61*VLOOKUP('Données projet'!$B$10,Paramètres!$A$1:$I$89,3,0)*VLOOKUP('Données projet'!$B$10,Paramètres!$A$1:$I$89,5,0)</f>
        <v>#N/A</v>
      </c>
      <c r="AK61" s="13" t="e">
        <f t="shared" si="35"/>
        <v>#N/A</v>
      </c>
      <c r="AL61" s="20" t="e">
        <f t="shared" si="4"/>
        <v>#N/A</v>
      </c>
      <c r="AM61" s="59" t="e">
        <f t="shared" si="5"/>
        <v>#N/A</v>
      </c>
      <c r="AN61" s="59" t="e">
        <f ca="1">AVERAGE(OFFSET($AM$3,0,0,'Données projet'!$E$10+1,1))-AVERAGE(OFFSET($H$3,0,0,'Données projet'!$E$10+1,1))</f>
        <v>#N/A</v>
      </c>
      <c r="AO61" s="59" t="e">
        <f t="shared" si="36"/>
        <v>#N/A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 t="e">
        <f>EXP(-LN(2)/35)*AU60+(1-EXP(-LN(2)/35))/(LN(2)/35)*AQ61*AR61*VLOOKUP('Données projet'!$B$10,Paramètres!$A$1:$I$89,3,0)*0.475*44/12</f>
        <v>#N/A</v>
      </c>
      <c r="AV61" s="21" t="e">
        <f>EXP(-LN(2)/25)*AV60+(1-EXP(-LN(2)/25))/(LN(2)/25)*Calculateur!AQ61*Calculateur!AS61*VLOOKUP('Données projet'!$B$10,Paramètres!$A$1:$I$89,3,0)*0.475*44/12</f>
        <v>#N/A</v>
      </c>
      <c r="AW61" s="21" t="e">
        <f>EXP(-LN(2)/2)*AW60+(1-EXP(-LN(2)/2))/(LN(2)/2)*AQ61*AT61*VLOOKUP('Données projet'!$B$10,Paramètres!$A$1:$I$89,3,0)*0.475*44/12</f>
        <v>#N/A</v>
      </c>
      <c r="AX61" s="21" t="e">
        <f t="shared" si="6"/>
        <v>#N/A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1">
        <f t="shared" si="32"/>
        <v>15.247997775460181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67">
        <f t="shared" si="1"/>
        <v>374.59630612559323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-5.6843418860808015E-14</v>
      </c>
      <c r="O62" s="13">
        <f>N62*VLOOKUP('Données projet'!$B$9,Paramètres!$A$1:$I$89,3,0)*VLOOKUP('Données projet'!$B$9,Paramètres!$A$1:$I$89,5,0)</f>
        <v>-3.3992364478763198E-14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161.92866721009744</v>
      </c>
      <c r="T62" s="59">
        <f t="shared" si="34"/>
        <v>327.23695023676987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65.370426680590555</v>
      </c>
      <c r="AA62" s="21">
        <f>EXP(-LN(2)/25)*AA61+(1-EXP(-LN(2)/25))/(LN(2)/25)*Calculateur!V62*Calculateur!X62*VLOOKUP('Données projet'!$B$9,Paramètres!$A$1:$I$89,3,0)*0.475*44/12</f>
        <v>10.658125372291236</v>
      </c>
      <c r="AB62" s="21">
        <f>EXP(-LN(2)/2)*AB61+(1-EXP(-LN(2)/2))/(LN(2)/2)*V62*Y62*VLOOKUP('Données projet'!$B$9,Paramètres!$A$1:$I$89,3,0)*0.475*44/12</f>
        <v>3.4486246597874655E-3</v>
      </c>
      <c r="AC62" s="22">
        <f t="shared" si="3"/>
        <v>76.032000677541575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0</v>
      </c>
      <c r="AJ62" s="13" t="e">
        <f>AI62*VLOOKUP('Données projet'!$B$10,Paramètres!$A$1:$I$89,3,0)*VLOOKUP('Données projet'!$B$10,Paramètres!$A$1:$I$89,5,0)</f>
        <v>#N/A</v>
      </c>
      <c r="AK62" s="13" t="e">
        <f t="shared" si="35"/>
        <v>#N/A</v>
      </c>
      <c r="AL62" s="20" t="e">
        <f t="shared" si="4"/>
        <v>#N/A</v>
      </c>
      <c r="AM62" s="59" t="e">
        <f t="shared" si="5"/>
        <v>#N/A</v>
      </c>
      <c r="AN62" s="59" t="e">
        <f ca="1">AVERAGE(OFFSET($AM$3,0,0,'Données projet'!$E$10+1,1))-AVERAGE(OFFSET($H$3,0,0,'Données projet'!$E$10+1,1))</f>
        <v>#N/A</v>
      </c>
      <c r="AO62" s="59" t="e">
        <f t="shared" si="36"/>
        <v>#N/A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 t="e">
        <f>EXP(-LN(2)/35)*AU61+(1-EXP(-LN(2)/35))/(LN(2)/35)*AQ62*AR62*VLOOKUP('Données projet'!$B$10,Paramètres!$A$1:$I$89,3,0)*0.475*44/12</f>
        <v>#N/A</v>
      </c>
      <c r="AV62" s="21" t="e">
        <f>EXP(-LN(2)/25)*AV61+(1-EXP(-LN(2)/25))/(LN(2)/25)*Calculateur!AQ62*Calculateur!AS62*VLOOKUP('Données projet'!$B$10,Paramètres!$A$1:$I$89,3,0)*0.475*44/12</f>
        <v>#N/A</v>
      </c>
      <c r="AW62" s="21" t="e">
        <f>EXP(-LN(2)/2)*AW61+(1-EXP(-LN(2)/2))/(LN(2)/2)*AQ62*AT62*VLOOKUP('Données projet'!$B$10,Paramètres!$A$1:$I$89,3,0)*0.475*44/12</f>
        <v>#N/A</v>
      </c>
      <c r="AX62" s="21" t="e">
        <f t="shared" si="6"/>
        <v>#N/A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1">
        <f t="shared" si="32"/>
        <v>15.476132071622855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67">
        <f t="shared" si="1"/>
        <v>376.54233002474325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-5.6843418860808015E-14</v>
      </c>
      <c r="O63" s="13">
        <f>N63*VLOOKUP('Données projet'!$B$9,Paramètres!$A$1:$I$89,3,0)*VLOOKUP('Données projet'!$B$9,Paramètres!$A$1:$I$89,5,0)</f>
        <v>-3.3992364478763198E-14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161.92866721009744</v>
      </c>
      <c r="T63" s="59">
        <f t="shared" si="34"/>
        <v>327.23695023676987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64.088552485407419</v>
      </c>
      <c r="AA63" s="21">
        <f>EXP(-LN(2)/25)*AA62+(1-EXP(-LN(2)/25))/(LN(2)/25)*Calculateur!V63*Calculateur!X63*VLOOKUP('Données projet'!$B$9,Paramètres!$A$1:$I$89,3,0)*0.475*44/12</f>
        <v>10.366678373499479</v>
      </c>
      <c r="AB63" s="21">
        <f>EXP(-LN(2)/2)*AB62+(1-EXP(-LN(2)/2))/(LN(2)/2)*V63*Y63*VLOOKUP('Données projet'!$B$9,Paramètres!$A$1:$I$89,3,0)*0.475*44/12</f>
        <v>2.4385458827028673E-3</v>
      </c>
      <c r="AC63" s="22">
        <f t="shared" si="3"/>
        <v>74.457669404789598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0</v>
      </c>
      <c r="AJ63" s="13" t="e">
        <f>AI63*VLOOKUP('Données projet'!$B$10,Paramètres!$A$1:$I$89,3,0)*VLOOKUP('Données projet'!$B$10,Paramètres!$A$1:$I$89,5,0)</f>
        <v>#N/A</v>
      </c>
      <c r="AK63" s="13" t="e">
        <f t="shared" si="35"/>
        <v>#N/A</v>
      </c>
      <c r="AL63" s="20" t="e">
        <f t="shared" si="4"/>
        <v>#N/A</v>
      </c>
      <c r="AM63" s="59" t="e">
        <f t="shared" si="5"/>
        <v>#N/A</v>
      </c>
      <c r="AN63" s="59" t="e">
        <f ca="1">AVERAGE(OFFSET($AM$3,0,0,'Données projet'!$E$10+1,1))-AVERAGE(OFFSET($H$3,0,0,'Données projet'!$E$10+1,1))</f>
        <v>#N/A</v>
      </c>
      <c r="AO63" s="59" t="e">
        <f t="shared" si="36"/>
        <v>#N/A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 t="e">
        <f>EXP(-LN(2)/35)*AU62+(1-EXP(-LN(2)/35))/(LN(2)/35)*AQ63*AR63*VLOOKUP('Données projet'!$B$10,Paramètres!$A$1:$I$89,3,0)*0.475*44/12</f>
        <v>#N/A</v>
      </c>
      <c r="AV63" s="21" t="e">
        <f>EXP(-LN(2)/25)*AV62+(1-EXP(-LN(2)/25))/(LN(2)/25)*Calculateur!AQ63*Calculateur!AS63*VLOOKUP('Données projet'!$B$10,Paramètres!$A$1:$I$89,3,0)*0.475*44/12</f>
        <v>#N/A</v>
      </c>
      <c r="AW63" s="21" t="e">
        <f>EXP(-LN(2)/2)*AW62+(1-EXP(-LN(2)/2))/(LN(2)/2)*AQ63*AT63*VLOOKUP('Données projet'!$B$10,Paramètres!$A$1:$I$89,3,0)*0.475*44/12</f>
        <v>#N/A</v>
      </c>
      <c r="AX63" s="21" t="e">
        <f t="shared" si="6"/>
        <v>#N/A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1">
        <f t="shared" si="32"/>
        <v>15.703824194633762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67">
        <f t="shared" si="1"/>
        <v>378.48758380565391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-5.6843418860808015E-14</v>
      </c>
      <c r="O64" s="13">
        <f>N64*VLOOKUP('Données projet'!$B$9,Paramètres!$A$1:$I$89,3,0)*VLOOKUP('Données projet'!$B$9,Paramètres!$A$1:$I$89,5,0)</f>
        <v>-3.3992364478763198E-14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161.92866721009744</v>
      </c>
      <c r="T64" s="59">
        <f t="shared" si="34"/>
        <v>327.23695023676987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62.831815061325763</v>
      </c>
      <c r="AA64" s="21">
        <f>EXP(-LN(2)/25)*AA63+(1-EXP(-LN(2)/25))/(LN(2)/25)*Calculateur!V64*Calculateur!X64*VLOOKUP('Données projet'!$B$9,Paramètres!$A$1:$I$89,3,0)*0.475*44/12</f>
        <v>10.083201008216212</v>
      </c>
      <c r="AB64" s="21">
        <f>EXP(-LN(2)/2)*AB63+(1-EXP(-LN(2)/2))/(LN(2)/2)*V64*Y64*VLOOKUP('Données projet'!$B$9,Paramètres!$A$1:$I$89,3,0)*0.475*44/12</f>
        <v>1.7243123298937328E-3</v>
      </c>
      <c r="AC64" s="22">
        <f t="shared" si="3"/>
        <v>72.916740381871875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 t="e">
        <f>AI64*VLOOKUP('Données projet'!$B$10,Paramètres!$A$1:$I$89,3,0)*VLOOKUP('Données projet'!$B$10,Paramètres!$A$1:$I$89,5,0)</f>
        <v>#N/A</v>
      </c>
      <c r="AK64" s="13" t="e">
        <f t="shared" si="35"/>
        <v>#N/A</v>
      </c>
      <c r="AL64" s="20" t="e">
        <f t="shared" si="4"/>
        <v>#N/A</v>
      </c>
      <c r="AM64" s="59" t="e">
        <f t="shared" si="5"/>
        <v>#N/A</v>
      </c>
      <c r="AN64" s="59" t="e">
        <f ca="1">AVERAGE(OFFSET($AM$3,0,0,'Données projet'!$E$10+1,1))-AVERAGE(OFFSET($H$3,0,0,'Données projet'!$E$10+1,1))</f>
        <v>#N/A</v>
      </c>
      <c r="AO64" s="59" t="e">
        <f t="shared" si="36"/>
        <v>#N/A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 t="e">
        <f>EXP(-LN(2)/35)*AU63+(1-EXP(-LN(2)/35))/(LN(2)/35)*AQ64*AR64*VLOOKUP('Données projet'!$B$10,Paramètres!$A$1:$I$89,3,0)*0.475*44/12</f>
        <v>#N/A</v>
      </c>
      <c r="AV64" s="21" t="e">
        <f>EXP(-LN(2)/25)*AV63+(1-EXP(-LN(2)/25))/(LN(2)/25)*Calculateur!AQ64*Calculateur!AS64*VLOOKUP('Données projet'!$B$10,Paramètres!$A$1:$I$89,3,0)*0.475*44/12</f>
        <v>#N/A</v>
      </c>
      <c r="AW64" s="21" t="e">
        <f>EXP(-LN(2)/2)*AW63+(1-EXP(-LN(2)/2))/(LN(2)/2)*AQ64*AT64*VLOOKUP('Données projet'!$B$10,Paramètres!$A$1:$I$89,3,0)*0.475*44/12</f>
        <v>#N/A</v>
      </c>
      <c r="AX64" s="21" t="e">
        <f t="shared" si="6"/>
        <v>#N/A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1">
        <f t="shared" si="32"/>
        <v>15.931082230000042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67">
        <f t="shared" si="1"/>
        <v>380.43208155058352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-5.6843418860808015E-14</v>
      </c>
      <c r="O65" s="13">
        <f>N65*VLOOKUP('Données projet'!$B$9,Paramètres!$A$1:$I$89,3,0)*VLOOKUP('Données projet'!$B$9,Paramètres!$A$1:$I$89,5,0)</f>
        <v>-3.3992364478763198E-14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161.92866721009744</v>
      </c>
      <c r="T65" s="59">
        <f t="shared" si="34"/>
        <v>327.23695023676987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61.599721491596206</v>
      </c>
      <c r="AA65" s="21">
        <f>EXP(-LN(2)/25)*AA64+(1-EXP(-LN(2)/25))/(LN(2)/25)*Calculateur!V65*Calculateur!X65*VLOOKUP('Données projet'!$B$9,Paramètres!$A$1:$I$89,3,0)*0.475*44/12</f>
        <v>9.8074753463940443</v>
      </c>
      <c r="AB65" s="21">
        <f>EXP(-LN(2)/2)*AB64+(1-EXP(-LN(2)/2))/(LN(2)/2)*V65*Y65*VLOOKUP('Données projet'!$B$9,Paramètres!$A$1:$I$89,3,0)*0.475*44/12</f>
        <v>1.2192729413514336E-3</v>
      </c>
      <c r="AC65" s="22">
        <f t="shared" si="3"/>
        <v>71.408416110931611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 t="e">
        <f>AI65*VLOOKUP('Données projet'!$B$10,Paramètres!$A$1:$I$89,3,0)*VLOOKUP('Données projet'!$B$10,Paramètres!$A$1:$I$89,5,0)</f>
        <v>#N/A</v>
      </c>
      <c r="AK65" s="13" t="e">
        <f t="shared" si="35"/>
        <v>#N/A</v>
      </c>
      <c r="AL65" s="20" t="e">
        <f t="shared" si="4"/>
        <v>#N/A</v>
      </c>
      <c r="AM65" s="59" t="e">
        <f t="shared" si="5"/>
        <v>#N/A</v>
      </c>
      <c r="AN65" s="59" t="e">
        <f ca="1">AVERAGE(OFFSET($AM$3,0,0,'Données projet'!$E$10+1,1))-AVERAGE(OFFSET($H$3,0,0,'Données projet'!$E$10+1,1))</f>
        <v>#N/A</v>
      </c>
      <c r="AO65" s="59" t="e">
        <f t="shared" si="36"/>
        <v>#N/A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 t="e">
        <f>EXP(-LN(2)/35)*AU64+(1-EXP(-LN(2)/35))/(LN(2)/35)*AQ65*AR65*VLOOKUP('Données projet'!$B$10,Paramètres!$A$1:$I$89,3,0)*0.475*44/12</f>
        <v>#N/A</v>
      </c>
      <c r="AV65" s="21" t="e">
        <f>EXP(-LN(2)/25)*AV64+(1-EXP(-LN(2)/25))/(LN(2)/25)*Calculateur!AQ65*Calculateur!AS65*VLOOKUP('Données projet'!$B$10,Paramètres!$A$1:$I$89,3,0)*0.475*44/12</f>
        <v>#N/A</v>
      </c>
      <c r="AW65" s="21" t="e">
        <f>EXP(-LN(2)/2)*AW64+(1-EXP(-LN(2)/2))/(LN(2)/2)*AQ65*AT65*VLOOKUP('Données projet'!$B$10,Paramètres!$A$1:$I$89,3,0)*0.475*44/12</f>
        <v>#N/A</v>
      </c>
      <c r="AX65" s="21" t="e">
        <f t="shared" si="6"/>
        <v>#N/A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1">
        <f t="shared" si="32"/>
        <v>16.157913987449295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67">
        <f t="shared" si="1"/>
        <v>382.37583686147428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-5.6843418860808015E-14</v>
      </c>
      <c r="O66" s="13">
        <f>N66*VLOOKUP('Données projet'!$B$9,Paramètres!$A$1:$I$89,3,0)*VLOOKUP('Données projet'!$B$9,Paramètres!$A$1:$I$89,5,0)</f>
        <v>-3.3992364478763198E-14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161.92866721009744</v>
      </c>
      <c r="T66" s="59">
        <f t="shared" si="34"/>
        <v>327.23695023676987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60.391788525266179</v>
      </c>
      <c r="AA66" s="21">
        <f>EXP(-LN(2)/25)*AA65+(1-EXP(-LN(2)/25))/(LN(2)/25)*Calculateur!V66*Calculateur!X66*VLOOKUP('Données projet'!$B$9,Paramètres!$A$1:$I$89,3,0)*0.475*44/12</f>
        <v>9.5392894172941851</v>
      </c>
      <c r="AB66" s="21">
        <f>EXP(-LN(2)/2)*AB65+(1-EXP(-LN(2)/2))/(LN(2)/2)*V66*Y66*VLOOKUP('Données projet'!$B$9,Paramètres!$A$1:$I$89,3,0)*0.475*44/12</f>
        <v>8.6215616494686638E-4</v>
      </c>
      <c r="AC66" s="22">
        <f t="shared" si="3"/>
        <v>69.931940098725306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 t="e">
        <f>AI66*VLOOKUP('Données projet'!$B$10,Paramètres!$A$1:$I$89,3,0)*VLOOKUP('Données projet'!$B$10,Paramètres!$A$1:$I$89,5,0)</f>
        <v>#N/A</v>
      </c>
      <c r="AK66" s="13" t="e">
        <f t="shared" si="35"/>
        <v>#N/A</v>
      </c>
      <c r="AL66" s="20" t="e">
        <f t="shared" si="4"/>
        <v>#N/A</v>
      </c>
      <c r="AM66" s="59" t="e">
        <f t="shared" si="5"/>
        <v>#N/A</v>
      </c>
      <c r="AN66" s="59" t="e">
        <f ca="1">AVERAGE(OFFSET($AM$3,0,0,'Données projet'!$E$10+1,1))-AVERAGE(OFFSET($H$3,0,0,'Données projet'!$E$10+1,1))</f>
        <v>#N/A</v>
      </c>
      <c r="AO66" s="59" t="e">
        <f t="shared" si="36"/>
        <v>#N/A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 t="e">
        <f>EXP(-LN(2)/35)*AU65+(1-EXP(-LN(2)/35))/(LN(2)/35)*AQ66*AR66*VLOOKUP('Données projet'!$B$10,Paramètres!$A$1:$I$89,3,0)*0.475*44/12</f>
        <v>#N/A</v>
      </c>
      <c r="AV66" s="21" t="e">
        <f>EXP(-LN(2)/25)*AV65+(1-EXP(-LN(2)/25))/(LN(2)/25)*Calculateur!AQ66*Calculateur!AS66*VLOOKUP('Données projet'!$B$10,Paramètres!$A$1:$I$89,3,0)*0.475*44/12</f>
        <v>#N/A</v>
      </c>
      <c r="AW66" s="21" t="e">
        <f>EXP(-LN(2)/2)*AW65+(1-EXP(-LN(2)/2))/(LN(2)/2)*AQ66*AT66*VLOOKUP('Données projet'!$B$10,Paramètres!$A$1:$I$89,3,0)*0.475*44/12</f>
        <v>#N/A</v>
      </c>
      <c r="AX66" s="21" t="e">
        <f t="shared" si="6"/>
        <v>#N/A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1">
        <f t="shared" si="32"/>
        <v>16.384327014561212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67">
        <f t="shared" si="1"/>
        <v>384.31886288369424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-5.6843418860808015E-14</v>
      </c>
      <c r="O67" s="13">
        <f>N67*VLOOKUP('Données projet'!$B$9,Paramètres!$A$1:$I$89,3,0)*VLOOKUP('Données projet'!$B$9,Paramètres!$A$1:$I$89,5,0)</f>
        <v>-3.3992364478763198E-14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161.92866721009744</v>
      </c>
      <c r="T67" s="59">
        <f t="shared" si="34"/>
        <v>327.23695023676987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59.207542387639521</v>
      </c>
      <c r="AA67" s="21">
        <f>EXP(-LN(2)/25)*AA66+(1-EXP(-LN(2)/25))/(LN(2)/25)*Calculateur!V67*Calculateur!X67*VLOOKUP('Données projet'!$B$9,Paramètres!$A$1:$I$89,3,0)*0.475*44/12</f>
        <v>9.2784370465288468</v>
      </c>
      <c r="AB67" s="21">
        <f>EXP(-LN(2)/2)*AB66+(1-EXP(-LN(2)/2))/(LN(2)/2)*V67*Y67*VLOOKUP('Données projet'!$B$9,Paramètres!$A$1:$I$89,3,0)*0.475*44/12</f>
        <v>6.0963647067571681E-4</v>
      </c>
      <c r="AC67" s="22">
        <f t="shared" si="3"/>
        <v>68.486589070639042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 t="e">
        <f>AI67*VLOOKUP('Données projet'!$B$10,Paramètres!$A$1:$I$89,3,0)*VLOOKUP('Données projet'!$B$10,Paramètres!$A$1:$I$89,5,0)</f>
        <v>#N/A</v>
      </c>
      <c r="AK67" s="13" t="e">
        <f t="shared" si="35"/>
        <v>#N/A</v>
      </c>
      <c r="AL67" s="20" t="e">
        <f t="shared" si="4"/>
        <v>#N/A</v>
      </c>
      <c r="AM67" s="59" t="e">
        <f t="shared" si="5"/>
        <v>#N/A</v>
      </c>
      <c r="AN67" s="59" t="e">
        <f ca="1">AVERAGE(OFFSET($AM$3,0,0,'Données projet'!$E$10+1,1))-AVERAGE(OFFSET($H$3,0,0,'Données projet'!$E$10+1,1))</f>
        <v>#N/A</v>
      </c>
      <c r="AO67" s="59" t="e">
        <f t="shared" si="36"/>
        <v>#N/A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 t="e">
        <f>EXP(-LN(2)/35)*AU66+(1-EXP(-LN(2)/35))/(LN(2)/35)*AQ67*AR67*VLOOKUP('Données projet'!$B$10,Paramètres!$A$1:$I$89,3,0)*0.475*44/12</f>
        <v>#N/A</v>
      </c>
      <c r="AV67" s="21" t="e">
        <f>EXP(-LN(2)/25)*AV66+(1-EXP(-LN(2)/25))/(LN(2)/25)*Calculateur!AQ67*Calculateur!AS67*VLOOKUP('Données projet'!$B$10,Paramètres!$A$1:$I$89,3,0)*0.475*44/12</f>
        <v>#N/A</v>
      </c>
      <c r="AW67" s="21" t="e">
        <f>EXP(-LN(2)/2)*AW66+(1-EXP(-LN(2)/2))/(LN(2)/2)*AQ67*AT67*VLOOKUP('Données projet'!$B$10,Paramètres!$A$1:$I$89,3,0)*0.475*44/12</f>
        <v>#N/A</v>
      </c>
      <c r="AX67" s="21" t="e">
        <f t="shared" si="6"/>
        <v>#N/A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1">
        <f t="shared" si="32"/>
        <v>16.610328609523005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67">
        <f t="shared" ref="H68:H131" si="56">(B68+E68+F68)*44/12+(C68+D68)*0.475*44/12</f>
        <v>386.26117232825266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-5.6843418860808015E-14</v>
      </c>
      <c r="O68" s="13">
        <f>N68*VLOOKUP('Données projet'!$B$9,Paramètres!$A$1:$I$89,3,0)*VLOOKUP('Données projet'!$B$9,Paramètres!$A$1:$I$89,5,0)</f>
        <v>-3.3992364478763198E-14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161.92866721009744</v>
      </c>
      <c r="T68" s="59">
        <f t="shared" si="34"/>
        <v>327.23695023676987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58.046518594452898</v>
      </c>
      <c r="AA68" s="21">
        <f>EXP(-LN(2)/25)*AA67+(1-EXP(-LN(2)/25))/(LN(2)/25)*Calculateur!V68*Calculateur!X68*VLOOKUP('Données projet'!$B$9,Paramètres!$A$1:$I$89,3,0)*0.475*44/12</f>
        <v>9.0247176975597174</v>
      </c>
      <c r="AB68" s="21">
        <f>EXP(-LN(2)/2)*AB67+(1-EXP(-LN(2)/2))/(LN(2)/2)*V68*Y68*VLOOKUP('Données projet'!$B$9,Paramètres!$A$1:$I$89,3,0)*0.475*44/12</f>
        <v>4.3107808247343319E-4</v>
      </c>
      <c r="AC68" s="22">
        <f t="shared" ref="AC68:AC131" si="57">SUM(Z68:AB68)</f>
        <v>67.071667370095085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 t="e">
        <f>AI68*VLOOKUP('Données projet'!$B$10,Paramètres!$A$1:$I$89,3,0)*VLOOKUP('Données projet'!$B$10,Paramètres!$A$1:$I$89,5,0)</f>
        <v>#N/A</v>
      </c>
      <c r="AK68" s="13" t="e">
        <f t="shared" si="35"/>
        <v>#N/A</v>
      </c>
      <c r="AL68" s="20" t="e">
        <f t="shared" ref="AL68:AL131" si="58">(AJ68+AK68)*0.475*44/12</f>
        <v>#N/A</v>
      </c>
      <c r="AM68" s="59" t="e">
        <f t="shared" ref="AM68:AM131" si="59">AL68+(AD68+AE68)*44/12</f>
        <v>#N/A</v>
      </c>
      <c r="AN68" s="59" t="e">
        <f ca="1">AVERAGE(OFFSET($AM$3,0,0,'Données projet'!$E$10+1,1))-AVERAGE(OFFSET($H$3,0,0,'Données projet'!$E$10+1,1))</f>
        <v>#N/A</v>
      </c>
      <c r="AO68" s="59" t="e">
        <f t="shared" si="36"/>
        <v>#N/A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 t="e">
        <f>EXP(-LN(2)/35)*AU67+(1-EXP(-LN(2)/35))/(LN(2)/35)*AQ68*AR68*VLOOKUP('Données projet'!$B$10,Paramètres!$A$1:$I$89,3,0)*0.475*44/12</f>
        <v>#N/A</v>
      </c>
      <c r="AV68" s="21" t="e">
        <f>EXP(-LN(2)/25)*AV67+(1-EXP(-LN(2)/25))/(LN(2)/25)*Calculateur!AQ68*Calculateur!AS68*VLOOKUP('Données projet'!$B$10,Paramètres!$A$1:$I$89,3,0)*0.475*44/12</f>
        <v>#N/A</v>
      </c>
      <c r="AW68" s="21" t="e">
        <f>EXP(-LN(2)/2)*AW67+(1-EXP(-LN(2)/2))/(LN(2)/2)*AQ68*AT68*VLOOKUP('Données projet'!$B$10,Paramètres!$A$1:$I$89,3,0)*0.475*44/12</f>
        <v>#N/A</v>
      </c>
      <c r="AX68" s="21" t="e">
        <f t="shared" ref="AX68:AX131" si="60">SUM(AU68:AW68)</f>
        <v>#N/A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1">
        <f t="shared" ref="D69:D132" si="86">IFERROR(EXP(-1.0587+0.8836*LN(C69)+0.284),0)</f>
        <v>16.835925833077553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67">
        <f t="shared" si="56"/>
        <v>388.20277749261015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-5.6843418860808015E-14</v>
      </c>
      <c r="O69" s="13">
        <f>N69*VLOOKUP('Données projet'!$B$9,Paramètres!$A$1:$I$89,3,0)*VLOOKUP('Données projet'!$B$9,Paramètres!$A$1:$I$89,5,0)</f>
        <v>-3.3992364478763198E-14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161.92866721009744</v>
      </c>
      <c r="T69" s="59">
        <f t="shared" ref="T69:T132" si="88">$T$3</f>
        <v>327.23695023676987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56.908261769696075</v>
      </c>
      <c r="AA69" s="21">
        <f>EXP(-LN(2)/25)*AA68+(1-EXP(-LN(2)/25))/(LN(2)/25)*Calculateur!V69*Calculateur!X69*VLOOKUP('Données projet'!$B$9,Paramètres!$A$1:$I$89,3,0)*0.475*44/12</f>
        <v>8.7779363175306688</v>
      </c>
      <c r="AB69" s="21">
        <f>EXP(-LN(2)/2)*AB68+(1-EXP(-LN(2)/2))/(LN(2)/2)*V69*Y69*VLOOKUP('Données projet'!$B$9,Paramètres!$A$1:$I$89,3,0)*0.475*44/12</f>
        <v>3.0481823533785841E-4</v>
      </c>
      <c r="AC69" s="22">
        <f t="shared" si="57"/>
        <v>65.686502905462078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 t="e">
        <f>AI69*VLOOKUP('Données projet'!$B$10,Paramètres!$A$1:$I$89,3,0)*VLOOKUP('Données projet'!$B$10,Paramètres!$A$1:$I$89,5,0)</f>
        <v>#N/A</v>
      </c>
      <c r="AK69" s="13" t="e">
        <f t="shared" ref="AK69:AK132" si="89">EXP(-1.0587+0.8836*LN(AJ69)+0.284)</f>
        <v>#N/A</v>
      </c>
      <c r="AL69" s="20" t="e">
        <f t="shared" si="58"/>
        <v>#N/A</v>
      </c>
      <c r="AM69" s="59" t="e">
        <f t="shared" si="59"/>
        <v>#N/A</v>
      </c>
      <c r="AN69" s="59" t="e">
        <f ca="1">AVERAGE(OFFSET($AM$3,0,0,'Données projet'!$E$10+1,1))-AVERAGE(OFFSET($H$3,0,0,'Données projet'!$E$10+1,1))</f>
        <v>#N/A</v>
      </c>
      <c r="AO69" s="59" t="e">
        <f t="shared" ref="AO69:AO132" si="90">$AO$3</f>
        <v>#N/A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 t="e">
        <f>EXP(-LN(2)/35)*AU68+(1-EXP(-LN(2)/35))/(LN(2)/35)*AQ69*AR69*VLOOKUP('Données projet'!$B$10,Paramètres!$A$1:$I$89,3,0)*0.475*44/12</f>
        <v>#N/A</v>
      </c>
      <c r="AV69" s="21" t="e">
        <f>EXP(-LN(2)/25)*AV68+(1-EXP(-LN(2)/25))/(LN(2)/25)*Calculateur!AQ69*Calculateur!AS69*VLOOKUP('Données projet'!$B$10,Paramètres!$A$1:$I$89,3,0)*0.475*44/12</f>
        <v>#N/A</v>
      </c>
      <c r="AW69" s="21" t="e">
        <f>EXP(-LN(2)/2)*AW68+(1-EXP(-LN(2)/2))/(LN(2)/2)*AQ69*AT69*VLOOKUP('Données projet'!$B$10,Paramètres!$A$1:$I$89,3,0)*0.475*44/12</f>
        <v>#N/A</v>
      </c>
      <c r="AX69" s="21" t="e">
        <f t="shared" si="60"/>
        <v>#N/A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1">
        <f t="shared" si="86"/>
        <v>17.061125519726964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67">
        <f t="shared" si="56"/>
        <v>390.14369028019127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-5.6843418860808015E-14</v>
      </c>
      <c r="O70" s="13">
        <f>N70*VLOOKUP('Données projet'!$B$9,Paramètres!$A$1:$I$89,3,0)*VLOOKUP('Données projet'!$B$9,Paramètres!$A$1:$I$89,5,0)</f>
        <v>-3.3992364478763198E-14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161.92866721009744</v>
      </c>
      <c r="T70" s="59">
        <f t="shared" si="88"/>
        <v>327.23695023676987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55.792325467004623</v>
      </c>
      <c r="AA70" s="21">
        <f>EXP(-LN(2)/25)*AA69+(1-EXP(-LN(2)/25))/(LN(2)/25)*Calculateur!V70*Calculateur!X70*VLOOKUP('Données projet'!$B$9,Paramètres!$A$1:$I$89,3,0)*0.475*44/12</f>
        <v>8.5379031873161839</v>
      </c>
      <c r="AB70" s="21">
        <f>EXP(-LN(2)/2)*AB69+(1-EXP(-LN(2)/2))/(LN(2)/2)*V70*Y70*VLOOKUP('Données projet'!$B$9,Paramètres!$A$1:$I$89,3,0)*0.475*44/12</f>
        <v>2.1553904123671659E-4</v>
      </c>
      <c r="AC70" s="22">
        <f t="shared" si="57"/>
        <v>64.330444193362041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 t="e">
        <f>AI70*VLOOKUP('Données projet'!$B$10,Paramètres!$A$1:$I$89,3,0)*VLOOKUP('Données projet'!$B$10,Paramètres!$A$1:$I$89,5,0)</f>
        <v>#N/A</v>
      </c>
      <c r="AK70" s="13" t="e">
        <f t="shared" si="89"/>
        <v>#N/A</v>
      </c>
      <c r="AL70" s="20" t="e">
        <f t="shared" si="58"/>
        <v>#N/A</v>
      </c>
      <c r="AM70" s="59" t="e">
        <f t="shared" si="59"/>
        <v>#N/A</v>
      </c>
      <c r="AN70" s="59" t="e">
        <f ca="1">AVERAGE(OFFSET($AM$3,0,0,'Données projet'!$E$10+1,1))-AVERAGE(OFFSET($H$3,0,0,'Données projet'!$E$10+1,1))</f>
        <v>#N/A</v>
      </c>
      <c r="AO70" s="59" t="e">
        <f t="shared" si="90"/>
        <v>#N/A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 t="e">
        <f>EXP(-LN(2)/35)*AU69+(1-EXP(-LN(2)/35))/(LN(2)/35)*AQ70*AR70*VLOOKUP('Données projet'!$B$10,Paramètres!$A$1:$I$89,3,0)*0.475*44/12</f>
        <v>#N/A</v>
      </c>
      <c r="AV70" s="21" t="e">
        <f>EXP(-LN(2)/25)*AV69+(1-EXP(-LN(2)/25))/(LN(2)/25)*Calculateur!AQ70*Calculateur!AS70*VLOOKUP('Données projet'!$B$10,Paramètres!$A$1:$I$89,3,0)*0.475*44/12</f>
        <v>#N/A</v>
      </c>
      <c r="AW70" s="21" t="e">
        <f>EXP(-LN(2)/2)*AW69+(1-EXP(-LN(2)/2))/(LN(2)/2)*AQ70*AT70*VLOOKUP('Données projet'!$B$10,Paramètres!$A$1:$I$89,3,0)*0.475*44/12</f>
        <v>#N/A</v>
      </c>
      <c r="AX70" s="21" t="e">
        <f t="shared" si="60"/>
        <v>#N/A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1">
        <f t="shared" si="86"/>
        <v>17.285934288248221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67">
        <f t="shared" si="56"/>
        <v>392.08392221869906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-5.6843418860808015E-14</v>
      </c>
      <c r="O71" s="13">
        <f>N71*VLOOKUP('Données projet'!$B$9,Paramètres!$A$1:$I$89,3,0)*VLOOKUP('Données projet'!$B$9,Paramètres!$A$1:$I$89,5,0)</f>
        <v>-3.3992364478763198E-14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161.92866721009744</v>
      </c>
      <c r="T71" s="59">
        <f t="shared" si="88"/>
        <v>327.23695023676987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54.698271994555022</v>
      </c>
      <c r="AA71" s="21">
        <f>EXP(-LN(2)/25)*AA70+(1-EXP(-LN(2)/25))/(LN(2)/25)*Calculateur!V71*Calculateur!X71*VLOOKUP('Données projet'!$B$9,Paramètres!$A$1:$I$89,3,0)*0.475*44/12</f>
        <v>8.3044337756702085</v>
      </c>
      <c r="AB71" s="21">
        <f>EXP(-LN(2)/2)*AB70+(1-EXP(-LN(2)/2))/(LN(2)/2)*V71*Y71*VLOOKUP('Données projet'!$B$9,Paramètres!$A$1:$I$89,3,0)*0.475*44/12</f>
        <v>1.524091176689292E-4</v>
      </c>
      <c r="AC71" s="22">
        <f t="shared" si="57"/>
        <v>63.002858179342901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 t="e">
        <f>AI71*VLOOKUP('Données projet'!$B$10,Paramètres!$A$1:$I$89,3,0)*VLOOKUP('Données projet'!$B$10,Paramètres!$A$1:$I$89,5,0)</f>
        <v>#N/A</v>
      </c>
      <c r="AK71" s="13" t="e">
        <f t="shared" si="89"/>
        <v>#N/A</v>
      </c>
      <c r="AL71" s="20" t="e">
        <f t="shared" si="58"/>
        <v>#N/A</v>
      </c>
      <c r="AM71" s="59" t="e">
        <f t="shared" si="59"/>
        <v>#N/A</v>
      </c>
      <c r="AN71" s="59" t="e">
        <f ca="1">AVERAGE(OFFSET($AM$3,0,0,'Données projet'!$E$10+1,1))-AVERAGE(OFFSET($H$3,0,0,'Données projet'!$E$10+1,1))</f>
        <v>#N/A</v>
      </c>
      <c r="AO71" s="59" t="e">
        <f t="shared" si="90"/>
        <v>#N/A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 t="e">
        <f>EXP(-LN(2)/35)*AU70+(1-EXP(-LN(2)/35))/(LN(2)/35)*AQ71*AR71*VLOOKUP('Données projet'!$B$10,Paramètres!$A$1:$I$89,3,0)*0.475*44/12</f>
        <v>#N/A</v>
      </c>
      <c r="AV71" s="21" t="e">
        <f>EXP(-LN(2)/25)*AV70+(1-EXP(-LN(2)/25))/(LN(2)/25)*Calculateur!AQ71*Calculateur!AS71*VLOOKUP('Données projet'!$B$10,Paramètres!$A$1:$I$89,3,0)*0.475*44/12</f>
        <v>#N/A</v>
      </c>
      <c r="AW71" s="21" t="e">
        <f>EXP(-LN(2)/2)*AW70+(1-EXP(-LN(2)/2))/(LN(2)/2)*AQ71*AT71*VLOOKUP('Données projet'!$B$10,Paramètres!$A$1:$I$89,3,0)*0.475*44/12</f>
        <v>#N/A</v>
      </c>
      <c r="AX71" s="21" t="e">
        <f t="shared" si="60"/>
        <v>#N/A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1">
        <f t="shared" si="86"/>
        <v>17.510358551572637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67">
        <f t="shared" si="56"/>
        <v>394.02348447732243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-5.6843418860808015E-14</v>
      </c>
      <c r="O72" s="13">
        <f>N72*VLOOKUP('Données projet'!$B$9,Paramètres!$A$1:$I$89,3,0)*VLOOKUP('Données projet'!$B$9,Paramètres!$A$1:$I$89,5,0)</f>
        <v>-3.3992364478763198E-14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161.92866721009744</v>
      </c>
      <c r="T72" s="59">
        <f t="shared" si="88"/>
        <v>327.23695023676987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53.625672243393424</v>
      </c>
      <c r="AA72" s="21">
        <f>EXP(-LN(2)/25)*AA71+(1-EXP(-LN(2)/25))/(LN(2)/25)*Calculateur!V72*Calculateur!X72*VLOOKUP('Données projet'!$B$9,Paramètres!$A$1:$I$89,3,0)*0.475*44/12</f>
        <v>8.077348597363315</v>
      </c>
      <c r="AB72" s="21">
        <f>EXP(-LN(2)/2)*AB71+(1-EXP(-LN(2)/2))/(LN(2)/2)*V72*Y72*VLOOKUP('Données projet'!$B$9,Paramètres!$A$1:$I$89,3,0)*0.475*44/12</f>
        <v>1.077695206183583E-4</v>
      </c>
      <c r="AC72" s="22">
        <f t="shared" si="57"/>
        <v>61.703128610277354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 t="e">
        <f>AI72*VLOOKUP('Données projet'!$B$10,Paramètres!$A$1:$I$89,3,0)*VLOOKUP('Données projet'!$B$10,Paramètres!$A$1:$I$89,5,0)</f>
        <v>#N/A</v>
      </c>
      <c r="AK72" s="13" t="e">
        <f t="shared" si="89"/>
        <v>#N/A</v>
      </c>
      <c r="AL72" s="20" t="e">
        <f t="shared" si="58"/>
        <v>#N/A</v>
      </c>
      <c r="AM72" s="59" t="e">
        <f t="shared" si="59"/>
        <v>#N/A</v>
      </c>
      <c r="AN72" s="59" t="e">
        <f ca="1">AVERAGE(OFFSET($AM$3,0,0,'Données projet'!$E$10+1,1))-AVERAGE(OFFSET($H$3,0,0,'Données projet'!$E$10+1,1))</f>
        <v>#N/A</v>
      </c>
      <c r="AO72" s="59" t="e">
        <f t="shared" si="90"/>
        <v>#N/A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 t="e">
        <f>EXP(-LN(2)/35)*AU71+(1-EXP(-LN(2)/35))/(LN(2)/35)*AQ72*AR72*VLOOKUP('Données projet'!$B$10,Paramètres!$A$1:$I$89,3,0)*0.475*44/12</f>
        <v>#N/A</v>
      </c>
      <c r="AV72" s="21" t="e">
        <f>EXP(-LN(2)/25)*AV71+(1-EXP(-LN(2)/25))/(LN(2)/25)*Calculateur!AQ72*Calculateur!AS72*VLOOKUP('Données projet'!$B$10,Paramètres!$A$1:$I$89,3,0)*0.475*44/12</f>
        <v>#N/A</v>
      </c>
      <c r="AW72" s="21" t="e">
        <f>EXP(-LN(2)/2)*AW71+(1-EXP(-LN(2)/2))/(LN(2)/2)*AQ72*AT72*VLOOKUP('Données projet'!$B$10,Paramètres!$A$1:$I$89,3,0)*0.475*44/12</f>
        <v>#N/A</v>
      </c>
      <c r="AX72" s="21" t="e">
        <f t="shared" si="60"/>
        <v>#N/A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1">
        <f t="shared" si="86"/>
        <v>17.734404526076464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67">
        <f t="shared" si="56"/>
        <v>395.96238788291669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-5.6843418860808015E-14</v>
      </c>
      <c r="O73" s="13">
        <f>N73*VLOOKUP('Données projet'!$B$9,Paramètres!$A$1:$I$89,3,0)*VLOOKUP('Données projet'!$B$9,Paramètres!$A$1:$I$89,5,0)</f>
        <v>-3.3992364478763198E-14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161.92866721009744</v>
      </c>
      <c r="T73" s="59">
        <f t="shared" si="88"/>
        <v>327.23695023676987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52.57410551913086</v>
      </c>
      <c r="AA73" s="21">
        <f>EXP(-LN(2)/25)*AA72+(1-EXP(-LN(2)/25))/(LN(2)/25)*Calculateur!V73*Calculateur!X73*VLOOKUP('Données projet'!$B$9,Paramètres!$A$1:$I$89,3,0)*0.475*44/12</f>
        <v>7.8564730751991139</v>
      </c>
      <c r="AB73" s="21">
        <f>EXP(-LN(2)/2)*AB72+(1-EXP(-LN(2)/2))/(LN(2)/2)*V73*Y73*VLOOKUP('Données projet'!$B$9,Paramètres!$A$1:$I$89,3,0)*0.475*44/12</f>
        <v>7.6204558834464602E-5</v>
      </c>
      <c r="AC73" s="22">
        <f t="shared" si="57"/>
        <v>60.43065479888881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 t="e">
        <f>AI73*VLOOKUP('Données projet'!$B$10,Paramètres!$A$1:$I$89,3,0)*VLOOKUP('Données projet'!$B$10,Paramètres!$A$1:$I$89,5,0)</f>
        <v>#N/A</v>
      </c>
      <c r="AK73" s="13" t="e">
        <f t="shared" si="89"/>
        <v>#N/A</v>
      </c>
      <c r="AL73" s="20" t="e">
        <f t="shared" si="58"/>
        <v>#N/A</v>
      </c>
      <c r="AM73" s="59" t="e">
        <f t="shared" si="59"/>
        <v>#N/A</v>
      </c>
      <c r="AN73" s="59" t="e">
        <f ca="1">AVERAGE(OFFSET($AM$3,0,0,'Données projet'!$E$10+1,1))-AVERAGE(OFFSET($H$3,0,0,'Données projet'!$E$10+1,1))</f>
        <v>#N/A</v>
      </c>
      <c r="AO73" s="59" t="e">
        <f t="shared" si="90"/>
        <v>#N/A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 t="e">
        <f>EXP(-LN(2)/35)*AU72+(1-EXP(-LN(2)/35))/(LN(2)/35)*AQ73*AR73*VLOOKUP('Données projet'!$B$10,Paramètres!$A$1:$I$89,3,0)*0.475*44/12</f>
        <v>#N/A</v>
      </c>
      <c r="AV73" s="21" t="e">
        <f>EXP(-LN(2)/25)*AV72+(1-EXP(-LN(2)/25))/(LN(2)/25)*Calculateur!AQ73*Calculateur!AS73*VLOOKUP('Données projet'!$B$10,Paramètres!$A$1:$I$89,3,0)*0.475*44/12</f>
        <v>#N/A</v>
      </c>
      <c r="AW73" s="21" t="e">
        <f>EXP(-LN(2)/2)*AW72+(1-EXP(-LN(2)/2))/(LN(2)/2)*AQ73*AT73*VLOOKUP('Données projet'!$B$10,Paramètres!$A$1:$I$89,3,0)*0.475*44/12</f>
        <v>#N/A</v>
      </c>
      <c r="AX73" s="21" t="e">
        <f t="shared" si="60"/>
        <v>#N/A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1">
        <f t="shared" si="86"/>
        <v>17.958078240325332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67">
        <f t="shared" si="56"/>
        <v>397.90064293523346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-5.6843418860808015E-14</v>
      </c>
      <c r="O74" s="13">
        <f>N74*VLOOKUP('Données projet'!$B$9,Paramètres!$A$1:$I$89,3,0)*VLOOKUP('Données projet'!$B$9,Paramètres!$A$1:$I$89,5,0)</f>
        <v>-3.3992364478763198E-14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161.92866721009744</v>
      </c>
      <c r="T74" s="59">
        <f t="shared" si="88"/>
        <v>327.23695023676987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51.543159376938711</v>
      </c>
      <c r="AA74" s="21">
        <f>EXP(-LN(2)/25)*AA73+(1-EXP(-LN(2)/25))/(LN(2)/25)*Calculateur!V74*Calculateur!X74*VLOOKUP('Données projet'!$B$9,Paramètres!$A$1:$I$89,3,0)*0.475*44/12</f>
        <v>7.6416374058038317</v>
      </c>
      <c r="AB74" s="21">
        <f>EXP(-LN(2)/2)*AB73+(1-EXP(-LN(2)/2))/(LN(2)/2)*V74*Y74*VLOOKUP('Données projet'!$B$9,Paramètres!$A$1:$I$89,3,0)*0.475*44/12</f>
        <v>5.3884760309179149E-5</v>
      </c>
      <c r="AC74" s="22">
        <f t="shared" si="57"/>
        <v>59.184850667502857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 t="e">
        <f>AI74*VLOOKUP('Données projet'!$B$10,Paramètres!$A$1:$I$89,3,0)*VLOOKUP('Données projet'!$B$10,Paramètres!$A$1:$I$89,5,0)</f>
        <v>#N/A</v>
      </c>
      <c r="AK74" s="13" t="e">
        <f t="shared" si="89"/>
        <v>#N/A</v>
      </c>
      <c r="AL74" s="20" t="e">
        <f t="shared" si="58"/>
        <v>#N/A</v>
      </c>
      <c r="AM74" s="59" t="e">
        <f t="shared" si="59"/>
        <v>#N/A</v>
      </c>
      <c r="AN74" s="59" t="e">
        <f ca="1">AVERAGE(OFFSET($AM$3,0,0,'Données projet'!$E$10+1,1))-AVERAGE(OFFSET($H$3,0,0,'Données projet'!$E$10+1,1))</f>
        <v>#N/A</v>
      </c>
      <c r="AO74" s="59" t="e">
        <f t="shared" si="90"/>
        <v>#N/A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 t="e">
        <f>EXP(-LN(2)/35)*AU73+(1-EXP(-LN(2)/35))/(LN(2)/35)*AQ74*AR74*VLOOKUP('Données projet'!$B$10,Paramètres!$A$1:$I$89,3,0)*0.475*44/12</f>
        <v>#N/A</v>
      </c>
      <c r="AV74" s="21" t="e">
        <f>EXP(-LN(2)/25)*AV73+(1-EXP(-LN(2)/25))/(LN(2)/25)*Calculateur!AQ74*Calculateur!AS74*VLOOKUP('Données projet'!$B$10,Paramètres!$A$1:$I$89,3,0)*0.475*44/12</f>
        <v>#N/A</v>
      </c>
      <c r="AW74" s="21" t="e">
        <f>EXP(-LN(2)/2)*AW73+(1-EXP(-LN(2)/2))/(LN(2)/2)*AQ74*AT74*VLOOKUP('Données projet'!$B$10,Paramètres!$A$1:$I$89,3,0)*0.475*44/12</f>
        <v>#N/A</v>
      </c>
      <c r="AX74" s="21" t="e">
        <f t="shared" si="60"/>
        <v>#N/A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1">
        <f t="shared" si="86"/>
        <v>18.181385543312256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67">
        <f t="shared" si="56"/>
        <v>399.83825982126905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-5.6843418860808015E-14</v>
      </c>
      <c r="O75" s="13">
        <f>N75*VLOOKUP('Données projet'!$B$9,Paramètres!$A$1:$I$89,3,0)*VLOOKUP('Données projet'!$B$9,Paramètres!$A$1:$I$89,5,0)</f>
        <v>-3.3992364478763198E-14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161.92866721009744</v>
      </c>
      <c r="T75" s="59">
        <f t="shared" si="88"/>
        <v>327.23695023676987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50.532429459779898</v>
      </c>
      <c r="AA75" s="21">
        <f>EXP(-LN(2)/25)*AA74+(1-EXP(-LN(2)/25))/(LN(2)/25)*Calculateur!V75*Calculateur!X75*VLOOKUP('Données projet'!$B$9,Paramètres!$A$1:$I$89,3,0)*0.475*44/12</f>
        <v>7.4326764290858796</v>
      </c>
      <c r="AB75" s="21">
        <f>EXP(-LN(2)/2)*AB74+(1-EXP(-LN(2)/2))/(LN(2)/2)*V75*Y75*VLOOKUP('Données projet'!$B$9,Paramètres!$A$1:$I$89,3,0)*0.475*44/12</f>
        <v>3.8102279417232301E-5</v>
      </c>
      <c r="AC75" s="22">
        <f t="shared" si="57"/>
        <v>57.965143991145197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 t="e">
        <f>AI75*VLOOKUP('Données projet'!$B$10,Paramètres!$A$1:$I$89,3,0)*VLOOKUP('Données projet'!$B$10,Paramètres!$A$1:$I$89,5,0)</f>
        <v>#N/A</v>
      </c>
      <c r="AK75" s="13" t="e">
        <f t="shared" si="89"/>
        <v>#N/A</v>
      </c>
      <c r="AL75" s="20" t="e">
        <f t="shared" si="58"/>
        <v>#N/A</v>
      </c>
      <c r="AM75" s="59" t="e">
        <f t="shared" si="59"/>
        <v>#N/A</v>
      </c>
      <c r="AN75" s="59" t="e">
        <f ca="1">AVERAGE(OFFSET($AM$3,0,0,'Données projet'!$E$10+1,1))-AVERAGE(OFFSET($H$3,0,0,'Données projet'!$E$10+1,1))</f>
        <v>#N/A</v>
      </c>
      <c r="AO75" s="59" t="e">
        <f t="shared" si="90"/>
        <v>#N/A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 t="e">
        <f>EXP(-LN(2)/35)*AU74+(1-EXP(-LN(2)/35))/(LN(2)/35)*AQ75*AR75*VLOOKUP('Données projet'!$B$10,Paramètres!$A$1:$I$89,3,0)*0.475*44/12</f>
        <v>#N/A</v>
      </c>
      <c r="AV75" s="21" t="e">
        <f>EXP(-LN(2)/25)*AV74+(1-EXP(-LN(2)/25))/(LN(2)/25)*Calculateur!AQ75*Calculateur!AS75*VLOOKUP('Données projet'!$B$10,Paramètres!$A$1:$I$89,3,0)*0.475*44/12</f>
        <v>#N/A</v>
      </c>
      <c r="AW75" s="21" t="e">
        <f>EXP(-LN(2)/2)*AW74+(1-EXP(-LN(2)/2))/(LN(2)/2)*AQ75*AT75*VLOOKUP('Données projet'!$B$10,Paramètres!$A$1:$I$89,3,0)*0.475*44/12</f>
        <v>#N/A</v>
      </c>
      <c r="AX75" s="21" t="e">
        <f t="shared" si="60"/>
        <v>#N/A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1">
        <f t="shared" si="86"/>
        <v>18.404332112224722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67">
        <f t="shared" si="56"/>
        <v>401.77524842879154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-5.6843418860808015E-14</v>
      </c>
      <c r="O76" s="13">
        <f>N76*VLOOKUP('Données projet'!$B$9,Paramètres!$A$1:$I$89,3,0)*VLOOKUP('Données projet'!$B$9,Paramètres!$A$1:$I$89,5,0)</f>
        <v>-3.3992364478763198E-14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161.92866721009744</v>
      </c>
      <c r="T76" s="59">
        <f t="shared" si="88"/>
        <v>327.23695023676987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49.54151933981219</v>
      </c>
      <c r="AA76" s="21">
        <f>EXP(-LN(2)/25)*AA75+(1-EXP(-LN(2)/25))/(LN(2)/25)*Calculateur!V76*Calculateur!X76*VLOOKUP('Données projet'!$B$9,Paramètres!$A$1:$I$89,3,0)*0.475*44/12</f>
        <v>7.2294295012650602</v>
      </c>
      <c r="AB76" s="21">
        <f>EXP(-LN(2)/2)*AB75+(1-EXP(-LN(2)/2))/(LN(2)/2)*V76*Y76*VLOOKUP('Données projet'!$B$9,Paramètres!$A$1:$I$89,3,0)*0.475*44/12</f>
        <v>2.6942380154589574E-5</v>
      </c>
      <c r="AC76" s="22">
        <f t="shared" si="57"/>
        <v>56.770975783457402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 t="e">
        <f>AI76*VLOOKUP('Données projet'!$B$10,Paramètres!$A$1:$I$89,3,0)*VLOOKUP('Données projet'!$B$10,Paramètres!$A$1:$I$89,5,0)</f>
        <v>#N/A</v>
      </c>
      <c r="AK76" s="13" t="e">
        <f t="shared" si="89"/>
        <v>#N/A</v>
      </c>
      <c r="AL76" s="20" t="e">
        <f t="shared" si="58"/>
        <v>#N/A</v>
      </c>
      <c r="AM76" s="59" t="e">
        <f t="shared" si="59"/>
        <v>#N/A</v>
      </c>
      <c r="AN76" s="59" t="e">
        <f ca="1">AVERAGE(OFFSET($AM$3,0,0,'Données projet'!$E$10+1,1))-AVERAGE(OFFSET($H$3,0,0,'Données projet'!$E$10+1,1))</f>
        <v>#N/A</v>
      </c>
      <c r="AO76" s="59" t="e">
        <f t="shared" si="90"/>
        <v>#N/A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 t="e">
        <f>EXP(-LN(2)/35)*AU75+(1-EXP(-LN(2)/35))/(LN(2)/35)*AQ76*AR76*VLOOKUP('Données projet'!$B$10,Paramètres!$A$1:$I$89,3,0)*0.475*44/12</f>
        <v>#N/A</v>
      </c>
      <c r="AV76" s="21" t="e">
        <f>EXP(-LN(2)/25)*AV75+(1-EXP(-LN(2)/25))/(LN(2)/25)*Calculateur!AQ76*Calculateur!AS76*VLOOKUP('Données projet'!$B$10,Paramètres!$A$1:$I$89,3,0)*0.475*44/12</f>
        <v>#N/A</v>
      </c>
      <c r="AW76" s="21" t="e">
        <f>EXP(-LN(2)/2)*AW75+(1-EXP(-LN(2)/2))/(LN(2)/2)*AQ76*AT76*VLOOKUP('Données projet'!$B$10,Paramètres!$A$1:$I$89,3,0)*0.475*44/12</f>
        <v>#N/A</v>
      </c>
      <c r="AX76" s="21" t="e">
        <f t="shared" si="60"/>
        <v>#N/A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1">
        <f t="shared" si="86"/>
        <v>18.626923459774314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67">
        <f t="shared" si="56"/>
        <v>403.71161835910709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-5.6843418860808015E-14</v>
      </c>
      <c r="O77" s="13">
        <f>N77*VLOOKUP('Données projet'!$B$9,Paramètres!$A$1:$I$89,3,0)*VLOOKUP('Données projet'!$B$9,Paramètres!$A$1:$I$89,5,0)</f>
        <v>-3.3992364478763198E-14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161.92866721009744</v>
      </c>
      <c r="T77" s="59">
        <f t="shared" si="88"/>
        <v>327.23695023676987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48.570040362901558</v>
      </c>
      <c r="AA77" s="21">
        <f>EXP(-LN(2)/25)*AA76+(1-EXP(-LN(2)/25))/(LN(2)/25)*Calculateur!V77*Calculateur!X77*VLOOKUP('Données projet'!$B$9,Paramètres!$A$1:$I$89,3,0)*0.475*44/12</f>
        <v>7.0317403713737932</v>
      </c>
      <c r="AB77" s="21">
        <f>EXP(-LN(2)/2)*AB76+(1-EXP(-LN(2)/2))/(LN(2)/2)*V77*Y77*VLOOKUP('Données projet'!$B$9,Paramètres!$A$1:$I$89,3,0)*0.475*44/12</f>
        <v>1.905113970861615E-5</v>
      </c>
      <c r="AC77" s="22">
        <f t="shared" si="57"/>
        <v>55.601799785415061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 t="e">
        <f>AI77*VLOOKUP('Données projet'!$B$10,Paramètres!$A$1:$I$89,3,0)*VLOOKUP('Données projet'!$B$10,Paramètres!$A$1:$I$89,5,0)</f>
        <v>#N/A</v>
      </c>
      <c r="AK77" s="13" t="e">
        <f t="shared" si="89"/>
        <v>#N/A</v>
      </c>
      <c r="AL77" s="20" t="e">
        <f t="shared" si="58"/>
        <v>#N/A</v>
      </c>
      <c r="AM77" s="59" t="e">
        <f t="shared" si="59"/>
        <v>#N/A</v>
      </c>
      <c r="AN77" s="59" t="e">
        <f ca="1">AVERAGE(OFFSET($AM$3,0,0,'Données projet'!$E$10+1,1))-AVERAGE(OFFSET($H$3,0,0,'Données projet'!$E$10+1,1))</f>
        <v>#N/A</v>
      </c>
      <c r="AO77" s="59" t="e">
        <f t="shared" si="90"/>
        <v>#N/A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 t="e">
        <f>EXP(-LN(2)/35)*AU76+(1-EXP(-LN(2)/35))/(LN(2)/35)*AQ77*AR77*VLOOKUP('Données projet'!$B$10,Paramètres!$A$1:$I$89,3,0)*0.475*44/12</f>
        <v>#N/A</v>
      </c>
      <c r="AV77" s="21" t="e">
        <f>EXP(-LN(2)/25)*AV76+(1-EXP(-LN(2)/25))/(LN(2)/25)*Calculateur!AQ77*Calculateur!AS77*VLOOKUP('Données projet'!$B$10,Paramètres!$A$1:$I$89,3,0)*0.475*44/12</f>
        <v>#N/A</v>
      </c>
      <c r="AW77" s="21" t="e">
        <f>EXP(-LN(2)/2)*AW76+(1-EXP(-LN(2)/2))/(LN(2)/2)*AQ77*AT77*VLOOKUP('Données projet'!$B$10,Paramètres!$A$1:$I$89,3,0)*0.475*44/12</f>
        <v>#N/A</v>
      </c>
      <c r="AX77" s="21" t="e">
        <f t="shared" si="60"/>
        <v>#N/A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1">
        <f t="shared" si="86"/>
        <v>18.849164941118655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67">
        <f t="shared" si="56"/>
        <v>405.64737893911513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-5.6843418860808015E-14</v>
      </c>
      <c r="O78" s="13">
        <f>N78*VLOOKUP('Données projet'!$B$9,Paramètres!$A$1:$I$89,3,0)*VLOOKUP('Données projet'!$B$9,Paramètres!$A$1:$I$89,5,0)</f>
        <v>-3.3992364478763198E-14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161.92866721009744</v>
      </c>
      <c r="T78" s="59">
        <f t="shared" si="88"/>
        <v>327.23695023676987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47.617611496184473</v>
      </c>
      <c r="AA78" s="21">
        <f>EXP(-LN(2)/25)*AA77+(1-EXP(-LN(2)/25))/(LN(2)/25)*Calculateur!V78*Calculateur!X78*VLOOKUP('Données projet'!$B$9,Paramètres!$A$1:$I$89,3,0)*0.475*44/12</f>
        <v>6.8394570611354215</v>
      </c>
      <c r="AB78" s="21">
        <f>EXP(-LN(2)/2)*AB77+(1-EXP(-LN(2)/2))/(LN(2)/2)*V78*Y78*VLOOKUP('Données projet'!$B$9,Paramètres!$A$1:$I$89,3,0)*0.475*44/12</f>
        <v>1.3471190077294787E-5</v>
      </c>
      <c r="AC78" s="22">
        <f t="shared" si="57"/>
        <v>54.457082028509973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 t="e">
        <f>AI78*VLOOKUP('Données projet'!$B$10,Paramètres!$A$1:$I$89,3,0)*VLOOKUP('Données projet'!$B$10,Paramètres!$A$1:$I$89,5,0)</f>
        <v>#N/A</v>
      </c>
      <c r="AK78" s="13" t="e">
        <f t="shared" si="89"/>
        <v>#N/A</v>
      </c>
      <c r="AL78" s="20" t="e">
        <f t="shared" si="58"/>
        <v>#N/A</v>
      </c>
      <c r="AM78" s="59" t="e">
        <f t="shared" si="59"/>
        <v>#N/A</v>
      </c>
      <c r="AN78" s="59" t="e">
        <f ca="1">AVERAGE(OFFSET($AM$3,0,0,'Données projet'!$E$10+1,1))-AVERAGE(OFFSET($H$3,0,0,'Données projet'!$E$10+1,1))</f>
        <v>#N/A</v>
      </c>
      <c r="AO78" s="59" t="e">
        <f t="shared" si="90"/>
        <v>#N/A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 t="e">
        <f>EXP(-LN(2)/35)*AU77+(1-EXP(-LN(2)/35))/(LN(2)/35)*AQ78*AR78*VLOOKUP('Données projet'!$B$10,Paramètres!$A$1:$I$89,3,0)*0.475*44/12</f>
        <v>#N/A</v>
      </c>
      <c r="AV78" s="21" t="e">
        <f>EXP(-LN(2)/25)*AV77+(1-EXP(-LN(2)/25))/(LN(2)/25)*Calculateur!AQ78*Calculateur!AS78*VLOOKUP('Données projet'!$B$10,Paramètres!$A$1:$I$89,3,0)*0.475*44/12</f>
        <v>#N/A</v>
      </c>
      <c r="AW78" s="21" t="e">
        <f>EXP(-LN(2)/2)*AW77+(1-EXP(-LN(2)/2))/(LN(2)/2)*AQ78*AT78*VLOOKUP('Données projet'!$B$10,Paramètres!$A$1:$I$89,3,0)*0.475*44/12</f>
        <v>#N/A</v>
      </c>
      <c r="AX78" s="21" t="e">
        <f t="shared" si="60"/>
        <v>#N/A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1">
        <f t="shared" si="86"/>
        <v>19.071061760403854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67">
        <f t="shared" si="56"/>
        <v>407.58253923270354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-5.6843418860808015E-14</v>
      </c>
      <c r="O79" s="13">
        <f>N79*VLOOKUP('Données projet'!$B$9,Paramètres!$A$1:$I$89,3,0)*VLOOKUP('Données projet'!$B$9,Paramètres!$A$1:$I$89,5,0)</f>
        <v>-3.3992364478763198E-14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161.92866721009744</v>
      </c>
      <c r="T79" s="59">
        <f t="shared" si="88"/>
        <v>327.23695023676987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46.683859178619464</v>
      </c>
      <c r="AA79" s="21">
        <f>EXP(-LN(2)/25)*AA78+(1-EXP(-LN(2)/25))/(LN(2)/25)*Calculateur!V79*Calculateur!X79*VLOOKUP('Données projet'!$B$9,Paramètres!$A$1:$I$89,3,0)*0.475*44/12</f>
        <v>6.6524317481272588</v>
      </c>
      <c r="AB79" s="21">
        <f>EXP(-LN(2)/2)*AB78+(1-EXP(-LN(2)/2))/(LN(2)/2)*V79*Y79*VLOOKUP('Données projet'!$B$9,Paramètres!$A$1:$I$89,3,0)*0.475*44/12</f>
        <v>9.5255698543080752E-6</v>
      </c>
      <c r="AC79" s="22">
        <f t="shared" si="57"/>
        <v>53.336300452316571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 t="e">
        <f>AI79*VLOOKUP('Données projet'!$B$10,Paramètres!$A$1:$I$89,3,0)*VLOOKUP('Données projet'!$B$10,Paramètres!$A$1:$I$89,5,0)</f>
        <v>#N/A</v>
      </c>
      <c r="AK79" s="13" t="e">
        <f t="shared" si="89"/>
        <v>#N/A</v>
      </c>
      <c r="AL79" s="20" t="e">
        <f t="shared" si="58"/>
        <v>#N/A</v>
      </c>
      <c r="AM79" s="59" t="e">
        <f t="shared" si="59"/>
        <v>#N/A</v>
      </c>
      <c r="AN79" s="59" t="e">
        <f ca="1">AVERAGE(OFFSET($AM$3,0,0,'Données projet'!$E$10+1,1))-AVERAGE(OFFSET($H$3,0,0,'Données projet'!$E$10+1,1))</f>
        <v>#N/A</v>
      </c>
      <c r="AO79" s="59" t="e">
        <f t="shared" si="90"/>
        <v>#N/A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 t="e">
        <f>EXP(-LN(2)/35)*AU78+(1-EXP(-LN(2)/35))/(LN(2)/35)*AQ79*AR79*VLOOKUP('Données projet'!$B$10,Paramètres!$A$1:$I$89,3,0)*0.475*44/12</f>
        <v>#N/A</v>
      </c>
      <c r="AV79" s="21" t="e">
        <f>EXP(-LN(2)/25)*AV78+(1-EXP(-LN(2)/25))/(LN(2)/25)*Calculateur!AQ79*Calculateur!AS79*VLOOKUP('Données projet'!$B$10,Paramètres!$A$1:$I$89,3,0)*0.475*44/12</f>
        <v>#N/A</v>
      </c>
      <c r="AW79" s="21" t="e">
        <f>EXP(-LN(2)/2)*AW78+(1-EXP(-LN(2)/2))/(LN(2)/2)*AQ79*AT79*VLOOKUP('Données projet'!$B$10,Paramètres!$A$1:$I$89,3,0)*0.475*44/12</f>
        <v>#N/A</v>
      </c>
      <c r="AX79" s="21" t="e">
        <f t="shared" si="60"/>
        <v>#N/A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1">
        <f t="shared" si="86"/>
        <v>19.292618976952753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67">
        <f t="shared" si="56"/>
        <v>409.51710805152618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-5.6843418860808015E-14</v>
      </c>
      <c r="O80" s="13">
        <f>N80*VLOOKUP('Données projet'!$B$9,Paramètres!$A$1:$I$89,3,0)*VLOOKUP('Données projet'!$B$9,Paramètres!$A$1:$I$89,5,0)</f>
        <v>-3.3992364478763198E-14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161.92866721009744</v>
      </c>
      <c r="T80" s="59">
        <f t="shared" si="88"/>
        <v>327.23695023676987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45.768417174469228</v>
      </c>
      <c r="AA80" s="21">
        <f>EXP(-LN(2)/25)*AA79+(1-EXP(-LN(2)/25))/(LN(2)/25)*Calculateur!V80*Calculateur!X80*VLOOKUP('Données projet'!$B$9,Paramètres!$A$1:$I$89,3,0)*0.475*44/12</f>
        <v>6.4705206521385374</v>
      </c>
      <c r="AB80" s="21">
        <f>EXP(-LN(2)/2)*AB79+(1-EXP(-LN(2)/2))/(LN(2)/2)*V80*Y80*VLOOKUP('Données projet'!$B$9,Paramètres!$A$1:$I$89,3,0)*0.475*44/12</f>
        <v>6.7355950386473936E-6</v>
      </c>
      <c r="AC80" s="22">
        <f t="shared" si="57"/>
        <v>52.238944562202803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 t="e">
        <f>AI80*VLOOKUP('Données projet'!$B$10,Paramètres!$A$1:$I$89,3,0)*VLOOKUP('Données projet'!$B$10,Paramètres!$A$1:$I$89,5,0)</f>
        <v>#N/A</v>
      </c>
      <c r="AK80" s="13" t="e">
        <f t="shared" si="89"/>
        <v>#N/A</v>
      </c>
      <c r="AL80" s="20" t="e">
        <f t="shared" si="58"/>
        <v>#N/A</v>
      </c>
      <c r="AM80" s="59" t="e">
        <f t="shared" si="59"/>
        <v>#N/A</v>
      </c>
      <c r="AN80" s="59" t="e">
        <f ca="1">AVERAGE(OFFSET($AM$3,0,0,'Données projet'!$E$10+1,1))-AVERAGE(OFFSET($H$3,0,0,'Données projet'!$E$10+1,1))</f>
        <v>#N/A</v>
      </c>
      <c r="AO80" s="59" t="e">
        <f t="shared" si="90"/>
        <v>#N/A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 t="e">
        <f>EXP(-LN(2)/35)*AU79+(1-EXP(-LN(2)/35))/(LN(2)/35)*AQ80*AR80*VLOOKUP('Données projet'!$B$10,Paramètres!$A$1:$I$89,3,0)*0.475*44/12</f>
        <v>#N/A</v>
      </c>
      <c r="AV80" s="21" t="e">
        <f>EXP(-LN(2)/25)*AV79+(1-EXP(-LN(2)/25))/(LN(2)/25)*Calculateur!AQ80*Calculateur!AS80*VLOOKUP('Données projet'!$B$10,Paramètres!$A$1:$I$89,3,0)*0.475*44/12</f>
        <v>#N/A</v>
      </c>
      <c r="AW80" s="21" t="e">
        <f>EXP(-LN(2)/2)*AW79+(1-EXP(-LN(2)/2))/(LN(2)/2)*AQ80*AT80*VLOOKUP('Données projet'!$B$10,Paramètres!$A$1:$I$89,3,0)*0.475*44/12</f>
        <v>#N/A</v>
      </c>
      <c r="AX80" s="21" t="e">
        <f t="shared" si="60"/>
        <v>#N/A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1">
        <f t="shared" si="86"/>
        <v>19.51384151112245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67">
        <f t="shared" si="56"/>
        <v>411.45109396520513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-5.6843418860808015E-14</v>
      </c>
      <c r="O81" s="13">
        <f>N81*VLOOKUP('Données projet'!$B$9,Paramètres!$A$1:$I$89,3,0)*VLOOKUP('Données projet'!$B$9,Paramètres!$A$1:$I$89,5,0)</f>
        <v>-3.3992364478763198E-14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161.92866721009744</v>
      </c>
      <c r="T81" s="59">
        <f t="shared" si="88"/>
        <v>327.23695023676987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44.870926429655889</v>
      </c>
      <c r="AA81" s="21">
        <f>EXP(-LN(2)/25)*AA80+(1-EXP(-LN(2)/25))/(LN(2)/25)*Calculateur!V81*Calculateur!X81*VLOOKUP('Données projet'!$B$9,Paramètres!$A$1:$I$89,3,0)*0.475*44/12</f>
        <v>6.2935839246359162</v>
      </c>
      <c r="AB81" s="21">
        <f>EXP(-LN(2)/2)*AB80+(1-EXP(-LN(2)/2))/(LN(2)/2)*V81*Y81*VLOOKUP('Données projet'!$B$9,Paramètres!$A$1:$I$89,3,0)*0.475*44/12</f>
        <v>4.7627849271540376E-6</v>
      </c>
      <c r="AC81" s="22">
        <f t="shared" si="57"/>
        <v>51.164515117076732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 t="e">
        <f>AI81*VLOOKUP('Données projet'!$B$10,Paramètres!$A$1:$I$89,3,0)*VLOOKUP('Données projet'!$B$10,Paramètres!$A$1:$I$89,5,0)</f>
        <v>#N/A</v>
      </c>
      <c r="AK81" s="13" t="e">
        <f t="shared" si="89"/>
        <v>#N/A</v>
      </c>
      <c r="AL81" s="20" t="e">
        <f t="shared" si="58"/>
        <v>#N/A</v>
      </c>
      <c r="AM81" s="59" t="e">
        <f t="shared" si="59"/>
        <v>#N/A</v>
      </c>
      <c r="AN81" s="59" t="e">
        <f ca="1">AVERAGE(OFFSET($AM$3,0,0,'Données projet'!$E$10+1,1))-AVERAGE(OFFSET($H$3,0,0,'Données projet'!$E$10+1,1))</f>
        <v>#N/A</v>
      </c>
      <c r="AO81" s="59" t="e">
        <f t="shared" si="90"/>
        <v>#N/A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 t="e">
        <f>EXP(-LN(2)/35)*AU80+(1-EXP(-LN(2)/35))/(LN(2)/35)*AQ81*AR81*VLOOKUP('Données projet'!$B$10,Paramètres!$A$1:$I$89,3,0)*0.475*44/12</f>
        <v>#N/A</v>
      </c>
      <c r="AV81" s="21" t="e">
        <f>EXP(-LN(2)/25)*AV80+(1-EXP(-LN(2)/25))/(LN(2)/25)*Calculateur!AQ81*Calculateur!AS81*VLOOKUP('Données projet'!$B$10,Paramètres!$A$1:$I$89,3,0)*0.475*44/12</f>
        <v>#N/A</v>
      </c>
      <c r="AW81" s="21" t="e">
        <f>EXP(-LN(2)/2)*AW80+(1-EXP(-LN(2)/2))/(LN(2)/2)*AQ81*AT81*VLOOKUP('Données projet'!$B$10,Paramètres!$A$1:$I$89,3,0)*0.475*44/12</f>
        <v>#N/A</v>
      </c>
      <c r="AX81" s="21" t="e">
        <f t="shared" si="60"/>
        <v>#N/A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1">
        <f t="shared" si="86"/>
        <v>19.734734149853086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67">
        <f t="shared" si="56"/>
        <v>413.38450531099431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-5.6843418860808015E-14</v>
      </c>
      <c r="O82" s="13">
        <f>N82*VLOOKUP('Données projet'!$B$9,Paramètres!$A$1:$I$89,3,0)*VLOOKUP('Données projet'!$B$9,Paramètres!$A$1:$I$89,5,0)</f>
        <v>-3.3992364478763198E-14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161.92866721009744</v>
      </c>
      <c r="T82" s="59">
        <f t="shared" si="88"/>
        <v>327.23695023676987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43.99103493093304</v>
      </c>
      <c r="AA82" s="21">
        <f>EXP(-LN(2)/25)*AA81+(1-EXP(-LN(2)/25))/(LN(2)/25)*Calculateur!V82*Calculateur!X82*VLOOKUP('Données projet'!$B$9,Paramètres!$A$1:$I$89,3,0)*0.475*44/12</f>
        <v>6.1214855412515528</v>
      </c>
      <c r="AB82" s="21">
        <f>EXP(-LN(2)/2)*AB81+(1-EXP(-LN(2)/2))/(LN(2)/2)*V82*Y82*VLOOKUP('Données projet'!$B$9,Paramètres!$A$1:$I$89,3,0)*0.475*44/12</f>
        <v>3.3677975193236968E-6</v>
      </c>
      <c r="AC82" s="22">
        <f t="shared" si="57"/>
        <v>50.11252383998211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 t="e">
        <f>AI82*VLOOKUP('Données projet'!$B$10,Paramètres!$A$1:$I$89,3,0)*VLOOKUP('Données projet'!$B$10,Paramètres!$A$1:$I$89,5,0)</f>
        <v>#N/A</v>
      </c>
      <c r="AK82" s="13" t="e">
        <f t="shared" si="89"/>
        <v>#N/A</v>
      </c>
      <c r="AL82" s="20" t="e">
        <f t="shared" si="58"/>
        <v>#N/A</v>
      </c>
      <c r="AM82" s="59" t="e">
        <f t="shared" si="59"/>
        <v>#N/A</v>
      </c>
      <c r="AN82" s="59" t="e">
        <f ca="1">AVERAGE(OFFSET($AM$3,0,0,'Données projet'!$E$10+1,1))-AVERAGE(OFFSET($H$3,0,0,'Données projet'!$E$10+1,1))</f>
        <v>#N/A</v>
      </c>
      <c r="AO82" s="59" t="e">
        <f t="shared" si="90"/>
        <v>#N/A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 t="e">
        <f>EXP(-LN(2)/35)*AU81+(1-EXP(-LN(2)/35))/(LN(2)/35)*AQ82*AR82*VLOOKUP('Données projet'!$B$10,Paramètres!$A$1:$I$89,3,0)*0.475*44/12</f>
        <v>#N/A</v>
      </c>
      <c r="AV82" s="21" t="e">
        <f>EXP(-LN(2)/25)*AV81+(1-EXP(-LN(2)/25))/(LN(2)/25)*Calculateur!AQ82*Calculateur!AS82*VLOOKUP('Données projet'!$B$10,Paramètres!$A$1:$I$89,3,0)*0.475*44/12</f>
        <v>#N/A</v>
      </c>
      <c r="AW82" s="21" t="e">
        <f>EXP(-LN(2)/2)*AW81+(1-EXP(-LN(2)/2))/(LN(2)/2)*AQ82*AT82*VLOOKUP('Données projet'!$B$10,Paramètres!$A$1:$I$89,3,0)*0.475*44/12</f>
        <v>#N/A</v>
      </c>
      <c r="AX82" s="21" t="e">
        <f t="shared" si="60"/>
        <v>#N/A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1">
        <f t="shared" si="86"/>
        <v>19.955301551927505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67">
        <f t="shared" si="56"/>
        <v>415.31735020294059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-5.6843418860808015E-14</v>
      </c>
      <c r="O83" s="13">
        <f>N83*VLOOKUP('Données projet'!$B$9,Paramètres!$A$1:$I$89,3,0)*VLOOKUP('Données projet'!$B$9,Paramètres!$A$1:$I$89,5,0)</f>
        <v>-3.3992364478763198E-14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161.92866721009744</v>
      </c>
      <c r="T83" s="59">
        <f t="shared" si="88"/>
        <v>327.23695023676987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43.12839756781932</v>
      </c>
      <c r="AA83" s="21">
        <f>EXP(-LN(2)/25)*AA82+(1-EXP(-LN(2)/25))/(LN(2)/25)*Calculateur!V83*Calculateur!X83*VLOOKUP('Données projet'!$B$9,Paramètres!$A$1:$I$89,3,0)*0.475*44/12</f>
        <v>5.9540931972110949</v>
      </c>
      <c r="AB83" s="21">
        <f>EXP(-LN(2)/2)*AB82+(1-EXP(-LN(2)/2))/(LN(2)/2)*V83*Y83*VLOOKUP('Données projet'!$B$9,Paramètres!$A$1:$I$89,3,0)*0.475*44/12</f>
        <v>2.3813924635770188E-6</v>
      </c>
      <c r="AC83" s="22">
        <f t="shared" si="57"/>
        <v>49.082493146422877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 t="e">
        <f>AI83*VLOOKUP('Données projet'!$B$10,Paramètres!$A$1:$I$89,3,0)*VLOOKUP('Données projet'!$B$10,Paramètres!$A$1:$I$89,5,0)</f>
        <v>#N/A</v>
      </c>
      <c r="AK83" s="13" t="e">
        <f t="shared" si="89"/>
        <v>#N/A</v>
      </c>
      <c r="AL83" s="20" t="e">
        <f t="shared" si="58"/>
        <v>#N/A</v>
      </c>
      <c r="AM83" s="59" t="e">
        <f t="shared" si="59"/>
        <v>#N/A</v>
      </c>
      <c r="AN83" s="59" t="e">
        <f ca="1">AVERAGE(OFFSET($AM$3,0,0,'Données projet'!$E$10+1,1))-AVERAGE(OFFSET($H$3,0,0,'Données projet'!$E$10+1,1))</f>
        <v>#N/A</v>
      </c>
      <c r="AO83" s="59" t="e">
        <f t="shared" si="90"/>
        <v>#N/A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 t="e">
        <f>EXP(-LN(2)/35)*AU82+(1-EXP(-LN(2)/35))/(LN(2)/35)*AQ83*AR83*VLOOKUP('Données projet'!$B$10,Paramètres!$A$1:$I$89,3,0)*0.475*44/12</f>
        <v>#N/A</v>
      </c>
      <c r="AV83" s="21" t="e">
        <f>EXP(-LN(2)/25)*AV82+(1-EXP(-LN(2)/25))/(LN(2)/25)*Calculateur!AQ83*Calculateur!AS83*VLOOKUP('Données projet'!$B$10,Paramètres!$A$1:$I$89,3,0)*0.475*44/12</f>
        <v>#N/A</v>
      </c>
      <c r="AW83" s="21" t="e">
        <f>EXP(-LN(2)/2)*AW82+(1-EXP(-LN(2)/2))/(LN(2)/2)*AQ83*AT83*VLOOKUP('Données projet'!$B$10,Paramètres!$A$1:$I$89,3,0)*0.475*44/12</f>
        <v>#N/A</v>
      </c>
      <c r="AX83" s="21" t="e">
        <f t="shared" si="60"/>
        <v>#N/A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1">
        <f t="shared" si="86"/>
        <v>20.175548252960489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67">
        <f t="shared" si="56"/>
        <v>417.24963654057308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-5.6843418860808015E-14</v>
      </c>
      <c r="O84" s="13">
        <f>N84*VLOOKUP('Données projet'!$B$9,Paramètres!$A$1:$I$89,3,0)*VLOOKUP('Données projet'!$B$9,Paramètres!$A$1:$I$89,5,0)</f>
        <v>-3.3992364478763198E-14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161.92866721009744</v>
      </c>
      <c r="T84" s="59">
        <f t="shared" si="88"/>
        <v>327.23695023676987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42.282675997239423</v>
      </c>
      <c r="AA84" s="21">
        <f>EXP(-LN(2)/25)*AA83+(1-EXP(-LN(2)/25))/(LN(2)/25)*Calculateur!V84*Calculateur!X84*VLOOKUP('Données projet'!$B$9,Paramètres!$A$1:$I$89,3,0)*0.475*44/12</f>
        <v>5.7912782056212047</v>
      </c>
      <c r="AB84" s="21">
        <f>EXP(-LN(2)/2)*AB83+(1-EXP(-LN(2)/2))/(LN(2)/2)*V84*Y84*VLOOKUP('Données projet'!$B$9,Paramètres!$A$1:$I$89,3,0)*0.475*44/12</f>
        <v>1.6838987596618484E-6</v>
      </c>
      <c r="AC84" s="22">
        <f t="shared" si="57"/>
        <v>48.073955886759386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 t="e">
        <f>AI84*VLOOKUP('Données projet'!$B$10,Paramètres!$A$1:$I$89,3,0)*VLOOKUP('Données projet'!$B$10,Paramètres!$A$1:$I$89,5,0)</f>
        <v>#N/A</v>
      </c>
      <c r="AK84" s="13" t="e">
        <f t="shared" si="89"/>
        <v>#N/A</v>
      </c>
      <c r="AL84" s="20" t="e">
        <f t="shared" si="58"/>
        <v>#N/A</v>
      </c>
      <c r="AM84" s="59" t="e">
        <f t="shared" si="59"/>
        <v>#N/A</v>
      </c>
      <c r="AN84" s="59" t="e">
        <f ca="1">AVERAGE(OFFSET($AM$3,0,0,'Données projet'!$E$10+1,1))-AVERAGE(OFFSET($H$3,0,0,'Données projet'!$E$10+1,1))</f>
        <v>#N/A</v>
      </c>
      <c r="AO84" s="59" t="e">
        <f t="shared" si="90"/>
        <v>#N/A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 t="e">
        <f>EXP(-LN(2)/35)*AU83+(1-EXP(-LN(2)/35))/(LN(2)/35)*AQ84*AR84*VLOOKUP('Données projet'!$B$10,Paramètres!$A$1:$I$89,3,0)*0.475*44/12</f>
        <v>#N/A</v>
      </c>
      <c r="AV84" s="21" t="e">
        <f>EXP(-LN(2)/25)*AV83+(1-EXP(-LN(2)/25))/(LN(2)/25)*Calculateur!AQ84*Calculateur!AS84*VLOOKUP('Données projet'!$B$10,Paramètres!$A$1:$I$89,3,0)*0.475*44/12</f>
        <v>#N/A</v>
      </c>
      <c r="AW84" s="21" t="e">
        <f>EXP(-LN(2)/2)*AW83+(1-EXP(-LN(2)/2))/(LN(2)/2)*AQ84*AT84*VLOOKUP('Données projet'!$B$10,Paramètres!$A$1:$I$89,3,0)*0.475*44/12</f>
        <v>#N/A</v>
      </c>
      <c r="AX84" s="21" t="e">
        <f t="shared" si="60"/>
        <v>#N/A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1">
        <f t="shared" si="86"/>
        <v>20.395478670134686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67">
        <f t="shared" si="56"/>
        <v>419.18137201715149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-5.6843418860808015E-14</v>
      </c>
      <c r="O85" s="13">
        <f>N85*VLOOKUP('Données projet'!$B$9,Paramètres!$A$1:$I$89,3,0)*VLOOKUP('Données projet'!$B$9,Paramètres!$A$1:$I$89,5,0)</f>
        <v>-3.3992364478763198E-14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161.92866721009744</v>
      </c>
      <c r="T85" s="59">
        <f t="shared" si="88"/>
        <v>327.23695023676987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41.453538510819378</v>
      </c>
      <c r="AA85" s="21">
        <f>EXP(-LN(2)/25)*AA84+(1-EXP(-LN(2)/25))/(LN(2)/25)*Calculateur!V85*Calculateur!X85*VLOOKUP('Données projet'!$B$9,Paramètres!$A$1:$I$89,3,0)*0.475*44/12</f>
        <v>5.6329153985384082</v>
      </c>
      <c r="AB85" s="21">
        <f>EXP(-LN(2)/2)*AB84+(1-EXP(-LN(2)/2))/(LN(2)/2)*V85*Y85*VLOOKUP('Données projet'!$B$9,Paramètres!$A$1:$I$89,3,0)*0.475*44/12</f>
        <v>1.1906962317885094E-6</v>
      </c>
      <c r="AC85" s="22">
        <f t="shared" si="57"/>
        <v>47.086455100054017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 t="e">
        <f>AI85*VLOOKUP('Données projet'!$B$10,Paramètres!$A$1:$I$89,3,0)*VLOOKUP('Données projet'!$B$10,Paramètres!$A$1:$I$89,5,0)</f>
        <v>#N/A</v>
      </c>
      <c r="AK85" s="13" t="e">
        <f t="shared" si="89"/>
        <v>#N/A</v>
      </c>
      <c r="AL85" s="20" t="e">
        <f t="shared" si="58"/>
        <v>#N/A</v>
      </c>
      <c r="AM85" s="59" t="e">
        <f t="shared" si="59"/>
        <v>#N/A</v>
      </c>
      <c r="AN85" s="59" t="e">
        <f ca="1">AVERAGE(OFFSET($AM$3,0,0,'Données projet'!$E$10+1,1))-AVERAGE(OFFSET($H$3,0,0,'Données projet'!$E$10+1,1))</f>
        <v>#N/A</v>
      </c>
      <c r="AO85" s="59" t="e">
        <f t="shared" si="90"/>
        <v>#N/A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 t="e">
        <f>EXP(-LN(2)/35)*AU84+(1-EXP(-LN(2)/35))/(LN(2)/35)*AQ85*AR85*VLOOKUP('Données projet'!$B$10,Paramètres!$A$1:$I$89,3,0)*0.475*44/12</f>
        <v>#N/A</v>
      </c>
      <c r="AV85" s="21" t="e">
        <f>EXP(-LN(2)/25)*AV84+(1-EXP(-LN(2)/25))/(LN(2)/25)*Calculateur!AQ85*Calculateur!AS85*VLOOKUP('Données projet'!$B$10,Paramètres!$A$1:$I$89,3,0)*0.475*44/12</f>
        <v>#N/A</v>
      </c>
      <c r="AW85" s="21" t="e">
        <f>EXP(-LN(2)/2)*AW84+(1-EXP(-LN(2)/2))/(LN(2)/2)*AQ85*AT85*VLOOKUP('Données projet'!$B$10,Paramètres!$A$1:$I$89,3,0)*0.475*44/12</f>
        <v>#N/A</v>
      </c>
      <c r="AX85" s="21" t="e">
        <f t="shared" si="60"/>
        <v>#N/A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1">
        <f t="shared" si="86"/>
        <v>20.615097106698798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67">
        <f t="shared" si="56"/>
        <v>421.1125641275006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-5.6843418860808015E-14</v>
      </c>
      <c r="O86" s="13">
        <f>N86*VLOOKUP('Données projet'!$B$9,Paramètres!$A$1:$I$89,3,0)*VLOOKUP('Données projet'!$B$9,Paramètres!$A$1:$I$89,5,0)</f>
        <v>-3.3992364478763198E-14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161.92866721009744</v>
      </c>
      <c r="T86" s="59">
        <f t="shared" si="88"/>
        <v>327.23695023676987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40.640659904784101</v>
      </c>
      <c r="AA86" s="21">
        <f>EXP(-LN(2)/25)*AA85+(1-EXP(-LN(2)/25))/(LN(2)/25)*Calculateur!V86*Calculateur!X86*VLOOKUP('Données projet'!$B$9,Paramètres!$A$1:$I$89,3,0)*0.475*44/12</f>
        <v>5.478883030743229</v>
      </c>
      <c r="AB86" s="21">
        <f>EXP(-LN(2)/2)*AB85+(1-EXP(-LN(2)/2))/(LN(2)/2)*V86*Y86*VLOOKUP('Données projet'!$B$9,Paramètres!$A$1:$I$89,3,0)*0.475*44/12</f>
        <v>8.419493798309242E-7</v>
      </c>
      <c r="AC86" s="22">
        <f t="shared" si="57"/>
        <v>46.119543777476707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 t="e">
        <f>AI86*VLOOKUP('Données projet'!$B$10,Paramètres!$A$1:$I$89,3,0)*VLOOKUP('Données projet'!$B$10,Paramètres!$A$1:$I$89,5,0)</f>
        <v>#N/A</v>
      </c>
      <c r="AK86" s="13" t="e">
        <f t="shared" si="89"/>
        <v>#N/A</v>
      </c>
      <c r="AL86" s="20" t="e">
        <f t="shared" si="58"/>
        <v>#N/A</v>
      </c>
      <c r="AM86" s="59" t="e">
        <f t="shared" si="59"/>
        <v>#N/A</v>
      </c>
      <c r="AN86" s="59" t="e">
        <f ca="1">AVERAGE(OFFSET($AM$3,0,0,'Données projet'!$E$10+1,1))-AVERAGE(OFFSET($H$3,0,0,'Données projet'!$E$10+1,1))</f>
        <v>#N/A</v>
      </c>
      <c r="AO86" s="59" t="e">
        <f t="shared" si="90"/>
        <v>#N/A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 t="e">
        <f>EXP(-LN(2)/35)*AU85+(1-EXP(-LN(2)/35))/(LN(2)/35)*AQ86*AR86*VLOOKUP('Données projet'!$B$10,Paramètres!$A$1:$I$89,3,0)*0.475*44/12</f>
        <v>#N/A</v>
      </c>
      <c r="AV86" s="21" t="e">
        <f>EXP(-LN(2)/25)*AV85+(1-EXP(-LN(2)/25))/(LN(2)/25)*Calculateur!AQ86*Calculateur!AS86*VLOOKUP('Données projet'!$B$10,Paramètres!$A$1:$I$89,3,0)*0.475*44/12</f>
        <v>#N/A</v>
      </c>
      <c r="AW86" s="21" t="e">
        <f>EXP(-LN(2)/2)*AW85+(1-EXP(-LN(2)/2))/(LN(2)/2)*AQ86*AT86*VLOOKUP('Données projet'!$B$10,Paramètres!$A$1:$I$89,3,0)*0.475*44/12</f>
        <v>#N/A</v>
      </c>
      <c r="AX86" s="21" t="e">
        <f t="shared" si="60"/>
        <v>#N/A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1">
        <f t="shared" si="86"/>
        <v>20.834407756242857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67">
        <f t="shared" si="56"/>
        <v>423.0432201754565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-5.6843418860808015E-14</v>
      </c>
      <c r="O87" s="13">
        <f>N87*VLOOKUP('Données projet'!$B$9,Paramètres!$A$1:$I$89,3,0)*VLOOKUP('Données projet'!$B$9,Paramètres!$A$1:$I$89,5,0)</f>
        <v>-3.3992364478763198E-14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161.92866721009744</v>
      </c>
      <c r="T87" s="59">
        <f t="shared" si="88"/>
        <v>327.23695023676987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39.843721352406178</v>
      </c>
      <c r="AA87" s="21">
        <f>EXP(-LN(2)/25)*AA86+(1-EXP(-LN(2)/25))/(LN(2)/25)*Calculateur!V87*Calculateur!X87*VLOOKUP('Données projet'!$B$9,Paramètres!$A$1:$I$89,3,0)*0.475*44/12</f>
        <v>5.329062686145619</v>
      </c>
      <c r="AB87" s="21">
        <f>EXP(-LN(2)/2)*AB86+(1-EXP(-LN(2)/2))/(LN(2)/2)*V87*Y87*VLOOKUP('Données projet'!$B$9,Paramètres!$A$1:$I$89,3,0)*0.475*44/12</f>
        <v>5.953481158942547E-7</v>
      </c>
      <c r="AC87" s="22">
        <f t="shared" si="57"/>
        <v>45.172784633899916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 t="e">
        <f>AI87*VLOOKUP('Données projet'!$B$10,Paramètres!$A$1:$I$89,3,0)*VLOOKUP('Données projet'!$B$10,Paramètres!$A$1:$I$89,5,0)</f>
        <v>#N/A</v>
      </c>
      <c r="AK87" s="13" t="e">
        <f t="shared" si="89"/>
        <v>#N/A</v>
      </c>
      <c r="AL87" s="20" t="e">
        <f t="shared" si="58"/>
        <v>#N/A</v>
      </c>
      <c r="AM87" s="59" t="e">
        <f t="shared" si="59"/>
        <v>#N/A</v>
      </c>
      <c r="AN87" s="59" t="e">
        <f ca="1">AVERAGE(OFFSET($AM$3,0,0,'Données projet'!$E$10+1,1))-AVERAGE(OFFSET($H$3,0,0,'Données projet'!$E$10+1,1))</f>
        <v>#N/A</v>
      </c>
      <c r="AO87" s="59" t="e">
        <f t="shared" si="90"/>
        <v>#N/A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 t="e">
        <f>EXP(-LN(2)/35)*AU86+(1-EXP(-LN(2)/35))/(LN(2)/35)*AQ87*AR87*VLOOKUP('Données projet'!$B$10,Paramètres!$A$1:$I$89,3,0)*0.475*44/12</f>
        <v>#N/A</v>
      </c>
      <c r="AV87" s="21" t="e">
        <f>EXP(-LN(2)/25)*AV86+(1-EXP(-LN(2)/25))/(LN(2)/25)*Calculateur!AQ87*Calculateur!AS87*VLOOKUP('Données projet'!$B$10,Paramètres!$A$1:$I$89,3,0)*0.475*44/12</f>
        <v>#N/A</v>
      </c>
      <c r="AW87" s="21" t="e">
        <f>EXP(-LN(2)/2)*AW86+(1-EXP(-LN(2)/2))/(LN(2)/2)*AQ87*AT87*VLOOKUP('Données projet'!$B$10,Paramètres!$A$1:$I$89,3,0)*0.475*44/12</f>
        <v>#N/A</v>
      </c>
      <c r="AX87" s="21" t="e">
        <f t="shared" si="60"/>
        <v>#N/A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1">
        <f t="shared" si="86"/>
        <v>21.053414706764155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67">
        <f t="shared" si="56"/>
        <v>424.97334728094779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-5.6843418860808015E-14</v>
      </c>
      <c r="O88" s="13">
        <f>N88*VLOOKUP('Données projet'!$B$9,Paramètres!$A$1:$I$89,3,0)*VLOOKUP('Données projet'!$B$9,Paramètres!$A$1:$I$89,5,0)</f>
        <v>-3.3992364478763198E-14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161.92866721009744</v>
      </c>
      <c r="T88" s="59">
        <f t="shared" si="88"/>
        <v>327.23695023676987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39.062410278955866</v>
      </c>
      <c r="AA88" s="21">
        <f>EXP(-LN(2)/25)*AA87+(1-EXP(-LN(2)/25))/(LN(2)/25)*Calculateur!V88*Calculateur!X88*VLOOKUP('Données projet'!$B$9,Paramètres!$A$1:$I$89,3,0)*0.475*44/12</f>
        <v>5.1833391867497403</v>
      </c>
      <c r="AB88" s="21">
        <f>EXP(-LN(2)/2)*AB87+(1-EXP(-LN(2)/2))/(LN(2)/2)*V88*Y88*VLOOKUP('Données projet'!$B$9,Paramètres!$A$1:$I$89,3,0)*0.475*44/12</f>
        <v>4.209746899154621E-7</v>
      </c>
      <c r="AC88" s="22">
        <f t="shared" si="57"/>
        <v>44.245749886680301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 t="e">
        <f>AI88*VLOOKUP('Données projet'!$B$10,Paramètres!$A$1:$I$89,3,0)*VLOOKUP('Données projet'!$B$10,Paramètres!$A$1:$I$89,5,0)</f>
        <v>#N/A</v>
      </c>
      <c r="AK88" s="13" t="e">
        <f t="shared" si="89"/>
        <v>#N/A</v>
      </c>
      <c r="AL88" s="20" t="e">
        <f t="shared" si="58"/>
        <v>#N/A</v>
      </c>
      <c r="AM88" s="59" t="e">
        <f t="shared" si="59"/>
        <v>#N/A</v>
      </c>
      <c r="AN88" s="59" t="e">
        <f ca="1">AVERAGE(OFFSET($AM$3,0,0,'Données projet'!$E$10+1,1))-AVERAGE(OFFSET($H$3,0,0,'Données projet'!$E$10+1,1))</f>
        <v>#N/A</v>
      </c>
      <c r="AO88" s="59" t="e">
        <f t="shared" si="90"/>
        <v>#N/A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 t="e">
        <f>EXP(-LN(2)/35)*AU87+(1-EXP(-LN(2)/35))/(LN(2)/35)*AQ88*AR88*VLOOKUP('Données projet'!$B$10,Paramètres!$A$1:$I$89,3,0)*0.475*44/12</f>
        <v>#N/A</v>
      </c>
      <c r="AV88" s="21" t="e">
        <f>EXP(-LN(2)/25)*AV87+(1-EXP(-LN(2)/25))/(LN(2)/25)*Calculateur!AQ88*Calculateur!AS88*VLOOKUP('Données projet'!$B$10,Paramètres!$A$1:$I$89,3,0)*0.475*44/12</f>
        <v>#N/A</v>
      </c>
      <c r="AW88" s="21" t="e">
        <f>EXP(-LN(2)/2)*AW87+(1-EXP(-LN(2)/2))/(LN(2)/2)*AQ88*AT88*VLOOKUP('Données projet'!$B$10,Paramètres!$A$1:$I$89,3,0)*0.475*44/12</f>
        <v>#N/A</v>
      </c>
      <c r="AX88" s="21" t="e">
        <f t="shared" si="60"/>
        <v>#N/A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1">
        <f t="shared" si="86"/>
        <v>21.272121944536373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67">
        <f t="shared" si="56"/>
        <v>426.9029523867344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-5.6843418860808015E-14</v>
      </c>
      <c r="O89" s="13">
        <f>N89*VLOOKUP('Données projet'!$B$9,Paramètres!$A$1:$I$89,3,0)*VLOOKUP('Données projet'!$B$9,Paramètres!$A$1:$I$89,5,0)</f>
        <v>-3.3992364478763198E-14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161.92866721009744</v>
      </c>
      <c r="T89" s="59">
        <f t="shared" si="88"/>
        <v>327.23695023676987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38.29642023910322</v>
      </c>
      <c r="AA89" s="21">
        <f>EXP(-LN(2)/25)*AA88+(1-EXP(-LN(2)/25))/(LN(2)/25)*Calculateur!V89*Calculateur!X89*VLOOKUP('Données projet'!$B$9,Paramètres!$A$1:$I$89,3,0)*0.475*44/12</f>
        <v>5.0416005041081071</v>
      </c>
      <c r="AB89" s="21">
        <f>EXP(-LN(2)/2)*AB88+(1-EXP(-LN(2)/2))/(LN(2)/2)*V89*Y89*VLOOKUP('Données projet'!$B$9,Paramètres!$A$1:$I$89,3,0)*0.475*44/12</f>
        <v>2.9767405794712735E-7</v>
      </c>
      <c r="AC89" s="22">
        <f t="shared" si="57"/>
        <v>43.338021040885387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 t="e">
        <f>AI89*VLOOKUP('Données projet'!$B$10,Paramètres!$A$1:$I$89,3,0)*VLOOKUP('Données projet'!$B$10,Paramètres!$A$1:$I$89,5,0)</f>
        <v>#N/A</v>
      </c>
      <c r="AK89" s="13" t="e">
        <f t="shared" si="89"/>
        <v>#N/A</v>
      </c>
      <c r="AL89" s="20" t="e">
        <f t="shared" si="58"/>
        <v>#N/A</v>
      </c>
      <c r="AM89" s="59" t="e">
        <f t="shared" si="59"/>
        <v>#N/A</v>
      </c>
      <c r="AN89" s="59" t="e">
        <f ca="1">AVERAGE(OFFSET($AM$3,0,0,'Données projet'!$E$10+1,1))-AVERAGE(OFFSET($H$3,0,0,'Données projet'!$E$10+1,1))</f>
        <v>#N/A</v>
      </c>
      <c r="AO89" s="59" t="e">
        <f t="shared" si="90"/>
        <v>#N/A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 t="e">
        <f>EXP(-LN(2)/35)*AU88+(1-EXP(-LN(2)/35))/(LN(2)/35)*AQ89*AR89*VLOOKUP('Données projet'!$B$10,Paramètres!$A$1:$I$89,3,0)*0.475*44/12</f>
        <v>#N/A</v>
      </c>
      <c r="AV89" s="21" t="e">
        <f>EXP(-LN(2)/25)*AV88+(1-EXP(-LN(2)/25))/(LN(2)/25)*Calculateur!AQ89*Calculateur!AS89*VLOOKUP('Données projet'!$B$10,Paramètres!$A$1:$I$89,3,0)*0.475*44/12</f>
        <v>#N/A</v>
      </c>
      <c r="AW89" s="21" t="e">
        <f>EXP(-LN(2)/2)*AW88+(1-EXP(-LN(2)/2))/(LN(2)/2)*AQ89*AT89*VLOOKUP('Données projet'!$B$10,Paramètres!$A$1:$I$89,3,0)*0.475*44/12</f>
        <v>#N/A</v>
      </c>
      <c r="AX89" s="21" t="e">
        <f t="shared" si="60"/>
        <v>#N/A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1">
        <f t="shared" si="86"/>
        <v>21.490533357793517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67">
        <f t="shared" si="56"/>
        <v>428.83204226482388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-5.6843418860808015E-14</v>
      </c>
      <c r="O90" s="13">
        <f>N90*VLOOKUP('Données projet'!$B$9,Paramètres!$A$1:$I$89,3,0)*VLOOKUP('Données projet'!$B$9,Paramètres!$A$1:$I$89,5,0)</f>
        <v>-3.3992364478763198E-14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161.92866721009744</v>
      </c>
      <c r="T90" s="59">
        <f t="shared" si="88"/>
        <v>327.23695023676987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37.545450796724289</v>
      </c>
      <c r="AA90" s="21">
        <f>EXP(-LN(2)/25)*AA89+(1-EXP(-LN(2)/25))/(LN(2)/25)*Calculateur!V90*Calculateur!X90*VLOOKUP('Données projet'!$B$9,Paramètres!$A$1:$I$89,3,0)*0.475*44/12</f>
        <v>4.903737673197023</v>
      </c>
      <c r="AB90" s="21">
        <f>EXP(-LN(2)/2)*AB89+(1-EXP(-LN(2)/2))/(LN(2)/2)*V90*Y90*VLOOKUP('Données projet'!$B$9,Paramètres!$A$1:$I$89,3,0)*0.475*44/12</f>
        <v>2.1048734495773105E-7</v>
      </c>
      <c r="AC90" s="22">
        <f t="shared" si="57"/>
        <v>42.449188680408653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 t="e">
        <f>AI90*VLOOKUP('Données projet'!$B$10,Paramètres!$A$1:$I$89,3,0)*VLOOKUP('Données projet'!$B$10,Paramètres!$A$1:$I$89,5,0)</f>
        <v>#N/A</v>
      </c>
      <c r="AK90" s="13" t="e">
        <f t="shared" si="89"/>
        <v>#N/A</v>
      </c>
      <c r="AL90" s="20" t="e">
        <f t="shared" si="58"/>
        <v>#N/A</v>
      </c>
      <c r="AM90" s="59" t="e">
        <f t="shared" si="59"/>
        <v>#N/A</v>
      </c>
      <c r="AN90" s="59" t="e">
        <f ca="1">AVERAGE(OFFSET($AM$3,0,0,'Données projet'!$E$10+1,1))-AVERAGE(OFFSET($H$3,0,0,'Données projet'!$E$10+1,1))</f>
        <v>#N/A</v>
      </c>
      <c r="AO90" s="59" t="e">
        <f t="shared" si="90"/>
        <v>#N/A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 t="e">
        <f>EXP(-LN(2)/35)*AU89+(1-EXP(-LN(2)/35))/(LN(2)/35)*AQ90*AR90*VLOOKUP('Données projet'!$B$10,Paramètres!$A$1:$I$89,3,0)*0.475*44/12</f>
        <v>#N/A</v>
      </c>
      <c r="AV90" s="21" t="e">
        <f>EXP(-LN(2)/25)*AV89+(1-EXP(-LN(2)/25))/(LN(2)/25)*Calculateur!AQ90*Calculateur!AS90*VLOOKUP('Données projet'!$B$10,Paramètres!$A$1:$I$89,3,0)*0.475*44/12</f>
        <v>#N/A</v>
      </c>
      <c r="AW90" s="21" t="e">
        <f>EXP(-LN(2)/2)*AW89+(1-EXP(-LN(2)/2))/(LN(2)/2)*AQ90*AT90*VLOOKUP('Données projet'!$B$10,Paramètres!$A$1:$I$89,3,0)*0.475*44/12</f>
        <v>#N/A</v>
      </c>
      <c r="AX90" s="21" t="e">
        <f t="shared" si="60"/>
        <v>#N/A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1">
        <f t="shared" si="86"/>
        <v>21.70865274023982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67">
        <f t="shared" si="56"/>
        <v>430.76062352258458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-5.6843418860808015E-14</v>
      </c>
      <c r="O91" s="13">
        <f>N91*VLOOKUP('Données projet'!$B$9,Paramètres!$A$1:$I$89,3,0)*VLOOKUP('Données projet'!$B$9,Paramètres!$A$1:$I$89,5,0)</f>
        <v>-3.3992364478763198E-14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161.92866721009744</v>
      </c>
      <c r="T91" s="59">
        <f t="shared" si="88"/>
        <v>327.23695023676987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36.809207407064278</v>
      </c>
      <c r="AA91" s="21">
        <f>EXP(-LN(2)/25)*AA90+(1-EXP(-LN(2)/25))/(LN(2)/25)*Calculateur!V91*Calculateur!X91*VLOOKUP('Données projet'!$B$9,Paramètres!$A$1:$I$89,3,0)*0.475*44/12</f>
        <v>4.7696447086470934</v>
      </c>
      <c r="AB91" s="21">
        <f>EXP(-LN(2)/2)*AB90+(1-EXP(-LN(2)/2))/(LN(2)/2)*V91*Y91*VLOOKUP('Données projet'!$B$9,Paramètres!$A$1:$I$89,3,0)*0.475*44/12</f>
        <v>1.4883702897356368E-7</v>
      </c>
      <c r="AC91" s="22">
        <f t="shared" si="57"/>
        <v>41.578852264548402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 t="e">
        <f>AI91*VLOOKUP('Données projet'!$B$10,Paramètres!$A$1:$I$89,3,0)*VLOOKUP('Données projet'!$B$10,Paramètres!$A$1:$I$89,5,0)</f>
        <v>#N/A</v>
      </c>
      <c r="AK91" s="13" t="e">
        <f t="shared" si="89"/>
        <v>#N/A</v>
      </c>
      <c r="AL91" s="20" t="e">
        <f t="shared" si="58"/>
        <v>#N/A</v>
      </c>
      <c r="AM91" s="59" t="e">
        <f t="shared" si="59"/>
        <v>#N/A</v>
      </c>
      <c r="AN91" s="59" t="e">
        <f ca="1">AVERAGE(OFFSET($AM$3,0,0,'Données projet'!$E$10+1,1))-AVERAGE(OFFSET($H$3,0,0,'Données projet'!$E$10+1,1))</f>
        <v>#N/A</v>
      </c>
      <c r="AO91" s="59" t="e">
        <f t="shared" si="90"/>
        <v>#N/A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 t="e">
        <f>EXP(-LN(2)/35)*AU90+(1-EXP(-LN(2)/35))/(LN(2)/35)*AQ91*AR91*VLOOKUP('Données projet'!$B$10,Paramètres!$A$1:$I$89,3,0)*0.475*44/12</f>
        <v>#N/A</v>
      </c>
      <c r="AV91" s="21" t="e">
        <f>EXP(-LN(2)/25)*AV90+(1-EXP(-LN(2)/25))/(LN(2)/25)*Calculateur!AQ91*Calculateur!AS91*VLOOKUP('Données projet'!$B$10,Paramètres!$A$1:$I$89,3,0)*0.475*44/12</f>
        <v>#N/A</v>
      </c>
      <c r="AW91" s="21" t="e">
        <f>EXP(-LN(2)/2)*AW90+(1-EXP(-LN(2)/2))/(LN(2)/2)*AQ91*AT91*VLOOKUP('Données projet'!$B$10,Paramètres!$A$1:$I$89,3,0)*0.475*44/12</f>
        <v>#N/A</v>
      </c>
      <c r="AX91" s="21" t="e">
        <f t="shared" si="60"/>
        <v>#N/A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1">
        <f t="shared" si="86"/>
        <v>21.926483794395363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67">
        <f t="shared" si="56"/>
        <v>432.68870260857216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-5.6843418860808015E-14</v>
      </c>
      <c r="O92" s="13">
        <f>N92*VLOOKUP('Données projet'!$B$9,Paramètres!$A$1:$I$89,3,0)*VLOOKUP('Données projet'!$B$9,Paramètres!$A$1:$I$89,5,0)</f>
        <v>-3.3992364478763198E-14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161.92866721009744</v>
      </c>
      <c r="T92" s="59">
        <f t="shared" si="88"/>
        <v>327.23695023676987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36.087401301211372</v>
      </c>
      <c r="AA92" s="21">
        <f>EXP(-LN(2)/25)*AA91+(1-EXP(-LN(2)/25))/(LN(2)/25)*Calculateur!V92*Calculateur!X92*VLOOKUP('Données projet'!$B$9,Paramètres!$A$1:$I$89,3,0)*0.475*44/12</f>
        <v>4.6392185232644243</v>
      </c>
      <c r="AB92" s="21">
        <f>EXP(-LN(2)/2)*AB91+(1-EXP(-LN(2)/2))/(LN(2)/2)*V92*Y92*VLOOKUP('Données projet'!$B$9,Paramètres!$A$1:$I$89,3,0)*0.475*44/12</f>
        <v>1.0524367247886552E-7</v>
      </c>
      <c r="AC92" s="22">
        <f t="shared" si="57"/>
        <v>40.726619929719469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 t="e">
        <f>AI92*VLOOKUP('Données projet'!$B$10,Paramètres!$A$1:$I$89,3,0)*VLOOKUP('Données projet'!$B$10,Paramètres!$A$1:$I$89,5,0)</f>
        <v>#N/A</v>
      </c>
      <c r="AK92" s="13" t="e">
        <f t="shared" si="89"/>
        <v>#N/A</v>
      </c>
      <c r="AL92" s="20" t="e">
        <f t="shared" si="58"/>
        <v>#N/A</v>
      </c>
      <c r="AM92" s="59" t="e">
        <f t="shared" si="59"/>
        <v>#N/A</v>
      </c>
      <c r="AN92" s="59" t="e">
        <f ca="1">AVERAGE(OFFSET($AM$3,0,0,'Données projet'!$E$10+1,1))-AVERAGE(OFFSET($H$3,0,0,'Données projet'!$E$10+1,1))</f>
        <v>#N/A</v>
      </c>
      <c r="AO92" s="59" t="e">
        <f t="shared" si="90"/>
        <v>#N/A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 t="e">
        <f>EXP(-LN(2)/35)*AU91+(1-EXP(-LN(2)/35))/(LN(2)/35)*AQ92*AR92*VLOOKUP('Données projet'!$B$10,Paramètres!$A$1:$I$89,3,0)*0.475*44/12</f>
        <v>#N/A</v>
      </c>
      <c r="AV92" s="21" t="e">
        <f>EXP(-LN(2)/25)*AV91+(1-EXP(-LN(2)/25))/(LN(2)/25)*Calculateur!AQ92*Calculateur!AS92*VLOOKUP('Données projet'!$B$10,Paramètres!$A$1:$I$89,3,0)*0.475*44/12</f>
        <v>#N/A</v>
      </c>
      <c r="AW92" s="21" t="e">
        <f>EXP(-LN(2)/2)*AW91+(1-EXP(-LN(2)/2))/(LN(2)/2)*AQ92*AT92*VLOOKUP('Données projet'!$B$10,Paramètres!$A$1:$I$89,3,0)*0.475*44/12</f>
        <v>#N/A</v>
      </c>
      <c r="AX92" s="21" t="e">
        <f t="shared" si="60"/>
        <v>#N/A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1">
        <f t="shared" si="86"/>
        <v>22.144030134787187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67">
        <f t="shared" si="56"/>
        <v>434.61628581808787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-5.6843418860808015E-14</v>
      </c>
      <c r="O93" s="13">
        <f>N93*VLOOKUP('Données projet'!$B$9,Paramètres!$A$1:$I$89,3,0)*VLOOKUP('Données projet'!$B$9,Paramètres!$A$1:$I$89,5,0)</f>
        <v>-3.3992364478763198E-14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161.92866721009744</v>
      </c>
      <c r="T93" s="59">
        <f t="shared" si="88"/>
        <v>327.23695023676987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35.379749372835988</v>
      </c>
      <c r="AA93" s="21">
        <f>EXP(-LN(2)/25)*AA92+(1-EXP(-LN(2)/25))/(LN(2)/25)*Calculateur!V93*Calculateur!X93*VLOOKUP('Données projet'!$B$9,Paramètres!$A$1:$I$89,3,0)*0.475*44/12</f>
        <v>4.5123588487798596</v>
      </c>
      <c r="AB93" s="21">
        <f>EXP(-LN(2)/2)*AB92+(1-EXP(-LN(2)/2))/(LN(2)/2)*V93*Y93*VLOOKUP('Données projet'!$B$9,Paramètres!$A$1:$I$89,3,0)*0.475*44/12</f>
        <v>7.4418514486781838E-8</v>
      </c>
      <c r="AC93" s="22">
        <f t="shared" si="57"/>
        <v>39.892108296034365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 t="e">
        <f>AI93*VLOOKUP('Données projet'!$B$10,Paramètres!$A$1:$I$89,3,0)*VLOOKUP('Données projet'!$B$10,Paramètres!$A$1:$I$89,5,0)</f>
        <v>#N/A</v>
      </c>
      <c r="AK93" s="13" t="e">
        <f t="shared" si="89"/>
        <v>#N/A</v>
      </c>
      <c r="AL93" s="20" t="e">
        <f t="shared" si="58"/>
        <v>#N/A</v>
      </c>
      <c r="AM93" s="59" t="e">
        <f t="shared" si="59"/>
        <v>#N/A</v>
      </c>
      <c r="AN93" s="59" t="e">
        <f ca="1">AVERAGE(OFFSET($AM$3,0,0,'Données projet'!$E$10+1,1))-AVERAGE(OFFSET($H$3,0,0,'Données projet'!$E$10+1,1))</f>
        <v>#N/A</v>
      </c>
      <c r="AO93" s="59" t="e">
        <f t="shared" si="90"/>
        <v>#N/A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 t="e">
        <f>EXP(-LN(2)/35)*AU92+(1-EXP(-LN(2)/35))/(LN(2)/35)*AQ93*AR93*VLOOKUP('Données projet'!$B$10,Paramètres!$A$1:$I$89,3,0)*0.475*44/12</f>
        <v>#N/A</v>
      </c>
      <c r="AV93" s="21" t="e">
        <f>EXP(-LN(2)/25)*AV92+(1-EXP(-LN(2)/25))/(LN(2)/25)*Calculateur!AQ93*Calculateur!AS93*VLOOKUP('Données projet'!$B$10,Paramètres!$A$1:$I$89,3,0)*0.475*44/12</f>
        <v>#N/A</v>
      </c>
      <c r="AW93" s="21" t="e">
        <f>EXP(-LN(2)/2)*AW92+(1-EXP(-LN(2)/2))/(LN(2)/2)*AQ93*AT93*VLOOKUP('Données projet'!$B$10,Paramètres!$A$1:$I$89,3,0)*0.475*44/12</f>
        <v>#N/A</v>
      </c>
      <c r="AX93" s="21" t="e">
        <f t="shared" si="60"/>
        <v>#N/A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1">
        <f t="shared" si="86"/>
        <v>22.361295290994477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67">
        <f t="shared" si="56"/>
        <v>436.54337929848225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-5.6843418860808015E-14</v>
      </c>
      <c r="O94" s="13">
        <f>N94*VLOOKUP('Données projet'!$B$9,Paramètres!$A$1:$I$89,3,0)*VLOOKUP('Données projet'!$B$9,Paramètres!$A$1:$I$89,5,0)</f>
        <v>-3.3992364478763198E-14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161.92866721009744</v>
      </c>
      <c r="T94" s="59">
        <f t="shared" si="88"/>
        <v>327.23695023676987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34.685974067150994</v>
      </c>
      <c r="AA94" s="21">
        <f>EXP(-LN(2)/25)*AA93+(1-EXP(-LN(2)/25))/(LN(2)/25)*Calculateur!V94*Calculateur!X94*VLOOKUP('Données projet'!$B$9,Paramètres!$A$1:$I$89,3,0)*0.475*44/12</f>
        <v>4.3889681587653353</v>
      </c>
      <c r="AB94" s="21">
        <f>EXP(-LN(2)/2)*AB93+(1-EXP(-LN(2)/2))/(LN(2)/2)*V94*Y94*VLOOKUP('Données projet'!$B$9,Paramètres!$A$1:$I$89,3,0)*0.475*44/12</f>
        <v>5.2621836239432762E-8</v>
      </c>
      <c r="AC94" s="22">
        <f t="shared" si="57"/>
        <v>39.074942278538167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 t="e">
        <f>AI94*VLOOKUP('Données projet'!$B$10,Paramètres!$A$1:$I$89,3,0)*VLOOKUP('Données projet'!$B$10,Paramètres!$A$1:$I$89,5,0)</f>
        <v>#N/A</v>
      </c>
      <c r="AK94" s="13" t="e">
        <f t="shared" si="89"/>
        <v>#N/A</v>
      </c>
      <c r="AL94" s="20" t="e">
        <f t="shared" si="58"/>
        <v>#N/A</v>
      </c>
      <c r="AM94" s="59" t="e">
        <f t="shared" si="59"/>
        <v>#N/A</v>
      </c>
      <c r="AN94" s="59" t="e">
        <f ca="1">AVERAGE(OFFSET($AM$3,0,0,'Données projet'!$E$10+1,1))-AVERAGE(OFFSET($H$3,0,0,'Données projet'!$E$10+1,1))</f>
        <v>#N/A</v>
      </c>
      <c r="AO94" s="59" t="e">
        <f t="shared" si="90"/>
        <v>#N/A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 t="e">
        <f>EXP(-LN(2)/35)*AU93+(1-EXP(-LN(2)/35))/(LN(2)/35)*AQ94*AR94*VLOOKUP('Données projet'!$B$10,Paramètres!$A$1:$I$89,3,0)*0.475*44/12</f>
        <v>#N/A</v>
      </c>
      <c r="AV94" s="21" t="e">
        <f>EXP(-LN(2)/25)*AV93+(1-EXP(-LN(2)/25))/(LN(2)/25)*Calculateur!AQ94*Calculateur!AS94*VLOOKUP('Données projet'!$B$10,Paramètres!$A$1:$I$89,3,0)*0.475*44/12</f>
        <v>#N/A</v>
      </c>
      <c r="AW94" s="21" t="e">
        <f>EXP(-LN(2)/2)*AW93+(1-EXP(-LN(2)/2))/(LN(2)/2)*AQ94*AT94*VLOOKUP('Données projet'!$B$10,Paramètres!$A$1:$I$89,3,0)*0.475*44/12</f>
        <v>#N/A</v>
      </c>
      <c r="AX94" s="21" t="e">
        <f t="shared" si="60"/>
        <v>#N/A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1">
        <f t="shared" si="86"/>
        <v>22.578282710556053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67">
        <f t="shared" si="56"/>
        <v>438.46998905421867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-5.6843418860808015E-14</v>
      </c>
      <c r="O95" s="13">
        <f>N95*VLOOKUP('Données projet'!$B$9,Paramètres!$A$1:$I$89,3,0)*VLOOKUP('Données projet'!$B$9,Paramètres!$A$1:$I$89,5,0)</f>
        <v>-3.3992364478763198E-14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161.92866721009744</v>
      </c>
      <c r="T95" s="59">
        <f t="shared" si="88"/>
        <v>327.23695023676987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34.005803272049327</v>
      </c>
      <c r="AA95" s="21">
        <f>EXP(-LN(2)/25)*AA94+(1-EXP(-LN(2)/25))/(LN(2)/25)*Calculateur!V95*Calculateur!X95*VLOOKUP('Données projet'!$B$9,Paramètres!$A$1:$I$89,3,0)*0.475*44/12</f>
        <v>4.2689515936580928</v>
      </c>
      <c r="AB95" s="21">
        <f>EXP(-LN(2)/2)*AB94+(1-EXP(-LN(2)/2))/(LN(2)/2)*V95*Y95*VLOOKUP('Données projet'!$B$9,Paramètres!$A$1:$I$89,3,0)*0.475*44/12</f>
        <v>3.7209257243390919E-8</v>
      </c>
      <c r="AC95" s="22">
        <f t="shared" si="57"/>
        <v>38.274754902916676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 t="e">
        <f>AI95*VLOOKUP('Données projet'!$B$10,Paramètres!$A$1:$I$89,3,0)*VLOOKUP('Données projet'!$B$10,Paramètres!$A$1:$I$89,5,0)</f>
        <v>#N/A</v>
      </c>
      <c r="AK95" s="13" t="e">
        <f t="shared" si="89"/>
        <v>#N/A</v>
      </c>
      <c r="AL95" s="20" t="e">
        <f t="shared" si="58"/>
        <v>#N/A</v>
      </c>
      <c r="AM95" s="59" t="e">
        <f t="shared" si="59"/>
        <v>#N/A</v>
      </c>
      <c r="AN95" s="59" t="e">
        <f ca="1">AVERAGE(OFFSET($AM$3,0,0,'Données projet'!$E$10+1,1))-AVERAGE(OFFSET($H$3,0,0,'Données projet'!$E$10+1,1))</f>
        <v>#N/A</v>
      </c>
      <c r="AO95" s="59" t="e">
        <f t="shared" si="90"/>
        <v>#N/A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 t="e">
        <f>EXP(-LN(2)/35)*AU94+(1-EXP(-LN(2)/35))/(LN(2)/35)*AQ95*AR95*VLOOKUP('Données projet'!$B$10,Paramètres!$A$1:$I$89,3,0)*0.475*44/12</f>
        <v>#N/A</v>
      </c>
      <c r="AV95" s="21" t="e">
        <f>EXP(-LN(2)/25)*AV94+(1-EXP(-LN(2)/25))/(LN(2)/25)*Calculateur!AQ95*Calculateur!AS95*VLOOKUP('Données projet'!$B$10,Paramètres!$A$1:$I$89,3,0)*0.475*44/12</f>
        <v>#N/A</v>
      </c>
      <c r="AW95" s="21" t="e">
        <f>EXP(-LN(2)/2)*AW94+(1-EXP(-LN(2)/2))/(LN(2)/2)*AQ95*AT95*VLOOKUP('Données projet'!$B$10,Paramètres!$A$1:$I$89,3,0)*0.475*44/12</f>
        <v>#N/A</v>
      </c>
      <c r="AX95" s="21" t="e">
        <f t="shared" si="60"/>
        <v>#N/A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1">
        <f t="shared" si="86"/>
        <v>22.794995761747877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67">
        <f t="shared" si="56"/>
        <v>440.39612095171111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-5.6843418860808015E-14</v>
      </c>
      <c r="O96" s="13">
        <f>N96*VLOOKUP('Données projet'!$B$9,Paramètres!$A$1:$I$89,3,0)*VLOOKUP('Données projet'!$B$9,Paramètres!$A$1:$I$89,5,0)</f>
        <v>-3.3992364478763198E-14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161.92866721009744</v>
      </c>
      <c r="T96" s="59">
        <f t="shared" si="88"/>
        <v>327.23695023676987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33.338970211376385</v>
      </c>
      <c r="AA96" s="21">
        <f>EXP(-LN(2)/25)*AA95+(1-EXP(-LN(2)/25))/(LN(2)/25)*Calculateur!V96*Calculateur!X96*VLOOKUP('Données projet'!$B$9,Paramètres!$A$1:$I$89,3,0)*0.475*44/12</f>
        <v>4.1522168878351051</v>
      </c>
      <c r="AB96" s="21">
        <f>EXP(-LN(2)/2)*AB95+(1-EXP(-LN(2)/2))/(LN(2)/2)*V96*Y96*VLOOKUP('Données projet'!$B$9,Paramètres!$A$1:$I$89,3,0)*0.475*44/12</f>
        <v>2.6310918119716381E-8</v>
      </c>
      <c r="AC96" s="22">
        <f t="shared" si="57"/>
        <v>37.491187125522409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 t="e">
        <f>AI96*VLOOKUP('Données projet'!$B$10,Paramètres!$A$1:$I$89,3,0)*VLOOKUP('Données projet'!$B$10,Paramètres!$A$1:$I$89,5,0)</f>
        <v>#N/A</v>
      </c>
      <c r="AK96" s="13" t="e">
        <f t="shared" si="89"/>
        <v>#N/A</v>
      </c>
      <c r="AL96" s="20" t="e">
        <f t="shared" si="58"/>
        <v>#N/A</v>
      </c>
      <c r="AM96" s="59" t="e">
        <f t="shared" si="59"/>
        <v>#N/A</v>
      </c>
      <c r="AN96" s="59" t="e">
        <f ca="1">AVERAGE(OFFSET($AM$3,0,0,'Données projet'!$E$10+1,1))-AVERAGE(OFFSET($H$3,0,0,'Données projet'!$E$10+1,1))</f>
        <v>#N/A</v>
      </c>
      <c r="AO96" s="59" t="e">
        <f t="shared" si="90"/>
        <v>#N/A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 t="e">
        <f>EXP(-LN(2)/35)*AU95+(1-EXP(-LN(2)/35))/(LN(2)/35)*AQ96*AR96*VLOOKUP('Données projet'!$B$10,Paramètres!$A$1:$I$89,3,0)*0.475*44/12</f>
        <v>#N/A</v>
      </c>
      <c r="AV96" s="21" t="e">
        <f>EXP(-LN(2)/25)*AV95+(1-EXP(-LN(2)/25))/(LN(2)/25)*Calculateur!AQ96*Calculateur!AS96*VLOOKUP('Données projet'!$B$10,Paramètres!$A$1:$I$89,3,0)*0.475*44/12</f>
        <v>#N/A</v>
      </c>
      <c r="AW96" s="21" t="e">
        <f>EXP(-LN(2)/2)*AW95+(1-EXP(-LN(2)/2))/(LN(2)/2)*AQ96*AT96*VLOOKUP('Données projet'!$B$10,Paramètres!$A$1:$I$89,3,0)*0.475*44/12</f>
        <v>#N/A</v>
      </c>
      <c r="AX96" s="21" t="e">
        <f t="shared" si="60"/>
        <v>#N/A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1">
        <f t="shared" si="86"/>
        <v>23.011437736237649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67">
        <f t="shared" si="56"/>
        <v>442.32178072394748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-5.6843418860808015E-14</v>
      </c>
      <c r="O97" s="13">
        <f>N97*VLOOKUP('Données projet'!$B$9,Paramètres!$A$1:$I$89,3,0)*VLOOKUP('Données projet'!$B$9,Paramètres!$A$1:$I$89,5,0)</f>
        <v>-3.3992364478763198E-14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161.92866721009744</v>
      </c>
      <c r="T97" s="59">
        <f t="shared" si="88"/>
        <v>327.23695023676987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32.685213340295235</v>
      </c>
      <c r="AA97" s="21">
        <f>EXP(-LN(2)/25)*AA96+(1-EXP(-LN(2)/25))/(LN(2)/25)*Calculateur!V97*Calculateur!X97*VLOOKUP('Données projet'!$B$9,Paramètres!$A$1:$I$89,3,0)*0.475*44/12</f>
        <v>4.0386742986816584</v>
      </c>
      <c r="AB97" s="21">
        <f>EXP(-LN(2)/2)*AB96+(1-EXP(-LN(2)/2))/(LN(2)/2)*V97*Y97*VLOOKUP('Données projet'!$B$9,Paramètres!$A$1:$I$89,3,0)*0.475*44/12</f>
        <v>1.8604628621695459E-8</v>
      </c>
      <c r="AC97" s="22">
        <f t="shared" si="57"/>
        <v>36.723887657581521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 t="e">
        <f>AI97*VLOOKUP('Données projet'!$B$10,Paramètres!$A$1:$I$89,3,0)*VLOOKUP('Données projet'!$B$10,Paramètres!$A$1:$I$89,5,0)</f>
        <v>#N/A</v>
      </c>
      <c r="AK97" s="13" t="e">
        <f t="shared" si="89"/>
        <v>#N/A</v>
      </c>
      <c r="AL97" s="20" t="e">
        <f t="shared" si="58"/>
        <v>#N/A</v>
      </c>
      <c r="AM97" s="59" t="e">
        <f t="shared" si="59"/>
        <v>#N/A</v>
      </c>
      <c r="AN97" s="59" t="e">
        <f ca="1">AVERAGE(OFFSET($AM$3,0,0,'Données projet'!$E$10+1,1))-AVERAGE(OFFSET($H$3,0,0,'Données projet'!$E$10+1,1))</f>
        <v>#N/A</v>
      </c>
      <c r="AO97" s="59" t="e">
        <f t="shared" si="90"/>
        <v>#N/A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 t="e">
        <f>EXP(-LN(2)/35)*AU96+(1-EXP(-LN(2)/35))/(LN(2)/35)*AQ97*AR97*VLOOKUP('Données projet'!$B$10,Paramètres!$A$1:$I$89,3,0)*0.475*44/12</f>
        <v>#N/A</v>
      </c>
      <c r="AV97" s="21" t="e">
        <f>EXP(-LN(2)/25)*AV96+(1-EXP(-LN(2)/25))/(LN(2)/25)*Calculateur!AQ97*Calculateur!AS97*VLOOKUP('Données projet'!$B$10,Paramètres!$A$1:$I$89,3,0)*0.475*44/12</f>
        <v>#N/A</v>
      </c>
      <c r="AW97" s="21" t="e">
        <f>EXP(-LN(2)/2)*AW96+(1-EXP(-LN(2)/2))/(LN(2)/2)*AQ97*AT97*VLOOKUP('Données projet'!$B$10,Paramètres!$A$1:$I$89,3,0)*0.475*44/12</f>
        <v>#N/A</v>
      </c>
      <c r="AX97" s="21" t="e">
        <f t="shared" si="60"/>
        <v>#N/A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1">
        <f t="shared" si="86"/>
        <v>23.227611851623202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67">
        <f t="shared" si="56"/>
        <v>444.24697397491065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-5.6843418860808015E-14</v>
      </c>
      <c r="O98" s="13">
        <f>N98*VLOOKUP('Données projet'!$B$9,Paramètres!$A$1:$I$89,3,0)*VLOOKUP('Données projet'!$B$9,Paramètres!$A$1:$I$89,5,0)</f>
        <v>-3.3992364478763198E-14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161.92866721009744</v>
      </c>
      <c r="T98" s="59">
        <f t="shared" si="88"/>
        <v>327.23695023676987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32.044276242703667</v>
      </c>
      <c r="AA98" s="21">
        <f>EXP(-LN(2)/25)*AA97+(1-EXP(-LN(2)/25))/(LN(2)/25)*Calculateur!V98*Calculateur!X98*VLOOKUP('Données projet'!$B$9,Paramètres!$A$1:$I$89,3,0)*0.475*44/12</f>
        <v>3.9282365375995574</v>
      </c>
      <c r="AB98" s="21">
        <f>EXP(-LN(2)/2)*AB97+(1-EXP(-LN(2)/2))/(LN(2)/2)*V98*Y98*VLOOKUP('Données projet'!$B$9,Paramètres!$A$1:$I$89,3,0)*0.475*44/12</f>
        <v>1.3155459059858191E-8</v>
      </c>
      <c r="AC98" s="22">
        <f t="shared" si="57"/>
        <v>35.972512793458684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 t="e">
        <f>AI98*VLOOKUP('Données projet'!$B$10,Paramètres!$A$1:$I$89,3,0)*VLOOKUP('Données projet'!$B$10,Paramètres!$A$1:$I$89,5,0)</f>
        <v>#N/A</v>
      </c>
      <c r="AK98" s="13" t="e">
        <f t="shared" si="89"/>
        <v>#N/A</v>
      </c>
      <c r="AL98" s="20" t="e">
        <f t="shared" si="58"/>
        <v>#N/A</v>
      </c>
      <c r="AM98" s="59" t="e">
        <f t="shared" si="59"/>
        <v>#N/A</v>
      </c>
      <c r="AN98" s="59" t="e">
        <f ca="1">AVERAGE(OFFSET($AM$3,0,0,'Données projet'!$E$10+1,1))-AVERAGE(OFFSET($H$3,0,0,'Données projet'!$E$10+1,1))</f>
        <v>#N/A</v>
      </c>
      <c r="AO98" s="59" t="e">
        <f t="shared" si="90"/>
        <v>#N/A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 t="e">
        <f>EXP(-LN(2)/35)*AU97+(1-EXP(-LN(2)/35))/(LN(2)/35)*AQ98*AR98*VLOOKUP('Données projet'!$B$10,Paramètres!$A$1:$I$89,3,0)*0.475*44/12</f>
        <v>#N/A</v>
      </c>
      <c r="AV98" s="21" t="e">
        <f>EXP(-LN(2)/25)*AV97+(1-EXP(-LN(2)/25))/(LN(2)/25)*Calculateur!AQ98*Calculateur!AS98*VLOOKUP('Données projet'!$B$10,Paramètres!$A$1:$I$89,3,0)*0.475*44/12</f>
        <v>#N/A</v>
      </c>
      <c r="AW98" s="21" t="e">
        <f>EXP(-LN(2)/2)*AW97+(1-EXP(-LN(2)/2))/(LN(2)/2)*AQ98*AT98*VLOOKUP('Données projet'!$B$10,Paramètres!$A$1:$I$89,3,0)*0.475*44/12</f>
        <v>#N/A</v>
      </c>
      <c r="AX98" s="21" t="e">
        <f t="shared" si="60"/>
        <v>#N/A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1">
        <f t="shared" si="86"/>
        <v>23.443521253861071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67">
        <f t="shared" si="56"/>
        <v>446.17170618380828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-5.6843418860808015E-14</v>
      </c>
      <c r="O99" s="13">
        <f>N99*VLOOKUP('Données projet'!$B$9,Paramètres!$A$1:$I$89,3,0)*VLOOKUP('Données projet'!$B$9,Paramètres!$A$1:$I$89,5,0)</f>
        <v>-3.3992364478763198E-14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161.92866721009744</v>
      </c>
      <c r="T99" s="59">
        <f t="shared" si="88"/>
        <v>327.23695023676987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31.415907530662839</v>
      </c>
      <c r="AA99" s="21">
        <f>EXP(-LN(2)/25)*AA98+(1-EXP(-LN(2)/25))/(LN(2)/25)*Calculateur!V99*Calculateur!X99*VLOOKUP('Données projet'!$B$9,Paramètres!$A$1:$I$89,3,0)*0.475*44/12</f>
        <v>3.8208187029019163</v>
      </c>
      <c r="AB99" s="21">
        <f>EXP(-LN(2)/2)*AB98+(1-EXP(-LN(2)/2))/(LN(2)/2)*V99*Y99*VLOOKUP('Données projet'!$B$9,Paramètres!$A$1:$I$89,3,0)*0.475*44/12</f>
        <v>9.3023143108477297E-9</v>
      </c>
      <c r="AC99" s="22">
        <f t="shared" si="57"/>
        <v>35.236726242867064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 t="e">
        <f>AI99*VLOOKUP('Données projet'!$B$10,Paramètres!$A$1:$I$89,3,0)*VLOOKUP('Données projet'!$B$10,Paramètres!$A$1:$I$89,5,0)</f>
        <v>#N/A</v>
      </c>
      <c r="AK99" s="13" t="e">
        <f t="shared" si="89"/>
        <v>#N/A</v>
      </c>
      <c r="AL99" s="20" t="e">
        <f t="shared" si="58"/>
        <v>#N/A</v>
      </c>
      <c r="AM99" s="59" t="e">
        <f t="shared" si="59"/>
        <v>#N/A</v>
      </c>
      <c r="AN99" s="59" t="e">
        <f ca="1">AVERAGE(OFFSET($AM$3,0,0,'Données projet'!$E$10+1,1))-AVERAGE(OFFSET($H$3,0,0,'Données projet'!$E$10+1,1))</f>
        <v>#N/A</v>
      </c>
      <c r="AO99" s="59" t="e">
        <f t="shared" si="90"/>
        <v>#N/A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 t="e">
        <f>EXP(-LN(2)/35)*AU98+(1-EXP(-LN(2)/35))/(LN(2)/35)*AQ99*AR99*VLOOKUP('Données projet'!$B$10,Paramètres!$A$1:$I$89,3,0)*0.475*44/12</f>
        <v>#N/A</v>
      </c>
      <c r="AV99" s="21" t="e">
        <f>EXP(-LN(2)/25)*AV98+(1-EXP(-LN(2)/25))/(LN(2)/25)*Calculateur!AQ99*Calculateur!AS99*VLOOKUP('Données projet'!$B$10,Paramètres!$A$1:$I$89,3,0)*0.475*44/12</f>
        <v>#N/A</v>
      </c>
      <c r="AW99" s="21" t="e">
        <f>EXP(-LN(2)/2)*AW98+(1-EXP(-LN(2)/2))/(LN(2)/2)*AQ99*AT99*VLOOKUP('Données projet'!$B$10,Paramètres!$A$1:$I$89,3,0)*0.475*44/12</f>
        <v>#N/A</v>
      </c>
      <c r="AX99" s="21" t="e">
        <f t="shared" si="60"/>
        <v>#N/A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1">
        <f t="shared" si="86"/>
        <v>23.659169019590845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67">
        <f t="shared" si="56"/>
        <v>448.09598270912102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-5.6843418860808015E-14</v>
      </c>
      <c r="O100" s="13">
        <f>N100*VLOOKUP('Données projet'!$B$9,Paramètres!$A$1:$I$89,3,0)*VLOOKUP('Données projet'!$B$9,Paramètres!$A$1:$I$89,5,0)</f>
        <v>-3.3992364478763198E-14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161.92866721009744</v>
      </c>
      <c r="T100" s="59">
        <f t="shared" si="88"/>
        <v>327.23695023676987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30.799860745798064</v>
      </c>
      <c r="AA100" s="21">
        <f>EXP(-LN(2)/25)*AA99+(1-EXP(-LN(2)/25))/(LN(2)/25)*Calculateur!V100*Calculateur!X100*VLOOKUP('Données projet'!$B$9,Paramètres!$A$1:$I$89,3,0)*0.475*44/12</f>
        <v>3.7163382145429402</v>
      </c>
      <c r="AB100" s="21">
        <f>EXP(-LN(2)/2)*AB99+(1-EXP(-LN(2)/2))/(LN(2)/2)*V100*Y100*VLOOKUP('Données projet'!$B$9,Paramètres!$A$1:$I$89,3,0)*0.475*44/12</f>
        <v>6.5777295299290953E-9</v>
      </c>
      <c r="AC100" s="22">
        <f t="shared" si="57"/>
        <v>34.516198966918729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 t="e">
        <f>AI100*VLOOKUP('Données projet'!$B$10,Paramètres!$A$1:$I$89,3,0)*VLOOKUP('Données projet'!$B$10,Paramètres!$A$1:$I$89,5,0)</f>
        <v>#N/A</v>
      </c>
      <c r="AK100" s="13" t="e">
        <f t="shared" si="89"/>
        <v>#N/A</v>
      </c>
      <c r="AL100" s="20" t="e">
        <f t="shared" si="58"/>
        <v>#N/A</v>
      </c>
      <c r="AM100" s="59" t="e">
        <f t="shared" si="59"/>
        <v>#N/A</v>
      </c>
      <c r="AN100" s="59" t="e">
        <f ca="1">AVERAGE(OFFSET($AM$3,0,0,'Données projet'!$E$10+1,1))-AVERAGE(OFFSET($H$3,0,0,'Données projet'!$E$10+1,1))</f>
        <v>#N/A</v>
      </c>
      <c r="AO100" s="59" t="e">
        <f t="shared" si="90"/>
        <v>#N/A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 t="e">
        <f>EXP(-LN(2)/35)*AU99+(1-EXP(-LN(2)/35))/(LN(2)/35)*AQ100*AR100*VLOOKUP('Données projet'!$B$10,Paramètres!$A$1:$I$89,3,0)*0.475*44/12</f>
        <v>#N/A</v>
      </c>
      <c r="AV100" s="21" t="e">
        <f>EXP(-LN(2)/25)*AV99+(1-EXP(-LN(2)/25))/(LN(2)/25)*Calculateur!AQ100*Calculateur!AS100*VLOOKUP('Données projet'!$B$10,Paramètres!$A$1:$I$89,3,0)*0.475*44/12</f>
        <v>#N/A</v>
      </c>
      <c r="AW100" s="21" t="e">
        <f>EXP(-LN(2)/2)*AW99+(1-EXP(-LN(2)/2))/(LN(2)/2)*AQ100*AT100*VLOOKUP('Données projet'!$B$10,Paramètres!$A$1:$I$89,3,0)*0.475*44/12</f>
        <v>#N/A</v>
      </c>
      <c r="AX100" s="21" t="e">
        <f t="shared" si="60"/>
        <v>#N/A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1">
        <f t="shared" si="86"/>
        <v>23.874558158360987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67">
        <f t="shared" si="56"/>
        <v>450.01980879247901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-5.6843418860808015E-14</v>
      </c>
      <c r="O101" s="13">
        <f>N101*VLOOKUP('Données projet'!$B$9,Paramètres!$A$1:$I$89,3,0)*VLOOKUP('Données projet'!$B$9,Paramètres!$A$1:$I$89,5,0)</f>
        <v>-3.3992364478763198E-14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161.92866721009744</v>
      </c>
      <c r="T101" s="59">
        <f t="shared" si="88"/>
        <v>327.23695023676987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30.19589426263305</v>
      </c>
      <c r="AA101" s="21">
        <f>EXP(-LN(2)/25)*AA100+(1-EXP(-LN(2)/25))/(LN(2)/25)*Calculateur!V101*Calculateur!X101*VLOOKUP('Données projet'!$B$9,Paramètres!$A$1:$I$89,3,0)*0.475*44/12</f>
        <v>3.6147147506325306</v>
      </c>
      <c r="AB101" s="21">
        <f>EXP(-LN(2)/2)*AB100+(1-EXP(-LN(2)/2))/(LN(2)/2)*V101*Y101*VLOOKUP('Données projet'!$B$9,Paramètres!$A$1:$I$89,3,0)*0.475*44/12</f>
        <v>4.6511571554238649E-9</v>
      </c>
      <c r="AC101" s="22">
        <f t="shared" si="57"/>
        <v>33.81060901791674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 t="e">
        <f>AI101*VLOOKUP('Données projet'!$B$10,Paramètres!$A$1:$I$89,3,0)*VLOOKUP('Données projet'!$B$10,Paramètres!$A$1:$I$89,5,0)</f>
        <v>#N/A</v>
      </c>
      <c r="AK101" s="13" t="e">
        <f t="shared" si="89"/>
        <v>#N/A</v>
      </c>
      <c r="AL101" s="20" t="e">
        <f t="shared" si="58"/>
        <v>#N/A</v>
      </c>
      <c r="AM101" s="59" t="e">
        <f t="shared" si="59"/>
        <v>#N/A</v>
      </c>
      <c r="AN101" s="59" t="e">
        <f ca="1">AVERAGE(OFFSET($AM$3,0,0,'Données projet'!$E$10+1,1))-AVERAGE(OFFSET($H$3,0,0,'Données projet'!$E$10+1,1))</f>
        <v>#N/A</v>
      </c>
      <c r="AO101" s="59" t="e">
        <f t="shared" si="90"/>
        <v>#N/A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 t="e">
        <f>EXP(-LN(2)/35)*AU100+(1-EXP(-LN(2)/35))/(LN(2)/35)*AQ101*AR101*VLOOKUP('Données projet'!$B$10,Paramètres!$A$1:$I$89,3,0)*0.475*44/12</f>
        <v>#N/A</v>
      </c>
      <c r="AV101" s="21" t="e">
        <f>EXP(-LN(2)/25)*AV100+(1-EXP(-LN(2)/25))/(LN(2)/25)*Calculateur!AQ101*Calculateur!AS101*VLOOKUP('Données projet'!$B$10,Paramètres!$A$1:$I$89,3,0)*0.475*44/12</f>
        <v>#N/A</v>
      </c>
      <c r="AW101" s="21" t="e">
        <f>EXP(-LN(2)/2)*AW100+(1-EXP(-LN(2)/2))/(LN(2)/2)*AQ101*AT101*VLOOKUP('Données projet'!$B$10,Paramètres!$A$1:$I$89,3,0)*0.475*44/12</f>
        <v>#N/A</v>
      </c>
      <c r="AX101" s="21" t="e">
        <f t="shared" si="60"/>
        <v>#N/A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1">
        <f t="shared" si="86"/>
        <v>24.089691614761293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67">
        <f t="shared" si="56"/>
        <v>451.94318956237618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-5.6843418860808015E-14</v>
      </c>
      <c r="O102" s="13">
        <f>N102*VLOOKUP('Données projet'!$B$9,Paramètres!$A$1:$I$89,3,0)*VLOOKUP('Données projet'!$B$9,Paramètres!$A$1:$I$89,5,0)</f>
        <v>-3.3992364478763198E-14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161.92866721009744</v>
      </c>
      <c r="T102" s="59">
        <f t="shared" si="88"/>
        <v>327.23695023676987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29.603771193819721</v>
      </c>
      <c r="AA102" s="21">
        <f>EXP(-LN(2)/25)*AA101+(1-EXP(-LN(2)/25))/(LN(2)/25)*Calculateur!V102*Calculateur!X102*VLOOKUP('Données projet'!$B$9,Paramètres!$A$1:$I$89,3,0)*0.475*44/12</f>
        <v>3.515870185686897</v>
      </c>
      <c r="AB102" s="21">
        <f>EXP(-LN(2)/2)*AB101+(1-EXP(-LN(2)/2))/(LN(2)/2)*V102*Y102*VLOOKUP('Données projet'!$B$9,Paramètres!$A$1:$I$89,3,0)*0.475*44/12</f>
        <v>3.2888647649645476E-9</v>
      </c>
      <c r="AC102" s="22">
        <f t="shared" si="57"/>
        <v>33.119641382795486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 t="e">
        <f>AI102*VLOOKUP('Données projet'!$B$10,Paramètres!$A$1:$I$89,3,0)*VLOOKUP('Données projet'!$B$10,Paramètres!$A$1:$I$89,5,0)</f>
        <v>#N/A</v>
      </c>
      <c r="AK102" s="13" t="e">
        <f t="shared" si="89"/>
        <v>#N/A</v>
      </c>
      <c r="AL102" s="20" t="e">
        <f t="shared" si="58"/>
        <v>#N/A</v>
      </c>
      <c r="AM102" s="59" t="e">
        <f t="shared" si="59"/>
        <v>#N/A</v>
      </c>
      <c r="AN102" s="59" t="e">
        <f ca="1">AVERAGE(OFFSET($AM$3,0,0,'Données projet'!$E$10+1,1))-AVERAGE(OFFSET($H$3,0,0,'Données projet'!$E$10+1,1))</f>
        <v>#N/A</v>
      </c>
      <c r="AO102" s="59" t="e">
        <f t="shared" si="90"/>
        <v>#N/A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 t="e">
        <f>EXP(-LN(2)/35)*AU101+(1-EXP(-LN(2)/35))/(LN(2)/35)*AQ102*AR102*VLOOKUP('Données projet'!$B$10,Paramètres!$A$1:$I$89,3,0)*0.475*44/12</f>
        <v>#N/A</v>
      </c>
      <c r="AV102" s="21" t="e">
        <f>EXP(-LN(2)/25)*AV101+(1-EXP(-LN(2)/25))/(LN(2)/25)*Calculateur!AQ102*Calculateur!AS102*VLOOKUP('Données projet'!$B$10,Paramètres!$A$1:$I$89,3,0)*0.475*44/12</f>
        <v>#N/A</v>
      </c>
      <c r="AW102" s="21" t="e">
        <f>EXP(-LN(2)/2)*AW101+(1-EXP(-LN(2)/2))/(LN(2)/2)*AQ102*AT102*VLOOKUP('Données projet'!$B$10,Paramètres!$A$1:$I$89,3,0)*0.475*44/12</f>
        <v>#N/A</v>
      </c>
      <c r="AX102" s="21" t="e">
        <f t="shared" si="60"/>
        <v>#N/A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1">
        <f t="shared" si="86"/>
        <v>24.304572270466512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67">
        <f t="shared" si="56"/>
        <v>453.86613003772942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-5.6843418860808015E-14</v>
      </c>
      <c r="O103" s="13">
        <f>N103*VLOOKUP('Données projet'!$B$9,Paramètres!$A$1:$I$89,3,0)*VLOOKUP('Données projet'!$B$9,Paramètres!$A$1:$I$89,5,0)</f>
        <v>-3.3992364478763198E-14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161.92866721009744</v>
      </c>
      <c r="T103" s="59">
        <f t="shared" si="88"/>
        <v>327.23695023676987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29.02325929722641</v>
      </c>
      <c r="AA103" s="21">
        <f>EXP(-LN(2)/25)*AA102+(1-EXP(-LN(2)/25))/(LN(2)/25)*Calculateur!V103*Calculateur!X103*VLOOKUP('Données projet'!$B$9,Paramètres!$A$1:$I$89,3,0)*0.475*44/12</f>
        <v>3.4197285305677112</v>
      </c>
      <c r="AB103" s="21">
        <f>EXP(-LN(2)/2)*AB102+(1-EXP(-LN(2)/2))/(LN(2)/2)*V103*Y103*VLOOKUP('Données projet'!$B$9,Paramètres!$A$1:$I$89,3,0)*0.475*44/12</f>
        <v>2.3255785777119324E-9</v>
      </c>
      <c r="AC103" s="22">
        <f t="shared" si="57"/>
        <v>32.442987830119698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 t="e">
        <f>AI103*VLOOKUP('Données projet'!$B$10,Paramètres!$A$1:$I$89,3,0)*VLOOKUP('Données projet'!$B$10,Paramètres!$A$1:$I$89,5,0)</f>
        <v>#N/A</v>
      </c>
      <c r="AK103" s="13" t="e">
        <f t="shared" si="89"/>
        <v>#N/A</v>
      </c>
      <c r="AL103" s="20" t="e">
        <f t="shared" si="58"/>
        <v>#N/A</v>
      </c>
      <c r="AM103" s="59" t="e">
        <f t="shared" si="59"/>
        <v>#N/A</v>
      </c>
      <c r="AN103" s="59" t="e">
        <f ca="1">AVERAGE(OFFSET($AM$3,0,0,'Données projet'!$E$10+1,1))-AVERAGE(OFFSET($H$3,0,0,'Données projet'!$E$10+1,1))</f>
        <v>#N/A</v>
      </c>
      <c r="AO103" s="59" t="e">
        <f t="shared" si="90"/>
        <v>#N/A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 t="e">
        <f>EXP(-LN(2)/35)*AU102+(1-EXP(-LN(2)/35))/(LN(2)/35)*AQ103*AR103*VLOOKUP('Données projet'!$B$10,Paramètres!$A$1:$I$89,3,0)*0.475*44/12</f>
        <v>#N/A</v>
      </c>
      <c r="AV103" s="21" t="e">
        <f>EXP(-LN(2)/25)*AV102+(1-EXP(-LN(2)/25))/(LN(2)/25)*Calculateur!AQ103*Calculateur!AS103*VLOOKUP('Données projet'!$B$10,Paramètres!$A$1:$I$89,3,0)*0.475*44/12</f>
        <v>#N/A</v>
      </c>
      <c r="AW103" s="21" t="e">
        <f>EXP(-LN(2)/2)*AW102+(1-EXP(-LN(2)/2))/(LN(2)/2)*AQ103*AT103*VLOOKUP('Données projet'!$B$10,Paramètres!$A$1:$I$89,3,0)*0.475*44/12</f>
        <v>#N/A</v>
      </c>
      <c r="AX103" s="21" t="e">
        <f t="shared" si="60"/>
        <v>#N/A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1">
        <f t="shared" si="86"/>
        <v>24.519202946196138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67">
        <f t="shared" si="56"/>
        <v>455.78863513129187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-5.6843418860808015E-14</v>
      </c>
      <c r="O104" s="13">
        <f>N104*VLOOKUP('Données projet'!$B$9,Paramètres!$A$1:$I$89,3,0)*VLOOKUP('Données projet'!$B$9,Paramètres!$A$1:$I$89,5,0)</f>
        <v>-3.3992364478763198E-14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161.92866721009744</v>
      </c>
      <c r="T104" s="59">
        <f t="shared" si="88"/>
        <v>327.23695023676987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28.454130884848002</v>
      </c>
      <c r="AA104" s="21">
        <f>EXP(-LN(2)/25)*AA103+(1-EXP(-LN(2)/25))/(LN(2)/25)*Calculateur!V104*Calculateur!X104*VLOOKUP('Données projet'!$B$9,Paramètres!$A$1:$I$89,3,0)*0.475*44/12</f>
        <v>3.3262158740636294</v>
      </c>
      <c r="AB104" s="21">
        <f>EXP(-LN(2)/2)*AB103+(1-EXP(-LN(2)/2))/(LN(2)/2)*V104*Y104*VLOOKUP('Données projet'!$B$9,Paramètres!$A$1:$I$89,3,0)*0.475*44/12</f>
        <v>1.6444323824822738E-9</v>
      </c>
      <c r="AC104" s="22">
        <f t="shared" si="57"/>
        <v>31.780346760556064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 t="e">
        <f>AI104*VLOOKUP('Données projet'!$B$10,Paramètres!$A$1:$I$89,3,0)*VLOOKUP('Données projet'!$B$10,Paramètres!$A$1:$I$89,5,0)</f>
        <v>#N/A</v>
      </c>
      <c r="AK104" s="13" t="e">
        <f t="shared" si="89"/>
        <v>#N/A</v>
      </c>
      <c r="AL104" s="20" t="e">
        <f t="shared" si="58"/>
        <v>#N/A</v>
      </c>
      <c r="AM104" s="59" t="e">
        <f t="shared" si="59"/>
        <v>#N/A</v>
      </c>
      <c r="AN104" s="59" t="e">
        <f ca="1">AVERAGE(OFFSET($AM$3,0,0,'Données projet'!$E$10+1,1))-AVERAGE(OFFSET($H$3,0,0,'Données projet'!$E$10+1,1))</f>
        <v>#N/A</v>
      </c>
      <c r="AO104" s="59" t="e">
        <f t="shared" si="90"/>
        <v>#N/A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 t="e">
        <f>EXP(-LN(2)/35)*AU103+(1-EXP(-LN(2)/35))/(LN(2)/35)*AQ104*AR104*VLOOKUP('Données projet'!$B$10,Paramètres!$A$1:$I$89,3,0)*0.475*44/12</f>
        <v>#N/A</v>
      </c>
      <c r="AV104" s="21" t="e">
        <f>EXP(-LN(2)/25)*AV103+(1-EXP(-LN(2)/25))/(LN(2)/25)*Calculateur!AQ104*Calculateur!AS104*VLOOKUP('Données projet'!$B$10,Paramètres!$A$1:$I$89,3,0)*0.475*44/12</f>
        <v>#N/A</v>
      </c>
      <c r="AW104" s="21" t="e">
        <f>EXP(-LN(2)/2)*AW103+(1-EXP(-LN(2)/2))/(LN(2)/2)*AQ104*AT104*VLOOKUP('Données projet'!$B$10,Paramètres!$A$1:$I$89,3,0)*0.475*44/12</f>
        <v>#N/A</v>
      </c>
      <c r="AX104" s="21" t="e">
        <f t="shared" si="60"/>
        <v>#N/A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1">
        <f t="shared" si="86"/>
        <v>24.733586403594217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67">
        <f t="shared" si="56"/>
        <v>457.71070965292688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-5.6843418860808015E-14</v>
      </c>
      <c r="O105" s="13">
        <f>N105*VLOOKUP('Données projet'!$B$9,Paramètres!$A$1:$I$89,3,0)*VLOOKUP('Données projet'!$B$9,Paramètres!$A$1:$I$89,5,0)</f>
        <v>-3.3992364478763198E-14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161.92866721009744</v>
      </c>
      <c r="T105" s="59">
        <f t="shared" si="88"/>
        <v>327.23695023676987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27.89616273350228</v>
      </c>
      <c r="AA105" s="21">
        <f>EXP(-LN(2)/25)*AA104+(1-EXP(-LN(2)/25))/(LN(2)/25)*Calculateur!V105*Calculateur!X105*VLOOKUP('Données projet'!$B$9,Paramètres!$A$1:$I$89,3,0)*0.475*44/12</f>
        <v>3.2352603260692687</v>
      </c>
      <c r="AB105" s="21">
        <f>EXP(-LN(2)/2)*AB104+(1-EXP(-LN(2)/2))/(LN(2)/2)*V105*Y105*VLOOKUP('Données projet'!$B$9,Paramètres!$A$1:$I$89,3,0)*0.475*44/12</f>
        <v>1.1627892888559662E-9</v>
      </c>
      <c r="AC105" s="22">
        <f t="shared" si="57"/>
        <v>31.131423060734338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 t="e">
        <f>AI105*VLOOKUP('Données projet'!$B$10,Paramètres!$A$1:$I$89,3,0)*VLOOKUP('Données projet'!$B$10,Paramètres!$A$1:$I$89,5,0)</f>
        <v>#N/A</v>
      </c>
      <c r="AK105" s="13" t="e">
        <f t="shared" si="89"/>
        <v>#N/A</v>
      </c>
      <c r="AL105" s="20" t="e">
        <f t="shared" si="58"/>
        <v>#N/A</v>
      </c>
      <c r="AM105" s="59" t="e">
        <f t="shared" si="59"/>
        <v>#N/A</v>
      </c>
      <c r="AN105" s="59" t="e">
        <f ca="1">AVERAGE(OFFSET($AM$3,0,0,'Données projet'!$E$10+1,1))-AVERAGE(OFFSET($H$3,0,0,'Données projet'!$E$10+1,1))</f>
        <v>#N/A</v>
      </c>
      <c r="AO105" s="59" t="e">
        <f t="shared" si="90"/>
        <v>#N/A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 t="e">
        <f>EXP(-LN(2)/35)*AU104+(1-EXP(-LN(2)/35))/(LN(2)/35)*AQ105*AR105*VLOOKUP('Données projet'!$B$10,Paramètres!$A$1:$I$89,3,0)*0.475*44/12</f>
        <v>#N/A</v>
      </c>
      <c r="AV105" s="21" t="e">
        <f>EXP(-LN(2)/25)*AV104+(1-EXP(-LN(2)/25))/(LN(2)/25)*Calculateur!AQ105*Calculateur!AS105*VLOOKUP('Données projet'!$B$10,Paramètres!$A$1:$I$89,3,0)*0.475*44/12</f>
        <v>#N/A</v>
      </c>
      <c r="AW105" s="21" t="e">
        <f>EXP(-LN(2)/2)*AW104+(1-EXP(-LN(2)/2))/(LN(2)/2)*AQ105*AT105*VLOOKUP('Données projet'!$B$10,Paramètres!$A$1:$I$89,3,0)*0.475*44/12</f>
        <v>#N/A</v>
      </c>
      <c r="AX105" s="21" t="e">
        <f t="shared" si="60"/>
        <v>#N/A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1">
        <f t="shared" si="86"/>
        <v>24.947725347033305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67">
        <f t="shared" si="56"/>
        <v>459.63235831274994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-5.6843418860808015E-14</v>
      </c>
      <c r="O106" s="13">
        <f>N106*VLOOKUP('Données projet'!$B$9,Paramètres!$A$1:$I$89,3,0)*VLOOKUP('Données projet'!$B$9,Paramètres!$A$1:$I$89,5,0)</f>
        <v>-3.3992364478763198E-14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161.92866721009744</v>
      </c>
      <c r="T106" s="59">
        <f t="shared" si="88"/>
        <v>327.23695023676987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27.349135997277479</v>
      </c>
      <c r="AA106" s="21">
        <f>EXP(-LN(2)/25)*AA105+(1-EXP(-LN(2)/25))/(LN(2)/25)*Calculateur!V106*Calculateur!X106*VLOOKUP('Données projet'!$B$9,Paramètres!$A$1:$I$89,3,0)*0.475*44/12</f>
        <v>3.1467919623179581</v>
      </c>
      <c r="AB106" s="21">
        <f>EXP(-LN(2)/2)*AB105+(1-EXP(-LN(2)/2))/(LN(2)/2)*V106*Y106*VLOOKUP('Données projet'!$B$9,Paramètres!$A$1:$I$89,3,0)*0.475*44/12</f>
        <v>8.2221619124113691E-10</v>
      </c>
      <c r="AC106" s="22">
        <f t="shared" si="57"/>
        <v>30.495927960417653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 t="e">
        <f>AI106*VLOOKUP('Données projet'!$B$10,Paramètres!$A$1:$I$89,3,0)*VLOOKUP('Données projet'!$B$10,Paramètres!$A$1:$I$89,5,0)</f>
        <v>#N/A</v>
      </c>
      <c r="AK106" s="13" t="e">
        <f t="shared" si="89"/>
        <v>#N/A</v>
      </c>
      <c r="AL106" s="20" t="e">
        <f t="shared" si="58"/>
        <v>#N/A</v>
      </c>
      <c r="AM106" s="59" t="e">
        <f t="shared" si="59"/>
        <v>#N/A</v>
      </c>
      <c r="AN106" s="59" t="e">
        <f ca="1">AVERAGE(OFFSET($AM$3,0,0,'Données projet'!$E$10+1,1))-AVERAGE(OFFSET($H$3,0,0,'Données projet'!$E$10+1,1))</f>
        <v>#N/A</v>
      </c>
      <c r="AO106" s="59" t="e">
        <f t="shared" si="90"/>
        <v>#N/A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 t="e">
        <f>EXP(-LN(2)/35)*AU105+(1-EXP(-LN(2)/35))/(LN(2)/35)*AQ106*AR106*VLOOKUP('Données projet'!$B$10,Paramètres!$A$1:$I$89,3,0)*0.475*44/12</f>
        <v>#N/A</v>
      </c>
      <c r="AV106" s="21" t="e">
        <f>EXP(-LN(2)/25)*AV105+(1-EXP(-LN(2)/25))/(LN(2)/25)*Calculateur!AQ106*Calculateur!AS106*VLOOKUP('Données projet'!$B$10,Paramètres!$A$1:$I$89,3,0)*0.475*44/12</f>
        <v>#N/A</v>
      </c>
      <c r="AW106" s="21" t="e">
        <f>EXP(-LN(2)/2)*AW105+(1-EXP(-LN(2)/2))/(LN(2)/2)*AQ106*AT106*VLOOKUP('Données projet'!$B$10,Paramètres!$A$1:$I$89,3,0)*0.475*44/12</f>
        <v>#N/A</v>
      </c>
      <c r="AX106" s="21" t="e">
        <f t="shared" si="60"/>
        <v>#N/A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1">
        <f t="shared" si="86"/>
        <v>25.161622425346469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67">
        <f t="shared" si="56"/>
        <v>461.55358572414536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-5.6843418860808015E-14</v>
      </c>
      <c r="O107" s="13">
        <f>N107*VLOOKUP('Données projet'!$B$9,Paramètres!$A$1:$I$89,3,0)*VLOOKUP('Données projet'!$B$9,Paramètres!$A$1:$I$89,5,0)</f>
        <v>-3.3992364478763198E-14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161.92866721009744</v>
      </c>
      <c r="T107" s="59">
        <f t="shared" si="88"/>
        <v>327.23695023676987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26.81283612169668</v>
      </c>
      <c r="AA107" s="21">
        <f>EXP(-LN(2)/25)*AA106+(1-EXP(-LN(2)/25))/(LN(2)/25)*Calculateur!V107*Calculateur!X107*VLOOKUP('Données projet'!$B$9,Paramètres!$A$1:$I$89,3,0)*0.475*44/12</f>
        <v>3.0607427706257764</v>
      </c>
      <c r="AB107" s="21">
        <f>EXP(-LN(2)/2)*AB106+(1-EXP(-LN(2)/2))/(LN(2)/2)*V107*Y107*VLOOKUP('Données projet'!$B$9,Paramètres!$A$1:$I$89,3,0)*0.475*44/12</f>
        <v>5.8139464442798311E-10</v>
      </c>
      <c r="AC107" s="22">
        <f t="shared" si="57"/>
        <v>29.873578892903851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 t="e">
        <f>AI107*VLOOKUP('Données projet'!$B$10,Paramètres!$A$1:$I$89,3,0)*VLOOKUP('Données projet'!$B$10,Paramètres!$A$1:$I$89,5,0)</f>
        <v>#N/A</v>
      </c>
      <c r="AK107" s="13" t="e">
        <f t="shared" si="89"/>
        <v>#N/A</v>
      </c>
      <c r="AL107" s="20" t="e">
        <f t="shared" si="58"/>
        <v>#N/A</v>
      </c>
      <c r="AM107" s="59" t="e">
        <f t="shared" si="59"/>
        <v>#N/A</v>
      </c>
      <c r="AN107" s="59" t="e">
        <f ca="1">AVERAGE(OFFSET($AM$3,0,0,'Données projet'!$E$10+1,1))-AVERAGE(OFFSET($H$3,0,0,'Données projet'!$E$10+1,1))</f>
        <v>#N/A</v>
      </c>
      <c r="AO107" s="59" t="e">
        <f t="shared" si="90"/>
        <v>#N/A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 t="e">
        <f>EXP(-LN(2)/35)*AU106+(1-EXP(-LN(2)/35))/(LN(2)/35)*AQ107*AR107*VLOOKUP('Données projet'!$B$10,Paramètres!$A$1:$I$89,3,0)*0.475*44/12</f>
        <v>#N/A</v>
      </c>
      <c r="AV107" s="21" t="e">
        <f>EXP(-LN(2)/25)*AV106+(1-EXP(-LN(2)/25))/(LN(2)/25)*Calculateur!AQ107*Calculateur!AS107*VLOOKUP('Données projet'!$B$10,Paramètres!$A$1:$I$89,3,0)*0.475*44/12</f>
        <v>#N/A</v>
      </c>
      <c r="AW107" s="21" t="e">
        <f>EXP(-LN(2)/2)*AW106+(1-EXP(-LN(2)/2))/(LN(2)/2)*AQ107*AT107*VLOOKUP('Données projet'!$B$10,Paramètres!$A$1:$I$89,3,0)*0.475*44/12</f>
        <v>#N/A</v>
      </c>
      <c r="AX107" s="21" t="e">
        <f t="shared" si="60"/>
        <v>#N/A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1">
        <f t="shared" si="86"/>
        <v>25.375280233490724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67">
        <f t="shared" si="56"/>
        <v>463.47439640666329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-5.6843418860808015E-14</v>
      </c>
      <c r="O108" s="13">
        <f>N108*VLOOKUP('Données projet'!$B$9,Paramètres!$A$1:$I$89,3,0)*VLOOKUP('Données projet'!$B$9,Paramètres!$A$1:$I$89,5,0)</f>
        <v>-3.3992364478763198E-14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161.92866721009744</v>
      </c>
      <c r="T108" s="59">
        <f t="shared" si="88"/>
        <v>327.23695023676987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26.287052759565398</v>
      </c>
      <c r="AA108" s="21">
        <f>EXP(-LN(2)/25)*AA107+(1-EXP(-LN(2)/25))/(LN(2)/25)*Calculateur!V108*Calculateur!X108*VLOOKUP('Données projet'!$B$9,Paramètres!$A$1:$I$89,3,0)*0.475*44/12</f>
        <v>2.9770465986055474</v>
      </c>
      <c r="AB108" s="21">
        <f>EXP(-LN(2)/2)*AB107+(1-EXP(-LN(2)/2))/(LN(2)/2)*V108*Y108*VLOOKUP('Données projet'!$B$9,Paramètres!$A$1:$I$89,3,0)*0.475*44/12</f>
        <v>4.1110809562056846E-10</v>
      </c>
      <c r="AC108" s="22">
        <f t="shared" si="57"/>
        <v>29.264099358582055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 t="e">
        <f>AI108*VLOOKUP('Données projet'!$B$10,Paramètres!$A$1:$I$89,3,0)*VLOOKUP('Données projet'!$B$10,Paramètres!$A$1:$I$89,5,0)</f>
        <v>#N/A</v>
      </c>
      <c r="AK108" s="13" t="e">
        <f t="shared" si="89"/>
        <v>#N/A</v>
      </c>
      <c r="AL108" s="20" t="e">
        <f t="shared" si="58"/>
        <v>#N/A</v>
      </c>
      <c r="AM108" s="59" t="e">
        <f t="shared" si="59"/>
        <v>#N/A</v>
      </c>
      <c r="AN108" s="59" t="e">
        <f ca="1">AVERAGE(OFFSET($AM$3,0,0,'Données projet'!$E$10+1,1))-AVERAGE(OFFSET($H$3,0,0,'Données projet'!$E$10+1,1))</f>
        <v>#N/A</v>
      </c>
      <c r="AO108" s="59" t="e">
        <f t="shared" si="90"/>
        <v>#N/A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 t="e">
        <f>EXP(-LN(2)/35)*AU107+(1-EXP(-LN(2)/35))/(LN(2)/35)*AQ108*AR108*VLOOKUP('Données projet'!$B$10,Paramètres!$A$1:$I$89,3,0)*0.475*44/12</f>
        <v>#N/A</v>
      </c>
      <c r="AV108" s="21" t="e">
        <f>EXP(-LN(2)/25)*AV107+(1-EXP(-LN(2)/25))/(LN(2)/25)*Calculateur!AQ108*Calculateur!AS108*VLOOKUP('Données projet'!$B$10,Paramètres!$A$1:$I$89,3,0)*0.475*44/12</f>
        <v>#N/A</v>
      </c>
      <c r="AW108" s="21" t="e">
        <f>EXP(-LN(2)/2)*AW107+(1-EXP(-LN(2)/2))/(LN(2)/2)*AQ108*AT108*VLOOKUP('Données projet'!$B$10,Paramètres!$A$1:$I$89,3,0)*0.475*44/12</f>
        <v>#N/A</v>
      </c>
      <c r="AX108" s="21" t="e">
        <f t="shared" si="60"/>
        <v>#N/A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1">
        <f t="shared" si="86"/>
        <v>25.588701314145272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67">
        <f t="shared" si="56"/>
        <v>465.39479478880332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-5.6843418860808015E-14</v>
      </c>
      <c r="O109" s="13">
        <f>N109*VLOOKUP('Données projet'!$B$9,Paramètres!$A$1:$I$89,3,0)*VLOOKUP('Données projet'!$B$9,Paramètres!$A$1:$I$89,5,0)</f>
        <v>-3.3992364478763198E-14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161.92866721009744</v>
      </c>
      <c r="T109" s="59">
        <f t="shared" si="88"/>
        <v>327.23695023676987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25.771579688469327</v>
      </c>
      <c r="AA109" s="21">
        <f>EXP(-LN(2)/25)*AA108+(1-EXP(-LN(2)/25))/(LN(2)/25)*Calculateur!V109*Calculateur!X109*VLOOKUP('Données projet'!$B$9,Paramètres!$A$1:$I$89,3,0)*0.475*44/12</f>
        <v>2.8956391028106023</v>
      </c>
      <c r="AB109" s="21">
        <f>EXP(-LN(2)/2)*AB108+(1-EXP(-LN(2)/2))/(LN(2)/2)*V109*Y109*VLOOKUP('Données projet'!$B$9,Paramètres!$A$1:$I$89,3,0)*0.475*44/12</f>
        <v>2.9069732221399155E-10</v>
      </c>
      <c r="AC109" s="22">
        <f t="shared" si="57"/>
        <v>28.667218791570626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 t="e">
        <f>AI109*VLOOKUP('Données projet'!$B$10,Paramètres!$A$1:$I$89,3,0)*VLOOKUP('Données projet'!$B$10,Paramètres!$A$1:$I$89,5,0)</f>
        <v>#N/A</v>
      </c>
      <c r="AK109" s="13" t="e">
        <f t="shared" si="89"/>
        <v>#N/A</v>
      </c>
      <c r="AL109" s="20" t="e">
        <f t="shared" si="58"/>
        <v>#N/A</v>
      </c>
      <c r="AM109" s="59" t="e">
        <f t="shared" si="59"/>
        <v>#N/A</v>
      </c>
      <c r="AN109" s="59" t="e">
        <f ca="1">AVERAGE(OFFSET($AM$3,0,0,'Données projet'!$E$10+1,1))-AVERAGE(OFFSET($H$3,0,0,'Données projet'!$E$10+1,1))</f>
        <v>#N/A</v>
      </c>
      <c r="AO109" s="59" t="e">
        <f t="shared" si="90"/>
        <v>#N/A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 t="e">
        <f>EXP(-LN(2)/35)*AU108+(1-EXP(-LN(2)/35))/(LN(2)/35)*AQ109*AR109*VLOOKUP('Données projet'!$B$10,Paramètres!$A$1:$I$89,3,0)*0.475*44/12</f>
        <v>#N/A</v>
      </c>
      <c r="AV109" s="21" t="e">
        <f>EXP(-LN(2)/25)*AV108+(1-EXP(-LN(2)/25))/(LN(2)/25)*Calculateur!AQ109*Calculateur!AS109*VLOOKUP('Données projet'!$B$10,Paramètres!$A$1:$I$89,3,0)*0.475*44/12</f>
        <v>#N/A</v>
      </c>
      <c r="AW109" s="21" t="e">
        <f>EXP(-LN(2)/2)*AW108+(1-EXP(-LN(2)/2))/(LN(2)/2)*AQ109*AT109*VLOOKUP('Données projet'!$B$10,Paramètres!$A$1:$I$89,3,0)*0.475*44/12</f>
        <v>#N/A</v>
      </c>
      <c r="AX109" s="21" t="e">
        <f t="shared" si="60"/>
        <v>#N/A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1">
        <f t="shared" si="86"/>
        <v>25.801888159247749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67">
        <f t="shared" si="56"/>
        <v>467.3147852106901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-5.6843418860808015E-14</v>
      </c>
      <c r="O110" s="13">
        <f>N110*VLOOKUP('Données projet'!$B$9,Paramètres!$A$1:$I$89,3,0)*VLOOKUP('Données projet'!$B$9,Paramètres!$A$1:$I$89,5,0)</f>
        <v>-3.3992364478763198E-14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161.92866721009744</v>
      </c>
      <c r="T110" s="59">
        <f t="shared" si="88"/>
        <v>327.23695023676987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25.266214729889921</v>
      </c>
      <c r="AA110" s="21">
        <f>EXP(-LN(2)/25)*AA109+(1-EXP(-LN(2)/25))/(LN(2)/25)*Calculateur!V110*Calculateur!X110*VLOOKUP('Données projet'!$B$9,Paramètres!$A$1:$I$89,3,0)*0.475*44/12</f>
        <v>2.8164576992692041</v>
      </c>
      <c r="AB110" s="21">
        <f>EXP(-LN(2)/2)*AB109+(1-EXP(-LN(2)/2))/(LN(2)/2)*V110*Y110*VLOOKUP('Données projet'!$B$9,Paramètres!$A$1:$I$89,3,0)*0.475*44/12</f>
        <v>2.0555404781028423E-10</v>
      </c>
      <c r="AC110" s="22">
        <f t="shared" si="57"/>
        <v>28.082672429364678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 t="e">
        <f>AI110*VLOOKUP('Données projet'!$B$10,Paramètres!$A$1:$I$89,3,0)*VLOOKUP('Données projet'!$B$10,Paramètres!$A$1:$I$89,5,0)</f>
        <v>#N/A</v>
      </c>
      <c r="AK110" s="13" t="e">
        <f t="shared" si="89"/>
        <v>#N/A</v>
      </c>
      <c r="AL110" s="20" t="e">
        <f t="shared" si="58"/>
        <v>#N/A</v>
      </c>
      <c r="AM110" s="59" t="e">
        <f t="shared" si="59"/>
        <v>#N/A</v>
      </c>
      <c r="AN110" s="59" t="e">
        <f ca="1">AVERAGE(OFFSET($AM$3,0,0,'Données projet'!$E$10+1,1))-AVERAGE(OFFSET($H$3,0,0,'Données projet'!$E$10+1,1))</f>
        <v>#N/A</v>
      </c>
      <c r="AO110" s="59" t="e">
        <f t="shared" si="90"/>
        <v>#N/A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 t="e">
        <f>EXP(-LN(2)/35)*AU109+(1-EXP(-LN(2)/35))/(LN(2)/35)*AQ110*AR110*VLOOKUP('Données projet'!$B$10,Paramètres!$A$1:$I$89,3,0)*0.475*44/12</f>
        <v>#N/A</v>
      </c>
      <c r="AV110" s="21" t="e">
        <f>EXP(-LN(2)/25)*AV109+(1-EXP(-LN(2)/25))/(LN(2)/25)*Calculateur!AQ110*Calculateur!AS110*VLOOKUP('Données projet'!$B$10,Paramètres!$A$1:$I$89,3,0)*0.475*44/12</f>
        <v>#N/A</v>
      </c>
      <c r="AW110" s="21" t="e">
        <f>EXP(-LN(2)/2)*AW109+(1-EXP(-LN(2)/2))/(LN(2)/2)*AQ110*AT110*VLOOKUP('Données projet'!$B$10,Paramètres!$A$1:$I$89,3,0)*0.475*44/12</f>
        <v>#N/A</v>
      </c>
      <c r="AX110" s="21" t="e">
        <f t="shared" si="60"/>
        <v>#N/A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1">
        <f t="shared" si="86"/>
        <v>26.014843211471252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67">
        <f t="shared" si="56"/>
        <v>469.23437192664602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-5.6843418860808015E-14</v>
      </c>
      <c r="O111" s="13">
        <f>N111*VLOOKUP('Données projet'!$B$9,Paramètres!$A$1:$I$89,3,0)*VLOOKUP('Données projet'!$B$9,Paramètres!$A$1:$I$89,5,0)</f>
        <v>-3.3992364478763198E-14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161.92866721009744</v>
      </c>
      <c r="T111" s="59">
        <f t="shared" si="88"/>
        <v>327.23695023676987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24.770759669906067</v>
      </c>
      <c r="AA111" s="21">
        <f>EXP(-LN(2)/25)*AA110+(1-EXP(-LN(2)/25))/(LN(2)/25)*Calculateur!V111*Calculateur!X111*VLOOKUP('Données projet'!$B$9,Paramètres!$A$1:$I$89,3,0)*0.475*44/12</f>
        <v>2.7394415153716145</v>
      </c>
      <c r="AB111" s="21">
        <f>EXP(-LN(2)/2)*AB110+(1-EXP(-LN(2)/2))/(LN(2)/2)*V111*Y111*VLOOKUP('Données projet'!$B$9,Paramètres!$A$1:$I$89,3,0)*0.475*44/12</f>
        <v>1.4534866110699578E-10</v>
      </c>
      <c r="AC111" s="22">
        <f t="shared" si="57"/>
        <v>27.510201185423028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 t="e">
        <f>AI111*VLOOKUP('Données projet'!$B$10,Paramètres!$A$1:$I$89,3,0)*VLOOKUP('Données projet'!$B$10,Paramètres!$A$1:$I$89,5,0)</f>
        <v>#N/A</v>
      </c>
      <c r="AK111" s="13" t="e">
        <f t="shared" si="89"/>
        <v>#N/A</v>
      </c>
      <c r="AL111" s="20" t="e">
        <f t="shared" si="58"/>
        <v>#N/A</v>
      </c>
      <c r="AM111" s="59" t="e">
        <f t="shared" si="59"/>
        <v>#N/A</v>
      </c>
      <c r="AN111" s="59" t="e">
        <f ca="1">AVERAGE(OFFSET($AM$3,0,0,'Données projet'!$E$10+1,1))-AVERAGE(OFFSET($H$3,0,0,'Données projet'!$E$10+1,1))</f>
        <v>#N/A</v>
      </c>
      <c r="AO111" s="59" t="e">
        <f t="shared" si="90"/>
        <v>#N/A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 t="e">
        <f>EXP(-LN(2)/35)*AU110+(1-EXP(-LN(2)/35))/(LN(2)/35)*AQ111*AR111*VLOOKUP('Données projet'!$B$10,Paramètres!$A$1:$I$89,3,0)*0.475*44/12</f>
        <v>#N/A</v>
      </c>
      <c r="AV111" s="21" t="e">
        <f>EXP(-LN(2)/25)*AV110+(1-EXP(-LN(2)/25))/(LN(2)/25)*Calculateur!AQ111*Calculateur!AS111*VLOOKUP('Données projet'!$B$10,Paramètres!$A$1:$I$89,3,0)*0.475*44/12</f>
        <v>#N/A</v>
      </c>
      <c r="AW111" s="21" t="e">
        <f>EXP(-LN(2)/2)*AW110+(1-EXP(-LN(2)/2))/(LN(2)/2)*AQ111*AT111*VLOOKUP('Données projet'!$B$10,Paramètres!$A$1:$I$89,3,0)*0.475*44/12</f>
        <v>#N/A</v>
      </c>
      <c r="AX111" s="21" t="e">
        <f t="shared" si="60"/>
        <v>#N/A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1">
        <f t="shared" si="86"/>
        <v>26.227568865645399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67">
        <f t="shared" si="56"/>
        <v>471.15355910766601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-5.6843418860808015E-14</v>
      </c>
      <c r="O112" s="13">
        <f>N112*VLOOKUP('Données projet'!$B$9,Paramètres!$A$1:$I$89,3,0)*VLOOKUP('Données projet'!$B$9,Paramètres!$A$1:$I$89,5,0)</f>
        <v>-3.3992364478763198E-14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161.92866721009744</v>
      </c>
      <c r="T112" s="59">
        <f t="shared" si="88"/>
        <v>327.23695023676987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24.285020181450751</v>
      </c>
      <c r="AA112" s="21">
        <f>EXP(-LN(2)/25)*AA111+(1-EXP(-LN(2)/25))/(LN(2)/25)*Calculateur!V112*Calculateur!X112*VLOOKUP('Données projet'!$B$9,Paramètres!$A$1:$I$89,3,0)*0.475*44/12</f>
        <v>2.6645313430728095</v>
      </c>
      <c r="AB112" s="21">
        <f>EXP(-LN(2)/2)*AB111+(1-EXP(-LN(2)/2))/(LN(2)/2)*V112*Y112*VLOOKUP('Données projet'!$B$9,Paramètres!$A$1:$I$89,3,0)*0.475*44/12</f>
        <v>1.0277702390514211E-10</v>
      </c>
      <c r="AC112" s="22">
        <f t="shared" si="57"/>
        <v>26.949551524626337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 t="e">
        <f>AI112*VLOOKUP('Données projet'!$B$10,Paramètres!$A$1:$I$89,3,0)*VLOOKUP('Données projet'!$B$10,Paramètres!$A$1:$I$89,5,0)</f>
        <v>#N/A</v>
      </c>
      <c r="AK112" s="13" t="e">
        <f t="shared" si="89"/>
        <v>#N/A</v>
      </c>
      <c r="AL112" s="20" t="e">
        <f t="shared" si="58"/>
        <v>#N/A</v>
      </c>
      <c r="AM112" s="59" t="e">
        <f t="shared" si="59"/>
        <v>#N/A</v>
      </c>
      <c r="AN112" s="59" t="e">
        <f ca="1">AVERAGE(OFFSET($AM$3,0,0,'Données projet'!$E$10+1,1))-AVERAGE(OFFSET($H$3,0,0,'Données projet'!$E$10+1,1))</f>
        <v>#N/A</v>
      </c>
      <c r="AO112" s="59" t="e">
        <f t="shared" si="90"/>
        <v>#N/A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 t="e">
        <f>EXP(-LN(2)/35)*AU111+(1-EXP(-LN(2)/35))/(LN(2)/35)*AQ112*AR112*VLOOKUP('Données projet'!$B$10,Paramètres!$A$1:$I$89,3,0)*0.475*44/12</f>
        <v>#N/A</v>
      </c>
      <c r="AV112" s="21" t="e">
        <f>EXP(-LN(2)/25)*AV111+(1-EXP(-LN(2)/25))/(LN(2)/25)*Calculateur!AQ112*Calculateur!AS112*VLOOKUP('Données projet'!$B$10,Paramètres!$A$1:$I$89,3,0)*0.475*44/12</f>
        <v>#N/A</v>
      </c>
      <c r="AW112" s="21" t="e">
        <f>EXP(-LN(2)/2)*AW111+(1-EXP(-LN(2)/2))/(LN(2)/2)*AQ112*AT112*VLOOKUP('Données projet'!$B$10,Paramètres!$A$1:$I$89,3,0)*0.475*44/12</f>
        <v>#N/A</v>
      </c>
      <c r="AX112" s="21" t="e">
        <f t="shared" si="60"/>
        <v>#N/A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1">
        <f t="shared" si="86"/>
        <v>26.440067470123306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67">
        <f t="shared" si="56"/>
        <v>473.0723508437984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-5.6843418860808015E-14</v>
      </c>
      <c r="O113" s="13">
        <f>N113*VLOOKUP('Données projet'!$B$9,Paramètres!$A$1:$I$89,3,0)*VLOOKUP('Données projet'!$B$9,Paramètres!$A$1:$I$89,5,0)</f>
        <v>-3.3992364478763198E-14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161.92866721009744</v>
      </c>
      <c r="T113" s="59">
        <f t="shared" si="88"/>
        <v>327.23695023676987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23.808805748092208</v>
      </c>
      <c r="AA113" s="21">
        <f>EXP(-LN(2)/25)*AA112+(1-EXP(-LN(2)/25))/(LN(2)/25)*Calculateur!V113*Calculateur!X113*VLOOKUP('Données projet'!$B$9,Paramètres!$A$1:$I$89,3,0)*0.475*44/12</f>
        <v>2.5916695933748701</v>
      </c>
      <c r="AB113" s="21">
        <f>EXP(-LN(2)/2)*AB112+(1-EXP(-LN(2)/2))/(LN(2)/2)*V113*Y113*VLOOKUP('Données projet'!$B$9,Paramètres!$A$1:$I$89,3,0)*0.475*44/12</f>
        <v>7.2674330553497888E-11</v>
      </c>
      <c r="AC113" s="22">
        <f t="shared" si="57"/>
        <v>26.400475341539753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 t="e">
        <f>AI113*VLOOKUP('Données projet'!$B$10,Paramètres!$A$1:$I$89,3,0)*VLOOKUP('Données projet'!$B$10,Paramètres!$A$1:$I$89,5,0)</f>
        <v>#N/A</v>
      </c>
      <c r="AK113" s="13" t="e">
        <f t="shared" si="89"/>
        <v>#N/A</v>
      </c>
      <c r="AL113" s="20" t="e">
        <f t="shared" si="58"/>
        <v>#N/A</v>
      </c>
      <c r="AM113" s="59" t="e">
        <f t="shared" si="59"/>
        <v>#N/A</v>
      </c>
      <c r="AN113" s="59" t="e">
        <f ca="1">AVERAGE(OFFSET($AM$3,0,0,'Données projet'!$E$10+1,1))-AVERAGE(OFFSET($H$3,0,0,'Données projet'!$E$10+1,1))</f>
        <v>#N/A</v>
      </c>
      <c r="AO113" s="59" t="e">
        <f t="shared" si="90"/>
        <v>#N/A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 t="e">
        <f>EXP(-LN(2)/35)*AU112+(1-EXP(-LN(2)/35))/(LN(2)/35)*AQ113*AR113*VLOOKUP('Données projet'!$B$10,Paramètres!$A$1:$I$89,3,0)*0.475*44/12</f>
        <v>#N/A</v>
      </c>
      <c r="AV113" s="21" t="e">
        <f>EXP(-LN(2)/25)*AV112+(1-EXP(-LN(2)/25))/(LN(2)/25)*Calculateur!AQ113*Calculateur!AS113*VLOOKUP('Données projet'!$B$10,Paramètres!$A$1:$I$89,3,0)*0.475*44/12</f>
        <v>#N/A</v>
      </c>
      <c r="AW113" s="21" t="e">
        <f>EXP(-LN(2)/2)*AW112+(1-EXP(-LN(2)/2))/(LN(2)/2)*AQ113*AT113*VLOOKUP('Données projet'!$B$10,Paramètres!$A$1:$I$89,3,0)*0.475*44/12</f>
        <v>#N/A</v>
      </c>
      <c r="AX113" s="21" t="e">
        <f t="shared" si="60"/>
        <v>#N/A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1">
        <f t="shared" si="86"/>
        <v>26.65234132809799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67">
        <f t="shared" si="56"/>
        <v>474.99075114643767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-5.6843418860808015E-14</v>
      </c>
      <c r="O114" s="13">
        <f>N114*VLOOKUP('Données projet'!$B$9,Paramètres!$A$1:$I$89,3,0)*VLOOKUP('Données projet'!$B$9,Paramètres!$A$1:$I$89,5,0)</f>
        <v>-3.3992364478763198E-14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161.92866721009744</v>
      </c>
      <c r="T114" s="59">
        <f t="shared" si="88"/>
        <v>327.23695023676987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23.341929589309704</v>
      </c>
      <c r="AA114" s="21">
        <f>EXP(-LN(2)/25)*AA113+(1-EXP(-LN(2)/25))/(LN(2)/25)*Calculateur!V114*Calculateur!X114*VLOOKUP('Données projet'!$B$9,Paramètres!$A$1:$I$89,3,0)*0.475*44/12</f>
        <v>2.5208002520540536</v>
      </c>
      <c r="AB114" s="21">
        <f>EXP(-LN(2)/2)*AB113+(1-EXP(-LN(2)/2))/(LN(2)/2)*V114*Y114*VLOOKUP('Données projet'!$B$9,Paramètres!$A$1:$I$89,3,0)*0.475*44/12</f>
        <v>5.1388511952571057E-11</v>
      </c>
      <c r="AC114" s="22">
        <f t="shared" si="57"/>
        <v>25.862729841415149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 t="e">
        <f>AI114*VLOOKUP('Données projet'!$B$10,Paramètres!$A$1:$I$89,3,0)*VLOOKUP('Données projet'!$B$10,Paramètres!$A$1:$I$89,5,0)</f>
        <v>#N/A</v>
      </c>
      <c r="AK114" s="13" t="e">
        <f t="shared" si="89"/>
        <v>#N/A</v>
      </c>
      <c r="AL114" s="20" t="e">
        <f t="shared" si="58"/>
        <v>#N/A</v>
      </c>
      <c r="AM114" s="59" t="e">
        <f t="shared" si="59"/>
        <v>#N/A</v>
      </c>
      <c r="AN114" s="59" t="e">
        <f ca="1">AVERAGE(OFFSET($AM$3,0,0,'Données projet'!$E$10+1,1))-AVERAGE(OFFSET($H$3,0,0,'Données projet'!$E$10+1,1))</f>
        <v>#N/A</v>
      </c>
      <c r="AO114" s="59" t="e">
        <f t="shared" si="90"/>
        <v>#N/A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 t="e">
        <f>EXP(-LN(2)/35)*AU113+(1-EXP(-LN(2)/35))/(LN(2)/35)*AQ114*AR114*VLOOKUP('Données projet'!$B$10,Paramètres!$A$1:$I$89,3,0)*0.475*44/12</f>
        <v>#N/A</v>
      </c>
      <c r="AV114" s="21" t="e">
        <f>EXP(-LN(2)/25)*AV113+(1-EXP(-LN(2)/25))/(LN(2)/25)*Calculateur!AQ114*Calculateur!AS114*VLOOKUP('Données projet'!$B$10,Paramètres!$A$1:$I$89,3,0)*0.475*44/12</f>
        <v>#N/A</v>
      </c>
      <c r="AW114" s="21" t="e">
        <f>EXP(-LN(2)/2)*AW113+(1-EXP(-LN(2)/2))/(LN(2)/2)*AQ114*AT114*VLOOKUP('Données projet'!$B$10,Paramètres!$A$1:$I$89,3,0)*0.475*44/12</f>
        <v>#N/A</v>
      </c>
      <c r="AX114" s="21" t="e">
        <f t="shared" si="60"/>
        <v>#N/A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1">
        <f t="shared" si="86"/>
        <v>26.864392698869374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67">
        <f t="shared" si="56"/>
        <v>476.90876395053112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-5.6843418860808015E-14</v>
      </c>
      <c r="O115" s="13">
        <f>N115*VLOOKUP('Données projet'!$B$9,Paramètres!$A$1:$I$89,3,0)*VLOOKUP('Données projet'!$B$9,Paramètres!$A$1:$I$89,5,0)</f>
        <v>-3.3992364478763198E-14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161.92866721009744</v>
      </c>
      <c r="T115" s="59">
        <f t="shared" si="88"/>
        <v>327.23695023676987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22.884208587234586</v>
      </c>
      <c r="AA115" s="21">
        <f>EXP(-LN(2)/25)*AA114+(1-EXP(-LN(2)/25))/(LN(2)/25)*Calculateur!V115*Calculateur!X115*VLOOKUP('Données projet'!$B$9,Paramètres!$A$1:$I$89,3,0)*0.475*44/12</f>
        <v>2.4518688365985115</v>
      </c>
      <c r="AB115" s="21">
        <f>EXP(-LN(2)/2)*AB114+(1-EXP(-LN(2)/2))/(LN(2)/2)*V115*Y115*VLOOKUP('Données projet'!$B$9,Paramètres!$A$1:$I$89,3,0)*0.475*44/12</f>
        <v>3.6337165276748944E-11</v>
      </c>
      <c r="AC115" s="22">
        <f t="shared" si="57"/>
        <v>25.336077423869433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 t="e">
        <f>AI115*VLOOKUP('Données projet'!$B$10,Paramètres!$A$1:$I$89,3,0)*VLOOKUP('Données projet'!$B$10,Paramètres!$A$1:$I$89,5,0)</f>
        <v>#N/A</v>
      </c>
      <c r="AK115" s="13" t="e">
        <f t="shared" si="89"/>
        <v>#N/A</v>
      </c>
      <c r="AL115" s="20" t="e">
        <f t="shared" si="58"/>
        <v>#N/A</v>
      </c>
      <c r="AM115" s="59" t="e">
        <f t="shared" si="59"/>
        <v>#N/A</v>
      </c>
      <c r="AN115" s="59" t="e">
        <f ca="1">AVERAGE(OFFSET($AM$3,0,0,'Données projet'!$E$10+1,1))-AVERAGE(OFFSET($H$3,0,0,'Données projet'!$E$10+1,1))</f>
        <v>#N/A</v>
      </c>
      <c r="AO115" s="59" t="e">
        <f t="shared" si="90"/>
        <v>#N/A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 t="e">
        <f>EXP(-LN(2)/35)*AU114+(1-EXP(-LN(2)/35))/(LN(2)/35)*AQ115*AR115*VLOOKUP('Données projet'!$B$10,Paramètres!$A$1:$I$89,3,0)*0.475*44/12</f>
        <v>#N/A</v>
      </c>
      <c r="AV115" s="21" t="e">
        <f>EXP(-LN(2)/25)*AV114+(1-EXP(-LN(2)/25))/(LN(2)/25)*Calculateur!AQ115*Calculateur!AS115*VLOOKUP('Données projet'!$B$10,Paramètres!$A$1:$I$89,3,0)*0.475*44/12</f>
        <v>#N/A</v>
      </c>
      <c r="AW115" s="21" t="e">
        <f>EXP(-LN(2)/2)*AW114+(1-EXP(-LN(2)/2))/(LN(2)/2)*AQ115*AT115*VLOOKUP('Données projet'!$B$10,Paramètres!$A$1:$I$89,3,0)*0.475*44/12</f>
        <v>#N/A</v>
      </c>
      <c r="AX115" s="21" t="e">
        <f t="shared" si="60"/>
        <v>#N/A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1">
        <f t="shared" si="86"/>
        <v>27.076223799065254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67">
        <f t="shared" si="56"/>
        <v>478.82639311670562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-5.6843418860808015E-14</v>
      </c>
      <c r="O116" s="13">
        <f>N116*VLOOKUP('Données projet'!$B$9,Paramètres!$A$1:$I$89,3,0)*VLOOKUP('Données projet'!$B$9,Paramètres!$A$1:$I$89,5,0)</f>
        <v>-3.3992364478763198E-14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161.92866721009744</v>
      </c>
      <c r="T116" s="59">
        <f t="shared" si="88"/>
        <v>327.23695023676987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22.435463214827916</v>
      </c>
      <c r="AA116" s="21">
        <f>EXP(-LN(2)/25)*AA115+(1-EXP(-LN(2)/25))/(LN(2)/25)*Calculateur!V116*Calculateur!X116*VLOOKUP('Données projet'!$B$9,Paramètres!$A$1:$I$89,3,0)*0.475*44/12</f>
        <v>2.3848223543235467</v>
      </c>
      <c r="AB116" s="21">
        <f>EXP(-LN(2)/2)*AB115+(1-EXP(-LN(2)/2))/(LN(2)/2)*V116*Y116*VLOOKUP('Données projet'!$B$9,Paramètres!$A$1:$I$89,3,0)*0.475*44/12</f>
        <v>2.5694255976285528E-11</v>
      </c>
      <c r="AC116" s="22">
        <f t="shared" si="57"/>
        <v>24.820285569177155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 t="e">
        <f>AI116*VLOOKUP('Données projet'!$B$10,Paramètres!$A$1:$I$89,3,0)*VLOOKUP('Données projet'!$B$10,Paramètres!$A$1:$I$89,5,0)</f>
        <v>#N/A</v>
      </c>
      <c r="AK116" s="13" t="e">
        <f t="shared" si="89"/>
        <v>#N/A</v>
      </c>
      <c r="AL116" s="20" t="e">
        <f t="shared" si="58"/>
        <v>#N/A</v>
      </c>
      <c r="AM116" s="59" t="e">
        <f t="shared" si="59"/>
        <v>#N/A</v>
      </c>
      <c r="AN116" s="59" t="e">
        <f ca="1">AVERAGE(OFFSET($AM$3,0,0,'Données projet'!$E$10+1,1))-AVERAGE(OFFSET($H$3,0,0,'Données projet'!$E$10+1,1))</f>
        <v>#N/A</v>
      </c>
      <c r="AO116" s="59" t="e">
        <f t="shared" si="90"/>
        <v>#N/A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 t="e">
        <f>EXP(-LN(2)/35)*AU115+(1-EXP(-LN(2)/35))/(LN(2)/35)*AQ116*AR116*VLOOKUP('Données projet'!$B$10,Paramètres!$A$1:$I$89,3,0)*0.475*44/12</f>
        <v>#N/A</v>
      </c>
      <c r="AV116" s="21" t="e">
        <f>EXP(-LN(2)/25)*AV115+(1-EXP(-LN(2)/25))/(LN(2)/25)*Calculateur!AQ116*Calculateur!AS116*VLOOKUP('Données projet'!$B$10,Paramètres!$A$1:$I$89,3,0)*0.475*44/12</f>
        <v>#N/A</v>
      </c>
      <c r="AW116" s="21" t="e">
        <f>EXP(-LN(2)/2)*AW115+(1-EXP(-LN(2)/2))/(LN(2)/2)*AQ116*AT116*VLOOKUP('Données projet'!$B$10,Paramètres!$A$1:$I$89,3,0)*0.475*44/12</f>
        <v>#N/A</v>
      </c>
      <c r="AX116" s="21" t="e">
        <f t="shared" si="60"/>
        <v>#N/A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1">
        <f t="shared" si="86"/>
        <v>27.287836803817498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67">
        <f t="shared" si="56"/>
        <v>480.74364243331581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-5.6843418860808015E-14</v>
      </c>
      <c r="O117" s="13">
        <f>N117*VLOOKUP('Données projet'!$B$9,Paramètres!$A$1:$I$89,3,0)*VLOOKUP('Données projet'!$B$9,Paramètres!$A$1:$I$89,5,0)</f>
        <v>-3.3992364478763198E-14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161.92866721009744</v>
      </c>
      <c r="T117" s="59">
        <f t="shared" si="88"/>
        <v>327.23695023676987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21.995517465466492</v>
      </c>
      <c r="AA117" s="21">
        <f>EXP(-LN(2)/25)*AA116+(1-EXP(-LN(2)/25))/(LN(2)/25)*Calculateur!V117*Calculateur!X117*VLOOKUP('Données projet'!$B$9,Paramètres!$A$1:$I$89,3,0)*0.475*44/12</f>
        <v>2.3196092616322121</v>
      </c>
      <c r="AB117" s="21">
        <f>EXP(-LN(2)/2)*AB116+(1-EXP(-LN(2)/2))/(LN(2)/2)*V117*Y117*VLOOKUP('Données projet'!$B$9,Paramètres!$A$1:$I$89,3,0)*0.475*44/12</f>
        <v>1.8168582638374472E-11</v>
      </c>
      <c r="AC117" s="22">
        <f t="shared" si="57"/>
        <v>24.315126727116873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 t="e">
        <f>AI117*VLOOKUP('Données projet'!$B$10,Paramètres!$A$1:$I$89,3,0)*VLOOKUP('Données projet'!$B$10,Paramètres!$A$1:$I$89,5,0)</f>
        <v>#N/A</v>
      </c>
      <c r="AK117" s="13" t="e">
        <f t="shared" si="89"/>
        <v>#N/A</v>
      </c>
      <c r="AL117" s="20" t="e">
        <f t="shared" si="58"/>
        <v>#N/A</v>
      </c>
      <c r="AM117" s="59" t="e">
        <f t="shared" si="59"/>
        <v>#N/A</v>
      </c>
      <c r="AN117" s="59" t="e">
        <f ca="1">AVERAGE(OFFSET($AM$3,0,0,'Données projet'!$E$10+1,1))-AVERAGE(OFFSET($H$3,0,0,'Données projet'!$E$10+1,1))</f>
        <v>#N/A</v>
      </c>
      <c r="AO117" s="59" t="e">
        <f t="shared" si="90"/>
        <v>#N/A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 t="e">
        <f>EXP(-LN(2)/35)*AU116+(1-EXP(-LN(2)/35))/(LN(2)/35)*AQ117*AR117*VLOOKUP('Données projet'!$B$10,Paramètres!$A$1:$I$89,3,0)*0.475*44/12</f>
        <v>#N/A</v>
      </c>
      <c r="AV117" s="21" t="e">
        <f>EXP(-LN(2)/25)*AV116+(1-EXP(-LN(2)/25))/(LN(2)/25)*Calculateur!AQ117*Calculateur!AS117*VLOOKUP('Données projet'!$B$10,Paramètres!$A$1:$I$89,3,0)*0.475*44/12</f>
        <v>#N/A</v>
      </c>
      <c r="AW117" s="21" t="e">
        <f>EXP(-LN(2)/2)*AW116+(1-EXP(-LN(2)/2))/(LN(2)/2)*AQ117*AT117*VLOOKUP('Données projet'!$B$10,Paramètres!$A$1:$I$89,3,0)*0.475*44/12</f>
        <v>#N/A</v>
      </c>
      <c r="AX117" s="21" t="e">
        <f t="shared" si="60"/>
        <v>#N/A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1">
        <f t="shared" si="86"/>
        <v>27.499233847895908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67">
        <f t="shared" si="56"/>
        <v>482.66051561841903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-5.6843418860808015E-14</v>
      </c>
      <c r="O118" s="13">
        <f>N118*VLOOKUP('Données projet'!$B$9,Paramètres!$A$1:$I$89,3,0)*VLOOKUP('Données projet'!$B$9,Paramètres!$A$1:$I$89,5,0)</f>
        <v>-3.3992364478763198E-14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161.92866721009744</v>
      </c>
      <c r="T118" s="59">
        <f t="shared" si="88"/>
        <v>327.23695023676987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21.564198783909635</v>
      </c>
      <c r="AA118" s="21">
        <f>EXP(-LN(2)/25)*AA117+(1-EXP(-LN(2)/25))/(LN(2)/25)*Calculateur!V118*Calculateur!X118*VLOOKUP('Données projet'!$B$9,Paramètres!$A$1:$I$89,3,0)*0.475*44/12</f>
        <v>2.2561794243899298</v>
      </c>
      <c r="AB118" s="21">
        <f>EXP(-LN(2)/2)*AB117+(1-EXP(-LN(2)/2))/(LN(2)/2)*V118*Y118*VLOOKUP('Données projet'!$B$9,Paramètres!$A$1:$I$89,3,0)*0.475*44/12</f>
        <v>1.2847127988142764E-11</v>
      </c>
      <c r="AC118" s="22">
        <f t="shared" si="57"/>
        <v>23.820378208312412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 t="e">
        <f>AI118*VLOOKUP('Données projet'!$B$10,Paramètres!$A$1:$I$89,3,0)*VLOOKUP('Données projet'!$B$10,Paramètres!$A$1:$I$89,5,0)</f>
        <v>#N/A</v>
      </c>
      <c r="AK118" s="13" t="e">
        <f t="shared" si="89"/>
        <v>#N/A</v>
      </c>
      <c r="AL118" s="20" t="e">
        <f t="shared" si="58"/>
        <v>#N/A</v>
      </c>
      <c r="AM118" s="59" t="e">
        <f t="shared" si="59"/>
        <v>#N/A</v>
      </c>
      <c r="AN118" s="59" t="e">
        <f ca="1">AVERAGE(OFFSET($AM$3,0,0,'Données projet'!$E$10+1,1))-AVERAGE(OFFSET($H$3,0,0,'Données projet'!$E$10+1,1))</f>
        <v>#N/A</v>
      </c>
      <c r="AO118" s="59" t="e">
        <f t="shared" si="90"/>
        <v>#N/A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 t="e">
        <f>EXP(-LN(2)/35)*AU117+(1-EXP(-LN(2)/35))/(LN(2)/35)*AQ118*AR118*VLOOKUP('Données projet'!$B$10,Paramètres!$A$1:$I$89,3,0)*0.475*44/12</f>
        <v>#N/A</v>
      </c>
      <c r="AV118" s="21" t="e">
        <f>EXP(-LN(2)/25)*AV117+(1-EXP(-LN(2)/25))/(LN(2)/25)*Calculateur!AQ118*Calculateur!AS118*VLOOKUP('Données projet'!$B$10,Paramètres!$A$1:$I$89,3,0)*0.475*44/12</f>
        <v>#N/A</v>
      </c>
      <c r="AW118" s="21" t="e">
        <f>EXP(-LN(2)/2)*AW117+(1-EXP(-LN(2)/2))/(LN(2)/2)*AQ118*AT118*VLOOKUP('Données projet'!$B$10,Paramètres!$A$1:$I$89,3,0)*0.475*44/12</f>
        <v>#N/A</v>
      </c>
      <c r="AX118" s="21" t="e">
        <f t="shared" si="60"/>
        <v>#N/A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1">
        <f t="shared" si="86"/>
        <v>27.710417026801501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67">
        <f t="shared" si="56"/>
        <v>484.57701632167959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-5.6843418860808015E-14</v>
      </c>
      <c r="O119" s="13">
        <f>N119*VLOOKUP('Données projet'!$B$9,Paramètres!$A$1:$I$89,3,0)*VLOOKUP('Données projet'!$B$9,Paramètres!$A$1:$I$89,5,0)</f>
        <v>-3.3992364478763198E-14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161.92866721009744</v>
      </c>
      <c r="T119" s="59">
        <f t="shared" si="88"/>
        <v>327.23695023676987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21.141337998619687</v>
      </c>
      <c r="AA119" s="21">
        <f>EXP(-LN(2)/25)*AA118+(1-EXP(-LN(2)/25))/(LN(2)/25)*Calculateur!V119*Calculateur!X119*VLOOKUP('Données projet'!$B$9,Paramètres!$A$1:$I$89,3,0)*0.475*44/12</f>
        <v>2.1944840793826677</v>
      </c>
      <c r="AB119" s="21">
        <f>EXP(-LN(2)/2)*AB118+(1-EXP(-LN(2)/2))/(LN(2)/2)*V119*Y119*VLOOKUP('Données projet'!$B$9,Paramètres!$A$1:$I$89,3,0)*0.475*44/12</f>
        <v>9.0842913191872361E-12</v>
      </c>
      <c r="AC119" s="22">
        <f t="shared" si="57"/>
        <v>23.335822078011439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 t="e">
        <f>AI119*VLOOKUP('Données projet'!$B$10,Paramètres!$A$1:$I$89,3,0)*VLOOKUP('Données projet'!$B$10,Paramètres!$A$1:$I$89,5,0)</f>
        <v>#N/A</v>
      </c>
      <c r="AK119" s="13" t="e">
        <f t="shared" si="89"/>
        <v>#N/A</v>
      </c>
      <c r="AL119" s="20" t="e">
        <f t="shared" si="58"/>
        <v>#N/A</v>
      </c>
      <c r="AM119" s="59" t="e">
        <f t="shared" si="59"/>
        <v>#N/A</v>
      </c>
      <c r="AN119" s="59" t="e">
        <f ca="1">AVERAGE(OFFSET($AM$3,0,0,'Données projet'!$E$10+1,1))-AVERAGE(OFFSET($H$3,0,0,'Données projet'!$E$10+1,1))</f>
        <v>#N/A</v>
      </c>
      <c r="AO119" s="59" t="e">
        <f t="shared" si="90"/>
        <v>#N/A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 t="e">
        <f>EXP(-LN(2)/35)*AU118+(1-EXP(-LN(2)/35))/(LN(2)/35)*AQ119*AR119*VLOOKUP('Données projet'!$B$10,Paramètres!$A$1:$I$89,3,0)*0.475*44/12</f>
        <v>#N/A</v>
      </c>
      <c r="AV119" s="21" t="e">
        <f>EXP(-LN(2)/25)*AV118+(1-EXP(-LN(2)/25))/(LN(2)/25)*Calculateur!AQ119*Calculateur!AS119*VLOOKUP('Données projet'!$B$10,Paramètres!$A$1:$I$89,3,0)*0.475*44/12</f>
        <v>#N/A</v>
      </c>
      <c r="AW119" s="21" t="e">
        <f>EXP(-LN(2)/2)*AW118+(1-EXP(-LN(2)/2))/(LN(2)/2)*AQ119*AT119*VLOOKUP('Données projet'!$B$10,Paramètres!$A$1:$I$89,3,0)*0.475*44/12</f>
        <v>#N/A</v>
      </c>
      <c r="AX119" s="21" t="e">
        <f t="shared" si="60"/>
        <v>#N/A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1">
        <f t="shared" si="86"/>
        <v>27.921388397821048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67">
        <f t="shared" si="56"/>
        <v>486.49314812620531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-5.6843418860808015E-14</v>
      </c>
      <c r="O120" s="13">
        <f>N120*VLOOKUP('Données projet'!$B$9,Paramètres!$A$1:$I$89,3,0)*VLOOKUP('Données projet'!$B$9,Paramètres!$A$1:$I$89,5,0)</f>
        <v>-3.3992364478763198E-14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161.92866721009744</v>
      </c>
      <c r="T120" s="59">
        <f t="shared" si="88"/>
        <v>327.23695023676987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20.726769255409664</v>
      </c>
      <c r="AA120" s="21">
        <f>EXP(-LN(2)/25)*AA119+(1-EXP(-LN(2)/25))/(LN(2)/25)*Calculateur!V120*Calculateur!X120*VLOOKUP('Données projet'!$B$9,Paramètres!$A$1:$I$89,3,0)*0.475*44/12</f>
        <v>2.1344757968290464</v>
      </c>
      <c r="AB120" s="21">
        <f>EXP(-LN(2)/2)*AB119+(1-EXP(-LN(2)/2))/(LN(2)/2)*V120*Y120*VLOOKUP('Données projet'!$B$9,Paramètres!$A$1:$I$89,3,0)*0.475*44/12</f>
        <v>6.4235639940713821E-12</v>
      </c>
      <c r="AC120" s="22">
        <f t="shared" si="57"/>
        <v>22.861245052245135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 t="e">
        <f>AI120*VLOOKUP('Données projet'!$B$10,Paramètres!$A$1:$I$89,3,0)*VLOOKUP('Données projet'!$B$10,Paramètres!$A$1:$I$89,5,0)</f>
        <v>#N/A</v>
      </c>
      <c r="AK120" s="13" t="e">
        <f t="shared" si="89"/>
        <v>#N/A</v>
      </c>
      <c r="AL120" s="20" t="e">
        <f t="shared" si="58"/>
        <v>#N/A</v>
      </c>
      <c r="AM120" s="59" t="e">
        <f t="shared" si="59"/>
        <v>#N/A</v>
      </c>
      <c r="AN120" s="59" t="e">
        <f ca="1">AVERAGE(OFFSET($AM$3,0,0,'Données projet'!$E$10+1,1))-AVERAGE(OFFSET($H$3,0,0,'Données projet'!$E$10+1,1))</f>
        <v>#N/A</v>
      </c>
      <c r="AO120" s="59" t="e">
        <f t="shared" si="90"/>
        <v>#N/A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 t="e">
        <f>EXP(-LN(2)/35)*AU119+(1-EXP(-LN(2)/35))/(LN(2)/35)*AQ120*AR120*VLOOKUP('Données projet'!$B$10,Paramètres!$A$1:$I$89,3,0)*0.475*44/12</f>
        <v>#N/A</v>
      </c>
      <c r="AV120" s="21" t="e">
        <f>EXP(-LN(2)/25)*AV119+(1-EXP(-LN(2)/25))/(LN(2)/25)*Calculateur!AQ120*Calculateur!AS120*VLOOKUP('Données projet'!$B$10,Paramètres!$A$1:$I$89,3,0)*0.475*44/12</f>
        <v>#N/A</v>
      </c>
      <c r="AW120" s="21" t="e">
        <f>EXP(-LN(2)/2)*AW119+(1-EXP(-LN(2)/2))/(LN(2)/2)*AQ120*AT120*VLOOKUP('Données projet'!$B$10,Paramètres!$A$1:$I$89,3,0)*0.475*44/12</f>
        <v>#N/A</v>
      </c>
      <c r="AX120" s="21" t="e">
        <f t="shared" si="60"/>
        <v>#N/A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1">
        <f t="shared" si="86"/>
        <v>28.132149981044396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67">
        <f t="shared" si="56"/>
        <v>488.40891455031931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-5.6843418860808015E-14</v>
      </c>
      <c r="O121" s="13">
        <f>N121*VLOOKUP('Données projet'!$B$9,Paramètres!$A$1:$I$89,3,0)*VLOOKUP('Données projet'!$B$9,Paramètres!$A$1:$I$89,5,0)</f>
        <v>-3.3992364478763198E-14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161.92866721009744</v>
      </c>
      <c r="T121" s="59">
        <f t="shared" si="88"/>
        <v>327.23695023676987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20.320329952392026</v>
      </c>
      <c r="AA121" s="21">
        <f>EXP(-LN(2)/25)*AA120+(1-EXP(-LN(2)/25))/(LN(2)/25)*Calculateur!V121*Calculateur!X121*VLOOKUP('Données projet'!$B$9,Paramètres!$A$1:$I$89,3,0)*0.475*44/12</f>
        <v>2.0761084439175526</v>
      </c>
      <c r="AB121" s="21">
        <f>EXP(-LN(2)/2)*AB120+(1-EXP(-LN(2)/2))/(LN(2)/2)*V121*Y121*VLOOKUP('Données projet'!$B$9,Paramètres!$A$1:$I$89,3,0)*0.475*44/12</f>
        <v>4.542145659593618E-12</v>
      </c>
      <c r="AC121" s="22">
        <f t="shared" si="57"/>
        <v>22.396438396314121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 t="e">
        <f>AI121*VLOOKUP('Données projet'!$B$10,Paramètres!$A$1:$I$89,3,0)*VLOOKUP('Données projet'!$B$10,Paramètres!$A$1:$I$89,5,0)</f>
        <v>#N/A</v>
      </c>
      <c r="AK121" s="13" t="e">
        <f t="shared" si="89"/>
        <v>#N/A</v>
      </c>
      <c r="AL121" s="20" t="e">
        <f t="shared" si="58"/>
        <v>#N/A</v>
      </c>
      <c r="AM121" s="59" t="e">
        <f t="shared" si="59"/>
        <v>#N/A</v>
      </c>
      <c r="AN121" s="59" t="e">
        <f ca="1">AVERAGE(OFFSET($AM$3,0,0,'Données projet'!$E$10+1,1))-AVERAGE(OFFSET($H$3,0,0,'Données projet'!$E$10+1,1))</f>
        <v>#N/A</v>
      </c>
      <c r="AO121" s="59" t="e">
        <f t="shared" si="90"/>
        <v>#N/A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 t="e">
        <f>EXP(-LN(2)/35)*AU120+(1-EXP(-LN(2)/35))/(LN(2)/35)*AQ121*AR121*VLOOKUP('Données projet'!$B$10,Paramètres!$A$1:$I$89,3,0)*0.475*44/12</f>
        <v>#N/A</v>
      </c>
      <c r="AV121" s="21" t="e">
        <f>EXP(-LN(2)/25)*AV120+(1-EXP(-LN(2)/25))/(LN(2)/25)*Calculateur!AQ121*Calculateur!AS121*VLOOKUP('Données projet'!$B$10,Paramètres!$A$1:$I$89,3,0)*0.475*44/12</f>
        <v>#N/A</v>
      </c>
      <c r="AW121" s="21" t="e">
        <f>EXP(-LN(2)/2)*AW120+(1-EXP(-LN(2)/2))/(LN(2)/2)*AQ121*AT121*VLOOKUP('Données projet'!$B$10,Paramètres!$A$1:$I$89,3,0)*0.475*44/12</f>
        <v>#N/A</v>
      </c>
      <c r="AX121" s="21" t="e">
        <f t="shared" si="60"/>
        <v>#N/A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1">
        <f t="shared" si="86"/>
        <v>28.342703760346538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67">
        <f t="shared" si="56"/>
        <v>490.32431904927057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-5.6843418860808015E-14</v>
      </c>
      <c r="O122" s="13">
        <f>N122*VLOOKUP('Données projet'!$B$9,Paramètres!$A$1:$I$89,3,0)*VLOOKUP('Données projet'!$B$9,Paramètres!$A$1:$I$89,5,0)</f>
        <v>-3.3992364478763198E-14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161.92866721009744</v>
      </c>
      <c r="T122" s="59">
        <f t="shared" si="88"/>
        <v>327.23695023676987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19.921860676203067</v>
      </c>
      <c r="AA122" s="21">
        <f>EXP(-LN(2)/25)*AA121+(1-EXP(-LN(2)/25))/(LN(2)/25)*Calculateur!V122*Calculateur!X122*VLOOKUP('Données projet'!$B$9,Paramètres!$A$1:$I$89,3,0)*0.475*44/12</f>
        <v>2.0193371493408292</v>
      </c>
      <c r="AB122" s="21">
        <f>EXP(-LN(2)/2)*AB121+(1-EXP(-LN(2)/2))/(LN(2)/2)*V122*Y122*VLOOKUP('Données projet'!$B$9,Paramètres!$A$1:$I$89,3,0)*0.475*44/12</f>
        <v>3.2117819970356911E-12</v>
      </c>
      <c r="AC122" s="22">
        <f t="shared" si="57"/>
        <v>21.941197825547107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 t="e">
        <f>AI122*VLOOKUP('Données projet'!$B$10,Paramètres!$A$1:$I$89,3,0)*VLOOKUP('Données projet'!$B$10,Paramètres!$A$1:$I$89,5,0)</f>
        <v>#N/A</v>
      </c>
      <c r="AK122" s="13" t="e">
        <f t="shared" si="89"/>
        <v>#N/A</v>
      </c>
      <c r="AL122" s="20" t="e">
        <f t="shared" si="58"/>
        <v>#N/A</v>
      </c>
      <c r="AM122" s="59" t="e">
        <f t="shared" si="59"/>
        <v>#N/A</v>
      </c>
      <c r="AN122" s="59" t="e">
        <f ca="1">AVERAGE(OFFSET($AM$3,0,0,'Données projet'!$E$10+1,1))-AVERAGE(OFFSET($H$3,0,0,'Données projet'!$E$10+1,1))</f>
        <v>#N/A</v>
      </c>
      <c r="AO122" s="59" t="e">
        <f t="shared" si="90"/>
        <v>#N/A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 t="e">
        <f>EXP(-LN(2)/35)*AU121+(1-EXP(-LN(2)/35))/(LN(2)/35)*AQ122*AR122*VLOOKUP('Données projet'!$B$10,Paramètres!$A$1:$I$89,3,0)*0.475*44/12</f>
        <v>#N/A</v>
      </c>
      <c r="AV122" s="21" t="e">
        <f>EXP(-LN(2)/25)*AV121+(1-EXP(-LN(2)/25))/(LN(2)/25)*Calculateur!AQ122*Calculateur!AS122*VLOOKUP('Données projet'!$B$10,Paramètres!$A$1:$I$89,3,0)*0.475*44/12</f>
        <v>#N/A</v>
      </c>
      <c r="AW122" s="21" t="e">
        <f>EXP(-LN(2)/2)*AW121+(1-EXP(-LN(2)/2))/(LN(2)/2)*AQ122*AT122*VLOOKUP('Données projet'!$B$10,Paramètres!$A$1:$I$89,3,0)*0.475*44/12</f>
        <v>#N/A</v>
      </c>
      <c r="AX122" s="21" t="e">
        <f t="shared" si="60"/>
        <v>#N/A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1">
        <f t="shared" si="86"/>
        <v>28.553051684335379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67">
        <f t="shared" si="56"/>
        <v>492.23936501688451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-5.6843418860808015E-14</v>
      </c>
      <c r="O123" s="13">
        <f>N123*VLOOKUP('Données projet'!$B$9,Paramètres!$A$1:$I$89,3,0)*VLOOKUP('Données projet'!$B$9,Paramètres!$A$1:$I$89,5,0)</f>
        <v>-3.3992364478763198E-14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161.92866721009744</v>
      </c>
      <c r="T123" s="59">
        <f t="shared" si="88"/>
        <v>327.23695023676987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19.531205139477912</v>
      </c>
      <c r="AA123" s="21">
        <f>EXP(-LN(2)/25)*AA122+(1-EXP(-LN(2)/25))/(LN(2)/25)*Calculateur!V123*Calculateur!X123*VLOOKUP('Données projet'!$B$9,Paramètres!$A$1:$I$89,3,0)*0.475*44/12</f>
        <v>1.9641182687997787</v>
      </c>
      <c r="AB123" s="21">
        <f>EXP(-LN(2)/2)*AB122+(1-EXP(-LN(2)/2))/(LN(2)/2)*V123*Y123*VLOOKUP('Données projet'!$B$9,Paramètres!$A$1:$I$89,3,0)*0.475*44/12</f>
        <v>2.271072829796809E-12</v>
      </c>
      <c r="AC123" s="22">
        <f t="shared" si="57"/>
        <v>21.495323408279962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 t="e">
        <f>AI123*VLOOKUP('Données projet'!$B$10,Paramètres!$A$1:$I$89,3,0)*VLOOKUP('Données projet'!$B$10,Paramètres!$A$1:$I$89,5,0)</f>
        <v>#N/A</v>
      </c>
      <c r="AK123" s="13" t="e">
        <f t="shared" si="89"/>
        <v>#N/A</v>
      </c>
      <c r="AL123" s="20" t="e">
        <f t="shared" si="58"/>
        <v>#N/A</v>
      </c>
      <c r="AM123" s="59" t="e">
        <f t="shared" si="59"/>
        <v>#N/A</v>
      </c>
      <c r="AN123" s="59" t="e">
        <f ca="1">AVERAGE(OFFSET($AM$3,0,0,'Données projet'!$E$10+1,1))-AVERAGE(OFFSET($H$3,0,0,'Données projet'!$E$10+1,1))</f>
        <v>#N/A</v>
      </c>
      <c r="AO123" s="59" t="e">
        <f t="shared" si="90"/>
        <v>#N/A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 t="e">
        <f>EXP(-LN(2)/35)*AU122+(1-EXP(-LN(2)/35))/(LN(2)/35)*AQ123*AR123*VLOOKUP('Données projet'!$B$10,Paramètres!$A$1:$I$89,3,0)*0.475*44/12</f>
        <v>#N/A</v>
      </c>
      <c r="AV123" s="21" t="e">
        <f>EXP(-LN(2)/25)*AV122+(1-EXP(-LN(2)/25))/(LN(2)/25)*Calculateur!AQ123*Calculateur!AS123*VLOOKUP('Données projet'!$B$10,Paramètres!$A$1:$I$89,3,0)*0.475*44/12</f>
        <v>#N/A</v>
      </c>
      <c r="AW123" s="21" t="e">
        <f>EXP(-LN(2)/2)*AW122+(1-EXP(-LN(2)/2))/(LN(2)/2)*AQ123*AT123*VLOOKUP('Données projet'!$B$10,Paramètres!$A$1:$I$89,3,0)*0.475*44/12</f>
        <v>#N/A</v>
      </c>
      <c r="AX123" s="21" t="e">
        <f t="shared" si="60"/>
        <v>#N/A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1">
        <f t="shared" si="86"/>
        <v>28.763195667267546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67">
        <f t="shared" si="56"/>
        <v>494.15405578715797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-5.6843418860808015E-14</v>
      </c>
      <c r="O124" s="13">
        <f>N124*VLOOKUP('Données projet'!$B$9,Paramètres!$A$1:$I$89,3,0)*VLOOKUP('Données projet'!$B$9,Paramètres!$A$1:$I$89,5,0)</f>
        <v>-3.3992364478763198E-14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161.92866721009744</v>
      </c>
      <c r="T124" s="59">
        <f t="shared" si="88"/>
        <v>327.23695023676987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19.148210119551589</v>
      </c>
      <c r="AA124" s="21">
        <f>EXP(-LN(2)/25)*AA123+(1-EXP(-LN(2)/25))/(LN(2)/25)*Calculateur!V124*Calculateur!X124*VLOOKUP('Données projet'!$B$9,Paramètres!$A$1:$I$89,3,0)*0.475*44/12</f>
        <v>1.9104093514509581</v>
      </c>
      <c r="AB124" s="21">
        <f>EXP(-LN(2)/2)*AB123+(1-EXP(-LN(2)/2))/(LN(2)/2)*V124*Y124*VLOOKUP('Données projet'!$B$9,Paramètres!$A$1:$I$89,3,0)*0.475*44/12</f>
        <v>1.6058909985178455E-12</v>
      </c>
      <c r="AC124" s="22">
        <f t="shared" si="57"/>
        <v>21.058619471004153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 t="e">
        <f>AI124*VLOOKUP('Données projet'!$B$10,Paramètres!$A$1:$I$89,3,0)*VLOOKUP('Données projet'!$B$10,Paramètres!$A$1:$I$89,5,0)</f>
        <v>#N/A</v>
      </c>
      <c r="AK124" s="13" t="e">
        <f t="shared" si="89"/>
        <v>#N/A</v>
      </c>
      <c r="AL124" s="20" t="e">
        <f t="shared" si="58"/>
        <v>#N/A</v>
      </c>
      <c r="AM124" s="59" t="e">
        <f t="shared" si="59"/>
        <v>#N/A</v>
      </c>
      <c r="AN124" s="59" t="e">
        <f ca="1">AVERAGE(OFFSET($AM$3,0,0,'Données projet'!$E$10+1,1))-AVERAGE(OFFSET($H$3,0,0,'Données projet'!$E$10+1,1))</f>
        <v>#N/A</v>
      </c>
      <c r="AO124" s="59" t="e">
        <f t="shared" si="90"/>
        <v>#N/A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 t="e">
        <f>EXP(-LN(2)/35)*AU123+(1-EXP(-LN(2)/35))/(LN(2)/35)*AQ124*AR124*VLOOKUP('Données projet'!$B$10,Paramètres!$A$1:$I$89,3,0)*0.475*44/12</f>
        <v>#N/A</v>
      </c>
      <c r="AV124" s="21" t="e">
        <f>EXP(-LN(2)/25)*AV123+(1-EXP(-LN(2)/25))/(LN(2)/25)*Calculateur!AQ124*Calculateur!AS124*VLOOKUP('Données projet'!$B$10,Paramètres!$A$1:$I$89,3,0)*0.475*44/12</f>
        <v>#N/A</v>
      </c>
      <c r="AW124" s="21" t="e">
        <f>EXP(-LN(2)/2)*AW123+(1-EXP(-LN(2)/2))/(LN(2)/2)*AQ124*AT124*VLOOKUP('Données projet'!$B$10,Paramètres!$A$1:$I$89,3,0)*0.475*44/12</f>
        <v>#N/A</v>
      </c>
      <c r="AX124" s="21" t="e">
        <f t="shared" si="60"/>
        <v>#N/A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1">
        <f t="shared" si="86"/>
        <v>28.973137589932421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67">
        <f t="shared" si="56"/>
        <v>496.06839463579934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-5.6843418860808015E-14</v>
      </c>
      <c r="O125" s="13">
        <f>N125*VLOOKUP('Données projet'!$B$9,Paramètres!$A$1:$I$89,3,0)*VLOOKUP('Données projet'!$B$9,Paramètres!$A$1:$I$89,5,0)</f>
        <v>-3.3992364478763198E-14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161.92866721009744</v>
      </c>
      <c r="T125" s="59">
        <f t="shared" si="88"/>
        <v>327.23695023676987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18.772725398362123</v>
      </c>
      <c r="AA125" s="21">
        <f>EXP(-LN(2)/25)*AA124+(1-EXP(-LN(2)/25))/(LN(2)/25)*Calculateur!V125*Calculateur!X125*VLOOKUP('Données projet'!$B$9,Paramètres!$A$1:$I$89,3,0)*0.475*44/12</f>
        <v>1.8581691072714701</v>
      </c>
      <c r="AB125" s="21">
        <f>EXP(-LN(2)/2)*AB124+(1-EXP(-LN(2)/2))/(LN(2)/2)*V125*Y125*VLOOKUP('Données projet'!$B$9,Paramètres!$A$1:$I$89,3,0)*0.475*44/12</f>
        <v>1.1355364148984045E-12</v>
      </c>
      <c r="AC125" s="22">
        <f t="shared" si="57"/>
        <v>20.630894505634728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 t="e">
        <f>AI125*VLOOKUP('Données projet'!$B$10,Paramètres!$A$1:$I$89,3,0)*VLOOKUP('Données projet'!$B$10,Paramètres!$A$1:$I$89,5,0)</f>
        <v>#N/A</v>
      </c>
      <c r="AK125" s="13" t="e">
        <f t="shared" si="89"/>
        <v>#N/A</v>
      </c>
      <c r="AL125" s="20" t="e">
        <f t="shared" si="58"/>
        <v>#N/A</v>
      </c>
      <c r="AM125" s="59" t="e">
        <f t="shared" si="59"/>
        <v>#N/A</v>
      </c>
      <c r="AN125" s="59" t="e">
        <f ca="1">AVERAGE(OFFSET($AM$3,0,0,'Données projet'!$E$10+1,1))-AVERAGE(OFFSET($H$3,0,0,'Données projet'!$E$10+1,1))</f>
        <v>#N/A</v>
      </c>
      <c r="AO125" s="59" t="e">
        <f t="shared" si="90"/>
        <v>#N/A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 t="e">
        <f>EXP(-LN(2)/35)*AU124+(1-EXP(-LN(2)/35))/(LN(2)/35)*AQ125*AR125*VLOOKUP('Données projet'!$B$10,Paramètres!$A$1:$I$89,3,0)*0.475*44/12</f>
        <v>#N/A</v>
      </c>
      <c r="AV125" s="21" t="e">
        <f>EXP(-LN(2)/25)*AV124+(1-EXP(-LN(2)/25))/(LN(2)/25)*Calculateur!AQ125*Calculateur!AS125*VLOOKUP('Données projet'!$B$10,Paramètres!$A$1:$I$89,3,0)*0.475*44/12</f>
        <v>#N/A</v>
      </c>
      <c r="AW125" s="21" t="e">
        <f>EXP(-LN(2)/2)*AW124+(1-EXP(-LN(2)/2))/(LN(2)/2)*AQ125*AT125*VLOOKUP('Données projet'!$B$10,Paramètres!$A$1:$I$89,3,0)*0.475*44/12</f>
        <v>#N/A</v>
      </c>
      <c r="AX125" s="21" t="e">
        <f t="shared" si="60"/>
        <v>#N/A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1">
        <f t="shared" si="86"/>
        <v>29.182879300506769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67">
        <f t="shared" si="56"/>
        <v>497.98238478171629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-5.6843418860808015E-14</v>
      </c>
      <c r="O126" s="13">
        <f>N126*VLOOKUP('Données projet'!$B$9,Paramètres!$A$1:$I$89,3,0)*VLOOKUP('Données projet'!$B$9,Paramètres!$A$1:$I$89,5,0)</f>
        <v>-3.3992364478763198E-14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161.92866721009744</v>
      </c>
      <c r="T126" s="59">
        <f t="shared" si="88"/>
        <v>327.23695023676987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18.404603703532118</v>
      </c>
      <c r="AA126" s="21">
        <f>EXP(-LN(2)/25)*AA125+(1-EXP(-LN(2)/25))/(LN(2)/25)*Calculateur!V126*Calculateur!X126*VLOOKUP('Données projet'!$B$9,Paramètres!$A$1:$I$89,3,0)*0.475*44/12</f>
        <v>1.8073573753162653</v>
      </c>
      <c r="AB126" s="21">
        <f>EXP(-LN(2)/2)*AB125+(1-EXP(-LN(2)/2))/(LN(2)/2)*V126*Y126*VLOOKUP('Données projet'!$B$9,Paramètres!$A$1:$I$89,3,0)*0.475*44/12</f>
        <v>8.0294549925892276E-13</v>
      </c>
      <c r="AC126" s="22">
        <f t="shared" si="57"/>
        <v>20.211961078849185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 t="e">
        <f>AI126*VLOOKUP('Données projet'!$B$10,Paramètres!$A$1:$I$89,3,0)*VLOOKUP('Données projet'!$B$10,Paramètres!$A$1:$I$89,5,0)</f>
        <v>#N/A</v>
      </c>
      <c r="AK126" s="13" t="e">
        <f t="shared" si="89"/>
        <v>#N/A</v>
      </c>
      <c r="AL126" s="20" t="e">
        <f t="shared" si="58"/>
        <v>#N/A</v>
      </c>
      <c r="AM126" s="59" t="e">
        <f t="shared" si="59"/>
        <v>#N/A</v>
      </c>
      <c r="AN126" s="59" t="e">
        <f ca="1">AVERAGE(OFFSET($AM$3,0,0,'Données projet'!$E$10+1,1))-AVERAGE(OFFSET($H$3,0,0,'Données projet'!$E$10+1,1))</f>
        <v>#N/A</v>
      </c>
      <c r="AO126" s="59" t="e">
        <f t="shared" si="90"/>
        <v>#N/A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 t="e">
        <f>EXP(-LN(2)/35)*AU125+(1-EXP(-LN(2)/35))/(LN(2)/35)*AQ126*AR126*VLOOKUP('Données projet'!$B$10,Paramètres!$A$1:$I$89,3,0)*0.475*44/12</f>
        <v>#N/A</v>
      </c>
      <c r="AV126" s="21" t="e">
        <f>EXP(-LN(2)/25)*AV125+(1-EXP(-LN(2)/25))/(LN(2)/25)*Calculateur!AQ126*Calculateur!AS126*VLOOKUP('Données projet'!$B$10,Paramètres!$A$1:$I$89,3,0)*0.475*44/12</f>
        <v>#N/A</v>
      </c>
      <c r="AW126" s="21" t="e">
        <f>EXP(-LN(2)/2)*AW125+(1-EXP(-LN(2)/2))/(LN(2)/2)*AQ126*AT126*VLOOKUP('Données projet'!$B$10,Paramètres!$A$1:$I$89,3,0)*0.475*44/12</f>
        <v>#N/A</v>
      </c>
      <c r="AX126" s="21" t="e">
        <f t="shared" si="60"/>
        <v>#N/A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1">
        <f t="shared" si="86"/>
        <v>29.392422615380852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67">
        <f t="shared" si="56"/>
        <v>499.89602938845536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-5.6843418860808015E-14</v>
      </c>
      <c r="O127" s="13">
        <f>N127*VLOOKUP('Données projet'!$B$9,Paramètres!$A$1:$I$89,3,0)*VLOOKUP('Données projet'!$B$9,Paramètres!$A$1:$I$89,5,0)</f>
        <v>-3.3992364478763198E-14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161.92866721009744</v>
      </c>
      <c r="T127" s="59">
        <f t="shared" si="88"/>
        <v>327.23695023676987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18.043700650605665</v>
      </c>
      <c r="AA127" s="21">
        <f>EXP(-LN(2)/25)*AA126+(1-EXP(-LN(2)/25))/(LN(2)/25)*Calculateur!V127*Calculateur!X127*VLOOKUP('Données projet'!$B$9,Paramètres!$A$1:$I$89,3,0)*0.475*44/12</f>
        <v>1.7579350928434485</v>
      </c>
      <c r="AB127" s="21">
        <f>EXP(-LN(2)/2)*AB126+(1-EXP(-LN(2)/2))/(LN(2)/2)*V127*Y127*VLOOKUP('Données projet'!$B$9,Paramètres!$A$1:$I$89,3,0)*0.475*44/12</f>
        <v>5.6776820744920225E-13</v>
      </c>
      <c r="AC127" s="22">
        <f t="shared" si="57"/>
        <v>19.801635743449683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 t="e">
        <f>AI127*VLOOKUP('Données projet'!$B$10,Paramètres!$A$1:$I$89,3,0)*VLOOKUP('Données projet'!$B$10,Paramètres!$A$1:$I$89,5,0)</f>
        <v>#N/A</v>
      </c>
      <c r="AK127" s="13" t="e">
        <f t="shared" si="89"/>
        <v>#N/A</v>
      </c>
      <c r="AL127" s="20" t="e">
        <f t="shared" si="58"/>
        <v>#N/A</v>
      </c>
      <c r="AM127" s="59" t="e">
        <f t="shared" si="59"/>
        <v>#N/A</v>
      </c>
      <c r="AN127" s="59" t="e">
        <f ca="1">AVERAGE(OFFSET($AM$3,0,0,'Données projet'!$E$10+1,1))-AVERAGE(OFFSET($H$3,0,0,'Données projet'!$E$10+1,1))</f>
        <v>#N/A</v>
      </c>
      <c r="AO127" s="59" t="e">
        <f t="shared" si="90"/>
        <v>#N/A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 t="e">
        <f>EXP(-LN(2)/35)*AU126+(1-EXP(-LN(2)/35))/(LN(2)/35)*AQ127*AR127*VLOOKUP('Données projet'!$B$10,Paramètres!$A$1:$I$89,3,0)*0.475*44/12</f>
        <v>#N/A</v>
      </c>
      <c r="AV127" s="21" t="e">
        <f>EXP(-LN(2)/25)*AV126+(1-EXP(-LN(2)/25))/(LN(2)/25)*Calculateur!AQ127*Calculateur!AS127*VLOOKUP('Données projet'!$B$10,Paramètres!$A$1:$I$89,3,0)*0.475*44/12</f>
        <v>#N/A</v>
      </c>
      <c r="AW127" s="21" t="e">
        <f>EXP(-LN(2)/2)*AW126+(1-EXP(-LN(2)/2))/(LN(2)/2)*AQ127*AT127*VLOOKUP('Données projet'!$B$10,Paramètres!$A$1:$I$89,3,0)*0.475*44/12</f>
        <v>#N/A</v>
      </c>
      <c r="AX127" s="21" t="e">
        <f t="shared" si="60"/>
        <v>#N/A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1">
        <f t="shared" si="86"/>
        <v>29.601769319956595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67">
        <f t="shared" si="56"/>
        <v>501.80933156559138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-5.6843418860808015E-14</v>
      </c>
      <c r="O128" s="13">
        <f>N128*VLOOKUP('Données projet'!$B$9,Paramètres!$A$1:$I$89,3,0)*VLOOKUP('Données projet'!$B$9,Paramètres!$A$1:$I$89,5,0)</f>
        <v>-3.3992364478763198E-14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161.92866721009744</v>
      </c>
      <c r="T128" s="59">
        <f t="shared" si="88"/>
        <v>327.23695023676987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17.689874686417976</v>
      </c>
      <c r="AA128" s="21">
        <f>EXP(-LN(2)/25)*AA127+(1-EXP(-LN(2)/25))/(LN(2)/25)*Calculateur!V128*Calculateur!X128*VLOOKUP('Données projet'!$B$9,Paramètres!$A$1:$I$89,3,0)*0.475*44/12</f>
        <v>1.7098642652838556</v>
      </c>
      <c r="AB128" s="21">
        <f>EXP(-LN(2)/2)*AB127+(1-EXP(-LN(2)/2))/(LN(2)/2)*V128*Y128*VLOOKUP('Données projet'!$B$9,Paramètres!$A$1:$I$89,3,0)*0.475*44/12</f>
        <v>4.0147274962946138E-13</v>
      </c>
      <c r="AC128" s="22">
        <f t="shared" si="57"/>
        <v>19.399738951702233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 t="e">
        <f>AI128*VLOOKUP('Données projet'!$B$10,Paramètres!$A$1:$I$89,3,0)*VLOOKUP('Données projet'!$B$10,Paramètres!$A$1:$I$89,5,0)</f>
        <v>#N/A</v>
      </c>
      <c r="AK128" s="13" t="e">
        <f t="shared" si="89"/>
        <v>#N/A</v>
      </c>
      <c r="AL128" s="20" t="e">
        <f t="shared" si="58"/>
        <v>#N/A</v>
      </c>
      <c r="AM128" s="59" t="e">
        <f t="shared" si="59"/>
        <v>#N/A</v>
      </c>
      <c r="AN128" s="59" t="e">
        <f ca="1">AVERAGE(OFFSET($AM$3,0,0,'Données projet'!$E$10+1,1))-AVERAGE(OFFSET($H$3,0,0,'Données projet'!$E$10+1,1))</f>
        <v>#N/A</v>
      </c>
      <c r="AO128" s="59" t="e">
        <f t="shared" si="90"/>
        <v>#N/A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 t="e">
        <f>EXP(-LN(2)/35)*AU127+(1-EXP(-LN(2)/35))/(LN(2)/35)*AQ128*AR128*VLOOKUP('Données projet'!$B$10,Paramètres!$A$1:$I$89,3,0)*0.475*44/12</f>
        <v>#N/A</v>
      </c>
      <c r="AV128" s="21" t="e">
        <f>EXP(-LN(2)/25)*AV127+(1-EXP(-LN(2)/25))/(LN(2)/25)*Calculateur!AQ128*Calculateur!AS128*VLOOKUP('Données projet'!$B$10,Paramètres!$A$1:$I$89,3,0)*0.475*44/12</f>
        <v>#N/A</v>
      </c>
      <c r="AW128" s="21" t="e">
        <f>EXP(-LN(2)/2)*AW127+(1-EXP(-LN(2)/2))/(LN(2)/2)*AQ128*AT128*VLOOKUP('Données projet'!$B$10,Paramètres!$A$1:$I$89,3,0)*0.475*44/12</f>
        <v>#N/A</v>
      </c>
      <c r="AX128" s="21" t="e">
        <f t="shared" si="60"/>
        <v>#N/A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1">
        <f t="shared" si="86"/>
        <v>29.810921169420254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67">
        <f t="shared" si="56"/>
        <v>503.72229437007394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-5.6843418860808015E-14</v>
      </c>
      <c r="O129" s="13">
        <f>N129*VLOOKUP('Données projet'!$B$9,Paramètres!$A$1:$I$89,3,0)*VLOOKUP('Données projet'!$B$9,Paramètres!$A$1:$I$89,5,0)</f>
        <v>-3.3992364478763198E-14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161.92866721009744</v>
      </c>
      <c r="T129" s="59">
        <f t="shared" si="88"/>
        <v>327.23695023676987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17.342987033575479</v>
      </c>
      <c r="AA129" s="21">
        <f>EXP(-LN(2)/25)*AA128+(1-EXP(-LN(2)/25))/(LN(2)/25)*Calculateur!V129*Calculateur!X129*VLOOKUP('Données projet'!$B$9,Paramètres!$A$1:$I$89,3,0)*0.475*44/12</f>
        <v>1.6631079370318147</v>
      </c>
      <c r="AB129" s="21">
        <f>EXP(-LN(2)/2)*AB128+(1-EXP(-LN(2)/2))/(LN(2)/2)*V129*Y129*VLOOKUP('Données projet'!$B$9,Paramètres!$A$1:$I$89,3,0)*0.475*44/12</f>
        <v>2.8388410372460113E-13</v>
      </c>
      <c r="AC129" s="22">
        <f t="shared" si="57"/>
        <v>19.006094970607577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 t="e">
        <f>AI129*VLOOKUP('Données projet'!$B$10,Paramètres!$A$1:$I$89,3,0)*VLOOKUP('Données projet'!$B$10,Paramètres!$A$1:$I$89,5,0)</f>
        <v>#N/A</v>
      </c>
      <c r="AK129" s="13" t="e">
        <f t="shared" si="89"/>
        <v>#N/A</v>
      </c>
      <c r="AL129" s="20" t="e">
        <f t="shared" si="58"/>
        <v>#N/A</v>
      </c>
      <c r="AM129" s="59" t="e">
        <f t="shared" si="59"/>
        <v>#N/A</v>
      </c>
      <c r="AN129" s="59" t="e">
        <f ca="1">AVERAGE(OFFSET($AM$3,0,0,'Données projet'!$E$10+1,1))-AVERAGE(OFFSET($H$3,0,0,'Données projet'!$E$10+1,1))</f>
        <v>#N/A</v>
      </c>
      <c r="AO129" s="59" t="e">
        <f t="shared" si="90"/>
        <v>#N/A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 t="e">
        <f>EXP(-LN(2)/35)*AU128+(1-EXP(-LN(2)/35))/(LN(2)/35)*AQ129*AR129*VLOOKUP('Données projet'!$B$10,Paramètres!$A$1:$I$89,3,0)*0.475*44/12</f>
        <v>#N/A</v>
      </c>
      <c r="AV129" s="21" t="e">
        <f>EXP(-LN(2)/25)*AV128+(1-EXP(-LN(2)/25))/(LN(2)/25)*Calculateur!AQ129*Calculateur!AS129*VLOOKUP('Données projet'!$B$10,Paramètres!$A$1:$I$89,3,0)*0.475*44/12</f>
        <v>#N/A</v>
      </c>
      <c r="AW129" s="21" t="e">
        <f>EXP(-LN(2)/2)*AW128+(1-EXP(-LN(2)/2))/(LN(2)/2)*AQ129*AT129*VLOOKUP('Données projet'!$B$10,Paramètres!$A$1:$I$89,3,0)*0.475*44/12</f>
        <v>#N/A</v>
      </c>
      <c r="AX129" s="21" t="e">
        <f t="shared" si="60"/>
        <v>#N/A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1">
        <f t="shared" si="86"/>
        <v>30.019879889489037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67">
        <f t="shared" si="56"/>
        <v>505.63492080752712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-5.6843418860808015E-14</v>
      </c>
      <c r="O130" s="13">
        <f>N130*VLOOKUP('Données projet'!$B$9,Paramètres!$A$1:$I$89,3,0)*VLOOKUP('Données projet'!$B$9,Paramètres!$A$1:$I$89,5,0)</f>
        <v>-3.3992364478763198E-14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161.92866721009744</v>
      </c>
      <c r="T130" s="59">
        <f t="shared" si="88"/>
        <v>327.23695023676987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17.002901636024646</v>
      </c>
      <c r="AA130" s="21">
        <f>EXP(-LN(2)/25)*AA129+(1-EXP(-LN(2)/25))/(LN(2)/25)*Calculateur!V130*Calculateur!X130*VLOOKUP('Données projet'!$B$9,Paramètres!$A$1:$I$89,3,0)*0.475*44/12</f>
        <v>1.6176301630346344</v>
      </c>
      <c r="AB130" s="21">
        <f>EXP(-LN(2)/2)*AB129+(1-EXP(-LN(2)/2))/(LN(2)/2)*V130*Y130*VLOOKUP('Données projet'!$B$9,Paramètres!$A$1:$I$89,3,0)*0.475*44/12</f>
        <v>2.0073637481473069E-13</v>
      </c>
      <c r="AC130" s="22">
        <f t="shared" si="57"/>
        <v>18.620531799059481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 t="e">
        <f>AI130*VLOOKUP('Données projet'!$B$10,Paramètres!$A$1:$I$89,3,0)*VLOOKUP('Données projet'!$B$10,Paramètres!$A$1:$I$89,5,0)</f>
        <v>#N/A</v>
      </c>
      <c r="AK130" s="13" t="e">
        <f t="shared" si="89"/>
        <v>#N/A</v>
      </c>
      <c r="AL130" s="20" t="e">
        <f t="shared" si="58"/>
        <v>#N/A</v>
      </c>
      <c r="AM130" s="59" t="e">
        <f t="shared" si="59"/>
        <v>#N/A</v>
      </c>
      <c r="AN130" s="59" t="e">
        <f ca="1">AVERAGE(OFFSET($AM$3,0,0,'Données projet'!$E$10+1,1))-AVERAGE(OFFSET($H$3,0,0,'Données projet'!$E$10+1,1))</f>
        <v>#N/A</v>
      </c>
      <c r="AO130" s="59" t="e">
        <f t="shared" si="90"/>
        <v>#N/A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 t="e">
        <f>EXP(-LN(2)/35)*AU129+(1-EXP(-LN(2)/35))/(LN(2)/35)*AQ130*AR130*VLOOKUP('Données projet'!$B$10,Paramètres!$A$1:$I$89,3,0)*0.475*44/12</f>
        <v>#N/A</v>
      </c>
      <c r="AV130" s="21" t="e">
        <f>EXP(-LN(2)/25)*AV129+(1-EXP(-LN(2)/25))/(LN(2)/25)*Calculateur!AQ130*Calculateur!AS130*VLOOKUP('Données projet'!$B$10,Paramètres!$A$1:$I$89,3,0)*0.475*44/12</f>
        <v>#N/A</v>
      </c>
      <c r="AW130" s="21" t="e">
        <f>EXP(-LN(2)/2)*AW129+(1-EXP(-LN(2)/2))/(LN(2)/2)*AQ130*AT130*VLOOKUP('Données projet'!$B$10,Paramètres!$A$1:$I$89,3,0)*0.475*44/12</f>
        <v>#N/A</v>
      </c>
      <c r="AX130" s="21" t="e">
        <f t="shared" si="60"/>
        <v>#N/A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1">
        <f t="shared" si="86"/>
        <v>30.228647177134249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67">
        <f t="shared" si="56"/>
        <v>507.5472138335092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-5.6843418860808015E-14</v>
      </c>
      <c r="O131" s="13">
        <f>N131*VLOOKUP('Données projet'!$B$9,Paramètres!$A$1:$I$89,3,0)*VLOOKUP('Données projet'!$B$9,Paramètres!$A$1:$I$89,5,0)</f>
        <v>-3.3992364478763198E-14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161.92866721009744</v>
      </c>
      <c r="T131" s="59">
        <f t="shared" si="88"/>
        <v>327.23695023676987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16.669485105688175</v>
      </c>
      <c r="AA131" s="21">
        <f>EXP(-LN(2)/25)*AA130+(1-EXP(-LN(2)/25))/(LN(2)/25)*Calculateur!V131*Calculateur!X131*VLOOKUP('Données projet'!$B$9,Paramètres!$A$1:$I$89,3,0)*0.475*44/12</f>
        <v>1.5733959811589791</v>
      </c>
      <c r="AB131" s="21">
        <f>EXP(-LN(2)/2)*AB130+(1-EXP(-LN(2)/2))/(LN(2)/2)*V131*Y131*VLOOKUP('Données projet'!$B$9,Paramètres!$A$1:$I$89,3,0)*0.475*44/12</f>
        <v>1.4194205186230056E-13</v>
      </c>
      <c r="AC131" s="22">
        <f t="shared" si="57"/>
        <v>18.242881086847294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 t="e">
        <f>AI131*VLOOKUP('Données projet'!$B$10,Paramètres!$A$1:$I$89,3,0)*VLOOKUP('Données projet'!$B$10,Paramètres!$A$1:$I$89,5,0)</f>
        <v>#N/A</v>
      </c>
      <c r="AK131" s="13" t="e">
        <f t="shared" si="89"/>
        <v>#N/A</v>
      </c>
      <c r="AL131" s="20" t="e">
        <f t="shared" si="58"/>
        <v>#N/A</v>
      </c>
      <c r="AM131" s="59" t="e">
        <f t="shared" si="59"/>
        <v>#N/A</v>
      </c>
      <c r="AN131" s="59" t="e">
        <f ca="1">AVERAGE(OFFSET($AM$3,0,0,'Données projet'!$E$10+1,1))-AVERAGE(OFFSET($H$3,0,0,'Données projet'!$E$10+1,1))</f>
        <v>#N/A</v>
      </c>
      <c r="AO131" s="59" t="e">
        <f t="shared" si="90"/>
        <v>#N/A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 t="e">
        <f>EXP(-LN(2)/35)*AU130+(1-EXP(-LN(2)/35))/(LN(2)/35)*AQ131*AR131*VLOOKUP('Données projet'!$B$10,Paramètres!$A$1:$I$89,3,0)*0.475*44/12</f>
        <v>#N/A</v>
      </c>
      <c r="AV131" s="21" t="e">
        <f>EXP(-LN(2)/25)*AV130+(1-EXP(-LN(2)/25))/(LN(2)/25)*Calculateur!AQ131*Calculateur!AS131*VLOOKUP('Données projet'!$B$10,Paramètres!$A$1:$I$89,3,0)*0.475*44/12</f>
        <v>#N/A</v>
      </c>
      <c r="AW131" s="21" t="e">
        <f>EXP(-LN(2)/2)*AW130+(1-EXP(-LN(2)/2))/(LN(2)/2)*AQ131*AT131*VLOOKUP('Données projet'!$B$10,Paramètres!$A$1:$I$89,3,0)*0.475*44/12</f>
        <v>#N/A</v>
      </c>
      <c r="AX131" s="21" t="e">
        <f t="shared" si="60"/>
        <v>#N/A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1">
        <f t="shared" si="86"/>
        <v>30.437224701280673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67">
        <f t="shared" ref="H132:H195" si="110">(B132+E132+F132)*44/12+(C132+D132)*0.475*44/12</f>
        <v>509.45917635473086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-5.6843418860808015E-14</v>
      </c>
      <c r="O132" s="13">
        <f>N132*VLOOKUP('Données projet'!$B$9,Paramètres!$A$1:$I$89,3,0)*VLOOKUP('Données projet'!$B$9,Paramètres!$A$1:$I$89,5,0)</f>
        <v>-3.3992364478763198E-14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161.92866721009744</v>
      </c>
      <c r="T132" s="59">
        <f t="shared" si="88"/>
        <v>327.23695023676987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16.3426066701476</v>
      </c>
      <c r="AA132" s="21">
        <f>EXP(-LN(2)/25)*AA131+(1-EXP(-LN(2)/25))/(LN(2)/25)*Calculateur!V132*Calculateur!X132*VLOOKUP('Données projet'!$B$9,Paramètres!$A$1:$I$89,3,0)*0.475*44/12</f>
        <v>1.5303713853128882</v>
      </c>
      <c r="AB132" s="21">
        <f>EXP(-LN(2)/2)*AB131+(1-EXP(-LN(2)/2))/(LN(2)/2)*V132*Y132*VLOOKUP('Données projet'!$B$9,Paramètres!$A$1:$I$89,3,0)*0.475*44/12</f>
        <v>1.0036818740736535E-13</v>
      </c>
      <c r="AC132" s="22">
        <f t="shared" ref="AC132:AC153" si="111">SUM(Z132:AB132)</f>
        <v>17.872978055460589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 t="e">
        <f>AI132*VLOOKUP('Données projet'!$B$10,Paramètres!$A$1:$I$89,3,0)*VLOOKUP('Données projet'!$B$10,Paramètres!$A$1:$I$89,5,0)</f>
        <v>#N/A</v>
      </c>
      <c r="AK132" s="13" t="e">
        <f t="shared" si="89"/>
        <v>#N/A</v>
      </c>
      <c r="AL132" s="20" t="e">
        <f t="shared" ref="AL132:AL153" si="112">(AJ132+AK132)*0.475*44/12</f>
        <v>#N/A</v>
      </c>
      <c r="AM132" s="59" t="e">
        <f t="shared" ref="AM132:AM195" si="113">AL132+(AD132+AE132)*44/12</f>
        <v>#N/A</v>
      </c>
      <c r="AN132" s="59" t="e">
        <f ca="1">AVERAGE(OFFSET($AM$3,0,0,'Données projet'!$E$10+1,1))-AVERAGE(OFFSET($H$3,0,0,'Données projet'!$E$10+1,1))</f>
        <v>#N/A</v>
      </c>
      <c r="AO132" s="59" t="e">
        <f t="shared" si="90"/>
        <v>#N/A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 t="e">
        <f>EXP(-LN(2)/35)*AU131+(1-EXP(-LN(2)/35))/(LN(2)/35)*AQ132*AR132*VLOOKUP('Données projet'!$B$10,Paramètres!$A$1:$I$89,3,0)*0.475*44/12</f>
        <v>#N/A</v>
      </c>
      <c r="AV132" s="21" t="e">
        <f>EXP(-LN(2)/25)*AV131+(1-EXP(-LN(2)/25))/(LN(2)/25)*Calculateur!AQ132*Calculateur!AS132*VLOOKUP('Données projet'!$B$10,Paramètres!$A$1:$I$89,3,0)*0.475*44/12</f>
        <v>#N/A</v>
      </c>
      <c r="AW132" s="21" t="e">
        <f>EXP(-LN(2)/2)*AW131+(1-EXP(-LN(2)/2))/(LN(2)/2)*AQ132*AT132*VLOOKUP('Données projet'!$B$10,Paramètres!$A$1:$I$89,3,0)*0.475*44/12</f>
        <v>#N/A</v>
      </c>
      <c r="AX132" s="21" t="e">
        <f t="shared" ref="AX132:AX153" si="114">SUM(AU132:AW132)</f>
        <v>#N/A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1">
        <f t="shared" ref="D133:D196" si="140">IFERROR(EXP(-1.0587+0.8836*LN(C133)+0.284),0)</f>
        <v>30.645614103483904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67">
        <f t="shared" si="110"/>
        <v>511.37081123023484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-5.6843418860808015E-14</v>
      </c>
      <c r="O133" s="13">
        <f>N133*VLOOKUP('Données projet'!$B$9,Paramètres!$A$1:$I$89,3,0)*VLOOKUP('Données projet'!$B$9,Paramètres!$A$1:$I$89,5,0)</f>
        <v>-3.3992364478763198E-14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161.92866721009744</v>
      </c>
      <c r="T133" s="59">
        <f t="shared" ref="T133:T196" si="142">$T$3</f>
        <v>327.23695023676987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16.022138121351816</v>
      </c>
      <c r="AA133" s="21">
        <f>EXP(-LN(2)/25)*AA132+(1-EXP(-LN(2)/25))/(LN(2)/25)*Calculateur!V133*Calculateur!X133*VLOOKUP('Données projet'!$B$9,Paramètres!$A$1:$I$89,3,0)*0.475*44/12</f>
        <v>1.4885232993027737</v>
      </c>
      <c r="AB133" s="21">
        <f>EXP(-LN(2)/2)*AB132+(1-EXP(-LN(2)/2))/(LN(2)/2)*V133*Y133*VLOOKUP('Données projet'!$B$9,Paramètres!$A$1:$I$89,3,0)*0.475*44/12</f>
        <v>7.0971025931150282E-14</v>
      </c>
      <c r="AC133" s="22">
        <f t="shared" si="111"/>
        <v>17.51066142065466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 t="e">
        <f>AI133*VLOOKUP('Données projet'!$B$10,Paramètres!$A$1:$I$89,3,0)*VLOOKUP('Données projet'!$B$10,Paramètres!$A$1:$I$89,5,0)</f>
        <v>#N/A</v>
      </c>
      <c r="AK133" s="13" t="e">
        <f t="shared" ref="AK133:AK153" si="143">EXP(-1.0587+0.8836*LN(AJ133)+0.284)</f>
        <v>#N/A</v>
      </c>
      <c r="AL133" s="20" t="e">
        <f t="shared" si="112"/>
        <v>#N/A</v>
      </c>
      <c r="AM133" s="59" t="e">
        <f t="shared" si="113"/>
        <v>#N/A</v>
      </c>
      <c r="AN133" s="59" t="e">
        <f ca="1">AVERAGE(OFFSET($AM$3,0,0,'Données projet'!$E$10+1,1))-AVERAGE(OFFSET($H$3,0,0,'Données projet'!$E$10+1,1))</f>
        <v>#N/A</v>
      </c>
      <c r="AO133" s="59" t="e">
        <f t="shared" ref="AO133:AO196" si="144">$AO$3</f>
        <v>#N/A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 t="e">
        <f>EXP(-LN(2)/35)*AU132+(1-EXP(-LN(2)/35))/(LN(2)/35)*AQ133*AR133*VLOOKUP('Données projet'!$B$10,Paramètres!$A$1:$I$89,3,0)*0.475*44/12</f>
        <v>#N/A</v>
      </c>
      <c r="AV133" s="21" t="e">
        <f>EXP(-LN(2)/25)*AV132+(1-EXP(-LN(2)/25))/(LN(2)/25)*Calculateur!AQ133*Calculateur!AS133*VLOOKUP('Données projet'!$B$10,Paramètres!$A$1:$I$89,3,0)*0.475*44/12</f>
        <v>#N/A</v>
      </c>
      <c r="AW133" s="21" t="e">
        <f>EXP(-LN(2)/2)*AW132+(1-EXP(-LN(2)/2))/(LN(2)/2)*AQ133*AT133*VLOOKUP('Données projet'!$B$10,Paramètres!$A$1:$I$89,3,0)*0.475*44/12</f>
        <v>#N/A</v>
      </c>
      <c r="AX133" s="21" t="e">
        <f t="shared" si="114"/>
        <v>#N/A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1">
        <f t="shared" si="140"/>
        <v>30.853816998586289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67">
        <f t="shared" si="110"/>
        <v>513.28212127253823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-5.6843418860808015E-14</v>
      </c>
      <c r="O134" s="13">
        <f>N134*VLOOKUP('Données projet'!$B$9,Paramètres!$A$1:$I$89,3,0)*VLOOKUP('Données projet'!$B$9,Paramètres!$A$1:$I$89,5,0)</f>
        <v>-3.3992364478763198E-14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161.92866721009744</v>
      </c>
      <c r="T134" s="59">
        <f t="shared" si="142"/>
        <v>327.23695023676987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15.707953765331402</v>
      </c>
      <c r="AA134" s="21">
        <f>EXP(-LN(2)/25)*AA133+(1-EXP(-LN(2)/25))/(LN(2)/25)*Calculateur!V134*Calculateur!X134*VLOOKUP('Données projet'!$B$9,Paramètres!$A$1:$I$89,3,0)*0.475*44/12</f>
        <v>1.4478195514053012</v>
      </c>
      <c r="AB134" s="21">
        <f>EXP(-LN(2)/2)*AB133+(1-EXP(-LN(2)/2))/(LN(2)/2)*V134*Y134*VLOOKUP('Données projet'!$B$9,Paramètres!$A$1:$I$89,3,0)*0.475*44/12</f>
        <v>5.0184093703682673E-14</v>
      </c>
      <c r="AC134" s="22">
        <f t="shared" si="111"/>
        <v>17.155773316736752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 t="e">
        <f>AI134*VLOOKUP('Données projet'!$B$10,Paramètres!$A$1:$I$89,3,0)*VLOOKUP('Données projet'!$B$10,Paramètres!$A$1:$I$89,5,0)</f>
        <v>#N/A</v>
      </c>
      <c r="AK134" s="13" t="e">
        <f t="shared" si="143"/>
        <v>#N/A</v>
      </c>
      <c r="AL134" s="20" t="e">
        <f t="shared" si="112"/>
        <v>#N/A</v>
      </c>
      <c r="AM134" s="59" t="e">
        <f t="shared" si="113"/>
        <v>#N/A</v>
      </c>
      <c r="AN134" s="59" t="e">
        <f ca="1">AVERAGE(OFFSET($AM$3,0,0,'Données projet'!$E$10+1,1))-AVERAGE(OFFSET($H$3,0,0,'Données projet'!$E$10+1,1))</f>
        <v>#N/A</v>
      </c>
      <c r="AO134" s="59" t="e">
        <f t="shared" si="144"/>
        <v>#N/A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 t="e">
        <f>EXP(-LN(2)/35)*AU133+(1-EXP(-LN(2)/35))/(LN(2)/35)*AQ134*AR134*VLOOKUP('Données projet'!$B$10,Paramètres!$A$1:$I$89,3,0)*0.475*44/12</f>
        <v>#N/A</v>
      </c>
      <c r="AV134" s="21" t="e">
        <f>EXP(-LN(2)/25)*AV133+(1-EXP(-LN(2)/25))/(LN(2)/25)*Calculateur!AQ134*Calculateur!AS134*VLOOKUP('Données projet'!$B$10,Paramètres!$A$1:$I$89,3,0)*0.475*44/12</f>
        <v>#N/A</v>
      </c>
      <c r="AW134" s="21" t="e">
        <f>EXP(-LN(2)/2)*AW133+(1-EXP(-LN(2)/2))/(LN(2)/2)*AQ134*AT134*VLOOKUP('Données projet'!$B$10,Paramètres!$A$1:$I$89,3,0)*0.475*44/12</f>
        <v>#N/A</v>
      </c>
      <c r="AX134" s="21" t="e">
        <f t="shared" si="114"/>
        <v>#N/A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1">
        <f t="shared" si="140"/>
        <v>31.061834975351932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67">
        <f t="shared" si="110"/>
        <v>515.19310924873832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-5.6843418860808015E-14</v>
      </c>
      <c r="O135" s="13">
        <f>N135*VLOOKUP('Données projet'!$B$9,Paramètres!$A$1:$I$89,3,0)*VLOOKUP('Données projet'!$B$9,Paramètres!$A$1:$I$89,5,0)</f>
        <v>-3.3992364478763198E-14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161.92866721009744</v>
      </c>
      <c r="T135" s="59">
        <f t="shared" si="142"/>
        <v>327.23695023676987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15.399930372899014</v>
      </c>
      <c r="AA135" s="21">
        <f>EXP(-LN(2)/25)*AA134+(1-EXP(-LN(2)/25))/(LN(2)/25)*Calculateur!V135*Calculateur!X135*VLOOKUP('Données projet'!$B$9,Paramètres!$A$1:$I$89,3,0)*0.475*44/12</f>
        <v>1.408228849634602</v>
      </c>
      <c r="AB135" s="21">
        <f>EXP(-LN(2)/2)*AB134+(1-EXP(-LN(2)/2))/(LN(2)/2)*V135*Y135*VLOOKUP('Données projet'!$B$9,Paramètres!$A$1:$I$89,3,0)*0.475*44/12</f>
        <v>3.5485512965575141E-14</v>
      </c>
      <c r="AC135" s="22">
        <f t="shared" si="111"/>
        <v>16.808159222533654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 t="e">
        <f>AI135*VLOOKUP('Données projet'!$B$10,Paramètres!$A$1:$I$89,3,0)*VLOOKUP('Données projet'!$B$10,Paramètres!$A$1:$I$89,5,0)</f>
        <v>#N/A</v>
      </c>
      <c r="AK135" s="13" t="e">
        <f t="shared" si="143"/>
        <v>#N/A</v>
      </c>
      <c r="AL135" s="20" t="e">
        <f t="shared" si="112"/>
        <v>#N/A</v>
      </c>
      <c r="AM135" s="59" t="e">
        <f t="shared" si="113"/>
        <v>#N/A</v>
      </c>
      <c r="AN135" s="59" t="e">
        <f ca="1">AVERAGE(OFFSET($AM$3,0,0,'Données projet'!$E$10+1,1))-AVERAGE(OFFSET($H$3,0,0,'Données projet'!$E$10+1,1))</f>
        <v>#N/A</v>
      </c>
      <c r="AO135" s="59" t="e">
        <f t="shared" si="144"/>
        <v>#N/A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 t="e">
        <f>EXP(-LN(2)/35)*AU134+(1-EXP(-LN(2)/35))/(LN(2)/35)*AQ135*AR135*VLOOKUP('Données projet'!$B$10,Paramètres!$A$1:$I$89,3,0)*0.475*44/12</f>
        <v>#N/A</v>
      </c>
      <c r="AV135" s="21" t="e">
        <f>EXP(-LN(2)/25)*AV134+(1-EXP(-LN(2)/25))/(LN(2)/25)*Calculateur!AQ135*Calculateur!AS135*VLOOKUP('Données projet'!$B$10,Paramètres!$A$1:$I$89,3,0)*0.475*44/12</f>
        <v>#N/A</v>
      </c>
      <c r="AW135" s="21" t="e">
        <f>EXP(-LN(2)/2)*AW134+(1-EXP(-LN(2)/2))/(LN(2)/2)*AQ135*AT135*VLOOKUP('Données projet'!$B$10,Paramètres!$A$1:$I$89,3,0)*0.475*44/12</f>
        <v>#N/A</v>
      </c>
      <c r="AX135" s="21" t="e">
        <f t="shared" si="114"/>
        <v>#N/A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1">
        <f t="shared" si="140"/>
        <v>31.26966959708238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67">
        <f t="shared" si="110"/>
        <v>517.10377788158553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-5.6843418860808015E-14</v>
      </c>
      <c r="O136" s="13">
        <f>N136*VLOOKUP('Données projet'!$B$9,Paramètres!$A$1:$I$89,3,0)*VLOOKUP('Données projet'!$B$9,Paramètres!$A$1:$I$89,5,0)</f>
        <v>-3.3992364478763198E-14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161.92866721009744</v>
      </c>
      <c r="T136" s="59">
        <f t="shared" si="142"/>
        <v>327.23695023676987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15.097947131316507</v>
      </c>
      <c r="AA136" s="21">
        <f>EXP(-LN(2)/25)*AA135+(1-EXP(-LN(2)/25))/(LN(2)/25)*Calculateur!V136*Calculateur!X136*VLOOKUP('Données projet'!$B$9,Paramètres!$A$1:$I$89,3,0)*0.475*44/12</f>
        <v>1.3697207576858073</v>
      </c>
      <c r="AB136" s="21">
        <f>EXP(-LN(2)/2)*AB135+(1-EXP(-LN(2)/2))/(LN(2)/2)*V136*Y136*VLOOKUP('Données projet'!$B$9,Paramètres!$A$1:$I$89,3,0)*0.475*44/12</f>
        <v>2.5092046851841336E-14</v>
      </c>
      <c r="AC136" s="22">
        <f t="shared" si="111"/>
        <v>16.467667889002339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 t="e">
        <f>AI136*VLOOKUP('Données projet'!$B$10,Paramètres!$A$1:$I$89,3,0)*VLOOKUP('Données projet'!$B$10,Paramètres!$A$1:$I$89,5,0)</f>
        <v>#N/A</v>
      </c>
      <c r="AK136" s="13" t="e">
        <f t="shared" si="143"/>
        <v>#N/A</v>
      </c>
      <c r="AL136" s="20" t="e">
        <f t="shared" si="112"/>
        <v>#N/A</v>
      </c>
      <c r="AM136" s="59" t="e">
        <f t="shared" si="113"/>
        <v>#N/A</v>
      </c>
      <c r="AN136" s="59" t="e">
        <f ca="1">AVERAGE(OFFSET($AM$3,0,0,'Données projet'!$E$10+1,1))-AVERAGE(OFFSET($H$3,0,0,'Données projet'!$E$10+1,1))</f>
        <v>#N/A</v>
      </c>
      <c r="AO136" s="59" t="e">
        <f t="shared" si="144"/>
        <v>#N/A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 t="e">
        <f>EXP(-LN(2)/35)*AU135+(1-EXP(-LN(2)/35))/(LN(2)/35)*AQ136*AR136*VLOOKUP('Données projet'!$B$10,Paramètres!$A$1:$I$89,3,0)*0.475*44/12</f>
        <v>#N/A</v>
      </c>
      <c r="AV136" s="21" t="e">
        <f>EXP(-LN(2)/25)*AV135+(1-EXP(-LN(2)/25))/(LN(2)/25)*Calculateur!AQ136*Calculateur!AS136*VLOOKUP('Données projet'!$B$10,Paramètres!$A$1:$I$89,3,0)*0.475*44/12</f>
        <v>#N/A</v>
      </c>
      <c r="AW136" s="21" t="e">
        <f>EXP(-LN(2)/2)*AW135+(1-EXP(-LN(2)/2))/(LN(2)/2)*AQ136*AT136*VLOOKUP('Données projet'!$B$10,Paramètres!$A$1:$I$89,3,0)*0.475*44/12</f>
        <v>#N/A</v>
      </c>
      <c r="AX136" s="21" t="e">
        <f t="shared" si="114"/>
        <v>#N/A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1">
        <f t="shared" si="140"/>
        <v>31.477322402212781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67">
        <f t="shared" si="110"/>
        <v>519.01412985052093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-5.6843418860808015E-14</v>
      </c>
      <c r="O137" s="13">
        <f>N137*VLOOKUP('Données projet'!$B$9,Paramètres!$A$1:$I$89,3,0)*VLOOKUP('Données projet'!$B$9,Paramètres!$A$1:$I$89,5,0)</f>
        <v>-3.3992364478763198E-14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161.92866721009744</v>
      </c>
      <c r="T137" s="59">
        <f t="shared" si="142"/>
        <v>327.23695023676987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14.801885596909843</v>
      </c>
      <c r="AA137" s="21">
        <f>EXP(-LN(2)/25)*AA136+(1-EXP(-LN(2)/25))/(LN(2)/25)*Calculateur!V137*Calculateur!X137*VLOOKUP('Données projet'!$B$9,Paramètres!$A$1:$I$89,3,0)*0.475*44/12</f>
        <v>1.3322656715364047</v>
      </c>
      <c r="AB137" s="21">
        <f>EXP(-LN(2)/2)*AB136+(1-EXP(-LN(2)/2))/(LN(2)/2)*V137*Y137*VLOOKUP('Données projet'!$B$9,Paramètres!$A$1:$I$89,3,0)*0.475*44/12</f>
        <v>1.774275648278757E-14</v>
      </c>
      <c r="AC137" s="22">
        <f t="shared" si="111"/>
        <v>16.134151268446264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 t="e">
        <f>AI137*VLOOKUP('Données projet'!$B$10,Paramètres!$A$1:$I$89,3,0)*VLOOKUP('Données projet'!$B$10,Paramètres!$A$1:$I$89,5,0)</f>
        <v>#N/A</v>
      </c>
      <c r="AK137" s="13" t="e">
        <f t="shared" si="143"/>
        <v>#N/A</v>
      </c>
      <c r="AL137" s="20" t="e">
        <f t="shared" si="112"/>
        <v>#N/A</v>
      </c>
      <c r="AM137" s="59" t="e">
        <f t="shared" si="113"/>
        <v>#N/A</v>
      </c>
      <c r="AN137" s="59" t="e">
        <f ca="1">AVERAGE(OFFSET($AM$3,0,0,'Données projet'!$E$10+1,1))-AVERAGE(OFFSET($H$3,0,0,'Données projet'!$E$10+1,1))</f>
        <v>#N/A</v>
      </c>
      <c r="AO137" s="59" t="e">
        <f t="shared" si="144"/>
        <v>#N/A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 t="e">
        <f>EXP(-LN(2)/35)*AU136+(1-EXP(-LN(2)/35))/(LN(2)/35)*AQ137*AR137*VLOOKUP('Données projet'!$B$10,Paramètres!$A$1:$I$89,3,0)*0.475*44/12</f>
        <v>#N/A</v>
      </c>
      <c r="AV137" s="21" t="e">
        <f>EXP(-LN(2)/25)*AV136+(1-EXP(-LN(2)/25))/(LN(2)/25)*Calculateur!AQ137*Calculateur!AS137*VLOOKUP('Données projet'!$B$10,Paramètres!$A$1:$I$89,3,0)*0.475*44/12</f>
        <v>#N/A</v>
      </c>
      <c r="AW137" s="21" t="e">
        <f>EXP(-LN(2)/2)*AW136+(1-EXP(-LN(2)/2))/(LN(2)/2)*AQ137*AT137*VLOOKUP('Données projet'!$B$10,Paramètres!$A$1:$I$89,3,0)*0.475*44/12</f>
        <v>#N/A</v>
      </c>
      <c r="AX137" s="21" t="e">
        <f t="shared" si="114"/>
        <v>#N/A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1">
        <f t="shared" si="140"/>
        <v>31.68479490489014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67">
        <f t="shared" si="110"/>
        <v>520.9241677926841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-5.6843418860808015E-14</v>
      </c>
      <c r="O138" s="13">
        <f>N138*VLOOKUP('Données projet'!$B$9,Paramètres!$A$1:$I$89,3,0)*VLOOKUP('Données projet'!$B$9,Paramètres!$A$1:$I$89,5,0)</f>
        <v>-3.3992364478763198E-14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161.92866721009744</v>
      </c>
      <c r="T138" s="59">
        <f t="shared" si="142"/>
        <v>327.23695023676987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14.511629648613189</v>
      </c>
      <c r="AA138" s="21">
        <f>EXP(-LN(2)/25)*AA137+(1-EXP(-LN(2)/25))/(LN(2)/25)*Calculateur!V138*Calculateur!X138*VLOOKUP('Données projet'!$B$9,Paramètres!$A$1:$I$89,3,0)*0.475*44/12</f>
        <v>1.2958347966874351</v>
      </c>
      <c r="AB138" s="21">
        <f>EXP(-LN(2)/2)*AB137+(1-EXP(-LN(2)/2))/(LN(2)/2)*V138*Y138*VLOOKUP('Données projet'!$B$9,Paramètres!$A$1:$I$89,3,0)*0.475*44/12</f>
        <v>1.2546023425920668E-14</v>
      </c>
      <c r="AC138" s="22">
        <f t="shared" si="111"/>
        <v>15.807464445300637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 t="e">
        <f>AI138*VLOOKUP('Données projet'!$B$10,Paramètres!$A$1:$I$89,3,0)*VLOOKUP('Données projet'!$B$10,Paramètres!$A$1:$I$89,5,0)</f>
        <v>#N/A</v>
      </c>
      <c r="AK138" s="13" t="e">
        <f t="shared" si="143"/>
        <v>#N/A</v>
      </c>
      <c r="AL138" s="20" t="e">
        <f t="shared" si="112"/>
        <v>#N/A</v>
      </c>
      <c r="AM138" s="59" t="e">
        <f t="shared" si="113"/>
        <v>#N/A</v>
      </c>
      <c r="AN138" s="59" t="e">
        <f ca="1">AVERAGE(OFFSET($AM$3,0,0,'Données projet'!$E$10+1,1))-AVERAGE(OFFSET($H$3,0,0,'Données projet'!$E$10+1,1))</f>
        <v>#N/A</v>
      </c>
      <c r="AO138" s="59" t="e">
        <f t="shared" si="144"/>
        <v>#N/A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 t="e">
        <f>EXP(-LN(2)/35)*AU137+(1-EXP(-LN(2)/35))/(LN(2)/35)*AQ138*AR138*VLOOKUP('Données projet'!$B$10,Paramètres!$A$1:$I$89,3,0)*0.475*44/12</f>
        <v>#N/A</v>
      </c>
      <c r="AV138" s="21" t="e">
        <f>EXP(-LN(2)/25)*AV137+(1-EXP(-LN(2)/25))/(LN(2)/25)*Calculateur!AQ138*Calculateur!AS138*VLOOKUP('Données projet'!$B$10,Paramètres!$A$1:$I$89,3,0)*0.475*44/12</f>
        <v>#N/A</v>
      </c>
      <c r="AW138" s="21" t="e">
        <f>EXP(-LN(2)/2)*AW137+(1-EXP(-LN(2)/2))/(LN(2)/2)*AQ138*AT138*VLOOKUP('Données projet'!$B$10,Paramètres!$A$1:$I$89,3,0)*0.475*44/12</f>
        <v>#N/A</v>
      </c>
      <c r="AX138" s="21" t="e">
        <f t="shared" si="114"/>
        <v>#N/A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1">
        <f t="shared" si="140"/>
        <v>31.892088595533707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67">
        <f t="shared" si="110"/>
        <v>522.83389430388831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-5.6843418860808015E-14</v>
      </c>
      <c r="O139" s="13">
        <f>N139*VLOOKUP('Données projet'!$B$9,Paramètres!$A$1:$I$89,3,0)*VLOOKUP('Données projet'!$B$9,Paramètres!$A$1:$I$89,5,0)</f>
        <v>-3.3992364478763198E-14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161.92866721009744</v>
      </c>
      <c r="T139" s="59">
        <f t="shared" si="142"/>
        <v>327.23695023676987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14.227065442423985</v>
      </c>
      <c r="AA139" s="21">
        <f>EXP(-LN(2)/25)*AA138+(1-EXP(-LN(2)/25))/(LN(2)/25)*Calculateur!V139*Calculateur!X139*VLOOKUP('Données projet'!$B$9,Paramètres!$A$1:$I$89,3,0)*0.475*44/12</f>
        <v>1.2604001260270268</v>
      </c>
      <c r="AB139" s="21">
        <f>EXP(-LN(2)/2)*AB138+(1-EXP(-LN(2)/2))/(LN(2)/2)*V139*Y139*VLOOKUP('Données projet'!$B$9,Paramètres!$A$1:$I$89,3,0)*0.475*44/12</f>
        <v>8.8713782413937852E-15</v>
      </c>
      <c r="AC139" s="22">
        <f t="shared" si="111"/>
        <v>15.48746556845102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 t="e">
        <f>AI139*VLOOKUP('Données projet'!$B$10,Paramètres!$A$1:$I$89,3,0)*VLOOKUP('Données projet'!$B$10,Paramètres!$A$1:$I$89,5,0)</f>
        <v>#N/A</v>
      </c>
      <c r="AK139" s="13" t="e">
        <f t="shared" si="143"/>
        <v>#N/A</v>
      </c>
      <c r="AL139" s="20" t="e">
        <f t="shared" si="112"/>
        <v>#N/A</v>
      </c>
      <c r="AM139" s="59" t="e">
        <f t="shared" si="113"/>
        <v>#N/A</v>
      </c>
      <c r="AN139" s="59" t="e">
        <f ca="1">AVERAGE(OFFSET($AM$3,0,0,'Données projet'!$E$10+1,1))-AVERAGE(OFFSET($H$3,0,0,'Données projet'!$E$10+1,1))</f>
        <v>#N/A</v>
      </c>
      <c r="AO139" s="59" t="e">
        <f t="shared" si="144"/>
        <v>#N/A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 t="e">
        <f>EXP(-LN(2)/35)*AU138+(1-EXP(-LN(2)/35))/(LN(2)/35)*AQ139*AR139*VLOOKUP('Données projet'!$B$10,Paramètres!$A$1:$I$89,3,0)*0.475*44/12</f>
        <v>#N/A</v>
      </c>
      <c r="AV139" s="21" t="e">
        <f>EXP(-LN(2)/25)*AV138+(1-EXP(-LN(2)/25))/(LN(2)/25)*Calculateur!AQ139*Calculateur!AS139*VLOOKUP('Données projet'!$B$10,Paramètres!$A$1:$I$89,3,0)*0.475*44/12</f>
        <v>#N/A</v>
      </c>
      <c r="AW139" s="21" t="e">
        <f>EXP(-LN(2)/2)*AW138+(1-EXP(-LN(2)/2))/(LN(2)/2)*AQ139*AT139*VLOOKUP('Données projet'!$B$10,Paramètres!$A$1:$I$89,3,0)*0.475*44/12</f>
        <v>#N/A</v>
      </c>
      <c r="AX139" s="21" t="e">
        <f t="shared" si="114"/>
        <v>#N/A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1">
        <f t="shared" si="140"/>
        <v>32.09920494137846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67">
        <f t="shared" si="110"/>
        <v>524.74331193956789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-5.6843418860808015E-14</v>
      </c>
      <c r="O140" s="13">
        <f>N140*VLOOKUP('Données projet'!$B$9,Paramètres!$A$1:$I$89,3,0)*VLOOKUP('Données projet'!$B$9,Paramètres!$A$1:$I$89,5,0)</f>
        <v>-3.3992364478763198E-14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161.92866721009744</v>
      </c>
      <c r="T140" s="59">
        <f t="shared" si="142"/>
        <v>327.23695023676987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13.948081366751124</v>
      </c>
      <c r="AA140" s="21">
        <f>EXP(-LN(2)/25)*AA139+(1-EXP(-LN(2)/25))/(LN(2)/25)*Calculateur!V140*Calculateur!X140*VLOOKUP('Données projet'!$B$9,Paramètres!$A$1:$I$89,3,0)*0.475*44/12</f>
        <v>1.2259344182992558</v>
      </c>
      <c r="AB140" s="21">
        <f>EXP(-LN(2)/2)*AB139+(1-EXP(-LN(2)/2))/(LN(2)/2)*V140*Y140*VLOOKUP('Données projet'!$B$9,Paramètres!$A$1:$I$89,3,0)*0.475*44/12</f>
        <v>6.2730117129603341E-15</v>
      </c>
      <c r="AC140" s="22">
        <f t="shared" si="111"/>
        <v>15.174015785050386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 t="e">
        <f>AI140*VLOOKUP('Données projet'!$B$10,Paramètres!$A$1:$I$89,3,0)*VLOOKUP('Données projet'!$B$10,Paramètres!$A$1:$I$89,5,0)</f>
        <v>#N/A</v>
      </c>
      <c r="AK140" s="13" t="e">
        <f t="shared" si="143"/>
        <v>#N/A</v>
      </c>
      <c r="AL140" s="20" t="e">
        <f t="shared" si="112"/>
        <v>#N/A</v>
      </c>
      <c r="AM140" s="59" t="e">
        <f t="shared" si="113"/>
        <v>#N/A</v>
      </c>
      <c r="AN140" s="59" t="e">
        <f ca="1">AVERAGE(OFFSET($AM$3,0,0,'Données projet'!$E$10+1,1))-AVERAGE(OFFSET($H$3,0,0,'Données projet'!$E$10+1,1))</f>
        <v>#N/A</v>
      </c>
      <c r="AO140" s="59" t="e">
        <f t="shared" si="144"/>
        <v>#N/A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 t="e">
        <f>EXP(-LN(2)/35)*AU139+(1-EXP(-LN(2)/35))/(LN(2)/35)*AQ140*AR140*VLOOKUP('Données projet'!$B$10,Paramètres!$A$1:$I$89,3,0)*0.475*44/12</f>
        <v>#N/A</v>
      </c>
      <c r="AV140" s="21" t="e">
        <f>EXP(-LN(2)/25)*AV139+(1-EXP(-LN(2)/25))/(LN(2)/25)*Calculateur!AQ140*Calculateur!AS140*VLOOKUP('Données projet'!$B$10,Paramètres!$A$1:$I$89,3,0)*0.475*44/12</f>
        <v>#N/A</v>
      </c>
      <c r="AW140" s="21" t="e">
        <f>EXP(-LN(2)/2)*AW139+(1-EXP(-LN(2)/2))/(LN(2)/2)*AQ140*AT140*VLOOKUP('Données projet'!$B$10,Paramètres!$A$1:$I$89,3,0)*0.475*44/12</f>
        <v>#N/A</v>
      </c>
      <c r="AX140" s="21" t="e">
        <f t="shared" si="114"/>
        <v>#N/A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1">
        <f t="shared" si="140"/>
        <v>32.306145387002346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67">
        <f t="shared" si="110"/>
        <v>526.65242321569622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-5.6843418860808015E-14</v>
      </c>
      <c r="O141" s="13">
        <f>N141*VLOOKUP('Données projet'!$B$9,Paramètres!$A$1:$I$89,3,0)*VLOOKUP('Données projet'!$B$9,Paramètres!$A$1:$I$89,5,0)</f>
        <v>-3.3992364478763198E-14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161.92866721009744</v>
      </c>
      <c r="T141" s="59">
        <f t="shared" si="142"/>
        <v>327.23695023676987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13.674567998638723</v>
      </c>
      <c r="AA141" s="21">
        <f>EXP(-LN(2)/25)*AA140+(1-EXP(-LN(2)/25))/(LN(2)/25)*Calculateur!V141*Calculateur!X141*VLOOKUP('Données projet'!$B$9,Paramètres!$A$1:$I$89,3,0)*0.475*44/12</f>
        <v>1.1924111771617734</v>
      </c>
      <c r="AB141" s="21">
        <f>EXP(-LN(2)/2)*AB140+(1-EXP(-LN(2)/2))/(LN(2)/2)*V141*Y141*VLOOKUP('Données projet'!$B$9,Paramètres!$A$1:$I$89,3,0)*0.475*44/12</f>
        <v>4.4356891206968926E-15</v>
      </c>
      <c r="AC141" s="22">
        <f t="shared" si="111"/>
        <v>14.8669791758005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 t="e">
        <f>AI141*VLOOKUP('Données projet'!$B$10,Paramètres!$A$1:$I$89,3,0)*VLOOKUP('Données projet'!$B$10,Paramètres!$A$1:$I$89,5,0)</f>
        <v>#N/A</v>
      </c>
      <c r="AK141" s="13" t="e">
        <f t="shared" si="143"/>
        <v>#N/A</v>
      </c>
      <c r="AL141" s="20" t="e">
        <f t="shared" si="112"/>
        <v>#N/A</v>
      </c>
      <c r="AM141" s="59" t="e">
        <f t="shared" si="113"/>
        <v>#N/A</v>
      </c>
      <c r="AN141" s="59" t="e">
        <f ca="1">AVERAGE(OFFSET($AM$3,0,0,'Données projet'!$E$10+1,1))-AVERAGE(OFFSET($H$3,0,0,'Données projet'!$E$10+1,1))</f>
        <v>#N/A</v>
      </c>
      <c r="AO141" s="59" t="e">
        <f t="shared" si="144"/>
        <v>#N/A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 t="e">
        <f>EXP(-LN(2)/35)*AU140+(1-EXP(-LN(2)/35))/(LN(2)/35)*AQ141*AR141*VLOOKUP('Données projet'!$B$10,Paramètres!$A$1:$I$89,3,0)*0.475*44/12</f>
        <v>#N/A</v>
      </c>
      <c r="AV141" s="21" t="e">
        <f>EXP(-LN(2)/25)*AV140+(1-EXP(-LN(2)/25))/(LN(2)/25)*Calculateur!AQ141*Calculateur!AS141*VLOOKUP('Données projet'!$B$10,Paramètres!$A$1:$I$89,3,0)*0.475*44/12</f>
        <v>#N/A</v>
      </c>
      <c r="AW141" s="21" t="e">
        <f>EXP(-LN(2)/2)*AW140+(1-EXP(-LN(2)/2))/(LN(2)/2)*AQ141*AT141*VLOOKUP('Données projet'!$B$10,Paramètres!$A$1:$I$89,3,0)*0.475*44/12</f>
        <v>#N/A</v>
      </c>
      <c r="AX141" s="21" t="e">
        <f t="shared" si="114"/>
        <v>#N/A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1">
        <f t="shared" si="140"/>
        <v>32.512911354837613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67">
        <f t="shared" si="110"/>
        <v>528.56123060967593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-5.6843418860808015E-14</v>
      </c>
      <c r="O142" s="13">
        <f>N142*VLOOKUP('Données projet'!$B$9,Paramètres!$A$1:$I$89,3,0)*VLOOKUP('Données projet'!$B$9,Paramètres!$A$1:$I$89,5,0)</f>
        <v>-3.3992364478763198E-14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161.92866721009744</v>
      </c>
      <c r="T142" s="59">
        <f t="shared" si="142"/>
        <v>327.23695023676987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13.406418060848326</v>
      </c>
      <c r="AA142" s="21">
        <f>EXP(-LN(2)/25)*AA141+(1-EXP(-LN(2)/25))/(LN(2)/25)*Calculateur!V142*Calculateur!X142*VLOOKUP('Données projet'!$B$9,Paramètres!$A$1:$I$89,3,0)*0.475*44/12</f>
        <v>1.1598046308161061</v>
      </c>
      <c r="AB142" s="21">
        <f>EXP(-LN(2)/2)*AB141+(1-EXP(-LN(2)/2))/(LN(2)/2)*V142*Y142*VLOOKUP('Données projet'!$B$9,Paramètres!$A$1:$I$89,3,0)*0.475*44/12</f>
        <v>3.136505856480167E-15</v>
      </c>
      <c r="AC142" s="22">
        <f t="shared" si="111"/>
        <v>14.566222691664436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 t="e">
        <f>AI142*VLOOKUP('Données projet'!$B$10,Paramètres!$A$1:$I$89,3,0)*VLOOKUP('Données projet'!$B$10,Paramètres!$A$1:$I$89,5,0)</f>
        <v>#N/A</v>
      </c>
      <c r="AK142" s="13" t="e">
        <f t="shared" si="143"/>
        <v>#N/A</v>
      </c>
      <c r="AL142" s="20" t="e">
        <f t="shared" si="112"/>
        <v>#N/A</v>
      </c>
      <c r="AM142" s="59" t="e">
        <f t="shared" si="113"/>
        <v>#N/A</v>
      </c>
      <c r="AN142" s="59" t="e">
        <f ca="1">AVERAGE(OFFSET($AM$3,0,0,'Données projet'!$E$10+1,1))-AVERAGE(OFFSET($H$3,0,0,'Données projet'!$E$10+1,1))</f>
        <v>#N/A</v>
      </c>
      <c r="AO142" s="59" t="e">
        <f t="shared" si="144"/>
        <v>#N/A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 t="e">
        <f>EXP(-LN(2)/35)*AU141+(1-EXP(-LN(2)/35))/(LN(2)/35)*AQ142*AR142*VLOOKUP('Données projet'!$B$10,Paramètres!$A$1:$I$89,3,0)*0.475*44/12</f>
        <v>#N/A</v>
      </c>
      <c r="AV142" s="21" t="e">
        <f>EXP(-LN(2)/25)*AV141+(1-EXP(-LN(2)/25))/(LN(2)/25)*Calculateur!AQ142*Calculateur!AS142*VLOOKUP('Données projet'!$B$10,Paramètres!$A$1:$I$89,3,0)*0.475*44/12</f>
        <v>#N/A</v>
      </c>
      <c r="AW142" s="21" t="e">
        <f>EXP(-LN(2)/2)*AW141+(1-EXP(-LN(2)/2))/(LN(2)/2)*AQ142*AT142*VLOOKUP('Données projet'!$B$10,Paramètres!$A$1:$I$89,3,0)*0.475*44/12</f>
        <v>#N/A</v>
      </c>
      <c r="AX142" s="21" t="e">
        <f t="shared" si="114"/>
        <v>#N/A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1">
        <f t="shared" si="140"/>
        <v>32.719504245667331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67">
        <f t="shared" si="110"/>
        <v>530.4697365612044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-5.6843418860808015E-14</v>
      </c>
      <c r="O143" s="13">
        <f>N143*VLOOKUP('Données projet'!$B$9,Paramètres!$A$1:$I$89,3,0)*VLOOKUP('Données projet'!$B$9,Paramètres!$A$1:$I$89,5,0)</f>
        <v>-3.3992364478763198E-14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161.92866721009744</v>
      </c>
      <c r="T143" s="59">
        <f t="shared" si="142"/>
        <v>327.23695023676987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13.143526379782685</v>
      </c>
      <c r="AA143" s="21">
        <f>EXP(-LN(2)/25)*AA142+(1-EXP(-LN(2)/25))/(LN(2)/25)*Calculateur!V143*Calculateur!X143*VLOOKUP('Données projet'!$B$9,Paramètres!$A$1:$I$89,3,0)*0.475*44/12</f>
        <v>1.1280897121949649</v>
      </c>
      <c r="AB143" s="21">
        <f>EXP(-LN(2)/2)*AB142+(1-EXP(-LN(2)/2))/(LN(2)/2)*V143*Y143*VLOOKUP('Données projet'!$B$9,Paramètres!$A$1:$I$89,3,0)*0.475*44/12</f>
        <v>2.2178445603484463E-15</v>
      </c>
      <c r="AC143" s="22">
        <f t="shared" si="111"/>
        <v>14.271616091977652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 t="e">
        <f>AI143*VLOOKUP('Données projet'!$B$10,Paramètres!$A$1:$I$89,3,0)*VLOOKUP('Données projet'!$B$10,Paramètres!$A$1:$I$89,5,0)</f>
        <v>#N/A</v>
      </c>
      <c r="AK143" s="13" t="e">
        <f t="shared" si="143"/>
        <v>#N/A</v>
      </c>
      <c r="AL143" s="20" t="e">
        <f t="shared" si="112"/>
        <v>#N/A</v>
      </c>
      <c r="AM143" s="59" t="e">
        <f t="shared" si="113"/>
        <v>#N/A</v>
      </c>
      <c r="AN143" s="59" t="e">
        <f ca="1">AVERAGE(OFFSET($AM$3,0,0,'Données projet'!$E$10+1,1))-AVERAGE(OFFSET($H$3,0,0,'Données projet'!$E$10+1,1))</f>
        <v>#N/A</v>
      </c>
      <c r="AO143" s="59" t="e">
        <f t="shared" si="144"/>
        <v>#N/A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 t="e">
        <f>EXP(-LN(2)/35)*AU142+(1-EXP(-LN(2)/35))/(LN(2)/35)*AQ143*AR143*VLOOKUP('Données projet'!$B$10,Paramètres!$A$1:$I$89,3,0)*0.475*44/12</f>
        <v>#N/A</v>
      </c>
      <c r="AV143" s="21" t="e">
        <f>EXP(-LN(2)/25)*AV142+(1-EXP(-LN(2)/25))/(LN(2)/25)*Calculateur!AQ143*Calculateur!AS143*VLOOKUP('Données projet'!$B$10,Paramètres!$A$1:$I$89,3,0)*0.475*44/12</f>
        <v>#N/A</v>
      </c>
      <c r="AW143" s="21" t="e">
        <f>EXP(-LN(2)/2)*AW142+(1-EXP(-LN(2)/2))/(LN(2)/2)*AQ143*AT143*VLOOKUP('Données projet'!$B$10,Paramètres!$A$1:$I$89,3,0)*0.475*44/12</f>
        <v>#N/A</v>
      </c>
      <c r="AX143" s="21" t="e">
        <f t="shared" si="114"/>
        <v>#N/A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1">
        <f t="shared" si="140"/>
        <v>32.925925439106905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67">
        <f t="shared" si="110"/>
        <v>532.3779434731116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-5.6843418860808015E-14</v>
      </c>
      <c r="O144" s="13">
        <f>N144*VLOOKUP('Données projet'!$B$9,Paramètres!$A$1:$I$89,3,0)*VLOOKUP('Données projet'!$B$9,Paramètres!$A$1:$I$89,5,0)</f>
        <v>-3.3992364478763198E-14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161.92866721009744</v>
      </c>
      <c r="T144" s="59">
        <f t="shared" si="142"/>
        <v>327.23695023676987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12.885789844234649</v>
      </c>
      <c r="AA144" s="21">
        <f>EXP(-LN(2)/25)*AA143+(1-EXP(-LN(2)/25))/(LN(2)/25)*Calculateur!V144*Calculateur!X144*VLOOKUP('Données projet'!$B$9,Paramètres!$A$1:$I$89,3,0)*0.475*44/12</f>
        <v>1.0972420396913338</v>
      </c>
      <c r="AB144" s="21">
        <f>EXP(-LN(2)/2)*AB143+(1-EXP(-LN(2)/2))/(LN(2)/2)*V144*Y144*VLOOKUP('Données projet'!$B$9,Paramètres!$A$1:$I$89,3,0)*0.475*44/12</f>
        <v>1.5682529282400835E-15</v>
      </c>
      <c r="AC144" s="22">
        <f t="shared" si="111"/>
        <v>13.983031883925985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 t="e">
        <f>AI144*VLOOKUP('Données projet'!$B$10,Paramètres!$A$1:$I$89,3,0)*VLOOKUP('Données projet'!$B$10,Paramètres!$A$1:$I$89,5,0)</f>
        <v>#N/A</v>
      </c>
      <c r="AK144" s="13" t="e">
        <f t="shared" si="143"/>
        <v>#N/A</v>
      </c>
      <c r="AL144" s="20" t="e">
        <f t="shared" si="112"/>
        <v>#N/A</v>
      </c>
      <c r="AM144" s="59" t="e">
        <f t="shared" si="113"/>
        <v>#N/A</v>
      </c>
      <c r="AN144" s="59" t="e">
        <f ca="1">AVERAGE(OFFSET($AM$3,0,0,'Données projet'!$E$10+1,1))-AVERAGE(OFFSET($H$3,0,0,'Données projet'!$E$10+1,1))</f>
        <v>#N/A</v>
      </c>
      <c r="AO144" s="59" t="e">
        <f t="shared" si="144"/>
        <v>#N/A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 t="e">
        <f>EXP(-LN(2)/35)*AU143+(1-EXP(-LN(2)/35))/(LN(2)/35)*AQ144*AR144*VLOOKUP('Données projet'!$B$10,Paramètres!$A$1:$I$89,3,0)*0.475*44/12</f>
        <v>#N/A</v>
      </c>
      <c r="AV144" s="21" t="e">
        <f>EXP(-LN(2)/25)*AV143+(1-EXP(-LN(2)/25))/(LN(2)/25)*Calculateur!AQ144*Calculateur!AS144*VLOOKUP('Données projet'!$B$10,Paramètres!$A$1:$I$89,3,0)*0.475*44/12</f>
        <v>#N/A</v>
      </c>
      <c r="AW144" s="21" t="e">
        <f>EXP(-LN(2)/2)*AW143+(1-EXP(-LN(2)/2))/(LN(2)/2)*AQ144*AT144*VLOOKUP('Données projet'!$B$10,Paramètres!$A$1:$I$89,3,0)*0.475*44/12</f>
        <v>#N/A</v>
      </c>
      <c r="AX144" s="21" t="e">
        <f t="shared" si="114"/>
        <v>#N/A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1">
        <f t="shared" si="140"/>
        <v>33.132176294071868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67">
        <f t="shared" si="110"/>
        <v>534.28585371217559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-5.6843418860808015E-14</v>
      </c>
      <c r="O145" s="13">
        <f>N145*VLOOKUP('Données projet'!$B$9,Paramètres!$A$1:$I$89,3,0)*VLOOKUP('Données projet'!$B$9,Paramètres!$A$1:$I$89,5,0)</f>
        <v>-3.3992364478763198E-14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161.92866721009744</v>
      </c>
      <c r="T145" s="59">
        <f t="shared" si="142"/>
        <v>327.23695023676987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12.633107364944946</v>
      </c>
      <c r="AA145" s="21">
        <f>EXP(-LN(2)/25)*AA144+(1-EXP(-LN(2)/25))/(LN(2)/25)*Calculateur!V145*Calculateur!X145*VLOOKUP('Données projet'!$B$9,Paramètres!$A$1:$I$89,3,0)*0.475*44/12</f>
        <v>1.0672378984145232</v>
      </c>
      <c r="AB145" s="21">
        <f>EXP(-LN(2)/2)*AB144+(1-EXP(-LN(2)/2))/(LN(2)/2)*V145*Y145*VLOOKUP('Données projet'!$B$9,Paramètres!$A$1:$I$89,3,0)*0.475*44/12</f>
        <v>1.1089222801742232E-15</v>
      </c>
      <c r="AC145" s="22">
        <f t="shared" si="111"/>
        <v>13.700345263359472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 t="e">
        <f>AI145*VLOOKUP('Données projet'!$B$10,Paramètres!$A$1:$I$89,3,0)*VLOOKUP('Données projet'!$B$10,Paramètres!$A$1:$I$89,5,0)</f>
        <v>#N/A</v>
      </c>
      <c r="AK145" s="13" t="e">
        <f t="shared" si="143"/>
        <v>#N/A</v>
      </c>
      <c r="AL145" s="20" t="e">
        <f t="shared" si="112"/>
        <v>#N/A</v>
      </c>
      <c r="AM145" s="59" t="e">
        <f t="shared" si="113"/>
        <v>#N/A</v>
      </c>
      <c r="AN145" s="59" t="e">
        <f ca="1">AVERAGE(OFFSET($AM$3,0,0,'Données projet'!$E$10+1,1))-AVERAGE(OFFSET($H$3,0,0,'Données projet'!$E$10+1,1))</f>
        <v>#N/A</v>
      </c>
      <c r="AO145" s="59" t="e">
        <f t="shared" si="144"/>
        <v>#N/A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 t="e">
        <f>EXP(-LN(2)/35)*AU144+(1-EXP(-LN(2)/35))/(LN(2)/35)*AQ145*AR145*VLOOKUP('Données projet'!$B$10,Paramètres!$A$1:$I$89,3,0)*0.475*44/12</f>
        <v>#N/A</v>
      </c>
      <c r="AV145" s="21" t="e">
        <f>EXP(-LN(2)/25)*AV144+(1-EXP(-LN(2)/25))/(LN(2)/25)*Calculateur!AQ145*Calculateur!AS145*VLOOKUP('Données projet'!$B$10,Paramètres!$A$1:$I$89,3,0)*0.475*44/12</f>
        <v>#N/A</v>
      </c>
      <c r="AW145" s="21" t="e">
        <f>EXP(-LN(2)/2)*AW144+(1-EXP(-LN(2)/2))/(LN(2)/2)*AQ145*AT145*VLOOKUP('Données projet'!$B$10,Paramètres!$A$1:$I$89,3,0)*0.475*44/12</f>
        <v>#N/A</v>
      </c>
      <c r="AX145" s="21" t="e">
        <f t="shared" si="114"/>
        <v>#N/A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1">
        <f t="shared" si="140"/>
        <v>33.33825814923194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67">
        <f t="shared" si="110"/>
        <v>536.19346960991265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-5.6843418860808015E-14</v>
      </c>
      <c r="O146" s="13">
        <f>N146*VLOOKUP('Données projet'!$B$9,Paramètres!$A$1:$I$89,3,0)*VLOOKUP('Données projet'!$B$9,Paramètres!$A$1:$I$89,5,0)</f>
        <v>-3.3992364478763198E-14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161.92866721009744</v>
      </c>
      <c r="T146" s="59">
        <f t="shared" si="142"/>
        <v>327.23695023676987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12.385379834953019</v>
      </c>
      <c r="AA146" s="21">
        <f>EXP(-LN(2)/25)*AA145+(1-EXP(-LN(2)/25))/(LN(2)/25)*Calculateur!V146*Calculateur!X146*VLOOKUP('Données projet'!$B$9,Paramètres!$A$1:$I$89,3,0)*0.475*44/12</f>
        <v>1.0380542219587763</v>
      </c>
      <c r="AB146" s="21">
        <f>EXP(-LN(2)/2)*AB145+(1-EXP(-LN(2)/2))/(LN(2)/2)*V146*Y146*VLOOKUP('Données projet'!$B$9,Paramètres!$A$1:$I$89,3,0)*0.475*44/12</f>
        <v>7.8412646412004176E-16</v>
      </c>
      <c r="AC146" s="22">
        <f t="shared" si="111"/>
        <v>13.423434056911795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 t="e">
        <f>AI146*VLOOKUP('Données projet'!$B$10,Paramètres!$A$1:$I$89,3,0)*VLOOKUP('Données projet'!$B$10,Paramètres!$A$1:$I$89,5,0)</f>
        <v>#N/A</v>
      </c>
      <c r="AK146" s="13" t="e">
        <f t="shared" si="143"/>
        <v>#N/A</v>
      </c>
      <c r="AL146" s="20" t="e">
        <f t="shared" si="112"/>
        <v>#N/A</v>
      </c>
      <c r="AM146" s="59" t="e">
        <f t="shared" si="113"/>
        <v>#N/A</v>
      </c>
      <c r="AN146" s="59" t="e">
        <f ca="1">AVERAGE(OFFSET($AM$3,0,0,'Données projet'!$E$10+1,1))-AVERAGE(OFFSET($H$3,0,0,'Données projet'!$E$10+1,1))</f>
        <v>#N/A</v>
      </c>
      <c r="AO146" s="59" t="e">
        <f t="shared" si="144"/>
        <v>#N/A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 t="e">
        <f>EXP(-LN(2)/35)*AU145+(1-EXP(-LN(2)/35))/(LN(2)/35)*AQ146*AR146*VLOOKUP('Données projet'!$B$10,Paramètres!$A$1:$I$89,3,0)*0.475*44/12</f>
        <v>#N/A</v>
      </c>
      <c r="AV146" s="21" t="e">
        <f>EXP(-LN(2)/25)*AV145+(1-EXP(-LN(2)/25))/(LN(2)/25)*Calculateur!AQ146*Calculateur!AS146*VLOOKUP('Données projet'!$B$10,Paramètres!$A$1:$I$89,3,0)*0.475*44/12</f>
        <v>#N/A</v>
      </c>
      <c r="AW146" s="21" t="e">
        <f>EXP(-LN(2)/2)*AW145+(1-EXP(-LN(2)/2))/(LN(2)/2)*AQ146*AT146*VLOOKUP('Données projet'!$B$10,Paramètres!$A$1:$I$89,3,0)*0.475*44/12</f>
        <v>#N/A</v>
      </c>
      <c r="AX146" s="21" t="e">
        <f t="shared" si="114"/>
        <v>#N/A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1">
        <f t="shared" si="140"/>
        <v>33.544172323452237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67">
        <f t="shared" si="110"/>
        <v>538.10079346334646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-5.6843418860808015E-14</v>
      </c>
      <c r="O147" s="13">
        <f>N147*VLOOKUP('Données projet'!$B$9,Paramètres!$A$1:$I$89,3,0)*VLOOKUP('Données projet'!$B$9,Paramètres!$A$1:$I$89,5,0)</f>
        <v>-3.3992364478763198E-14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161.92866721009744</v>
      </c>
      <c r="T147" s="59">
        <f t="shared" si="142"/>
        <v>327.23695023676987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12.142510090725361</v>
      </c>
      <c r="AA147" s="21">
        <f>EXP(-LN(2)/25)*AA146+(1-EXP(-LN(2)/25))/(LN(2)/25)*Calculateur!V147*Calculateur!X147*VLOOKUP('Données projet'!$B$9,Paramètres!$A$1:$I$89,3,0)*0.475*44/12</f>
        <v>1.0096685746704146</v>
      </c>
      <c r="AB147" s="21">
        <f>EXP(-LN(2)/2)*AB146+(1-EXP(-LN(2)/2))/(LN(2)/2)*V147*Y147*VLOOKUP('Données projet'!$B$9,Paramètres!$A$1:$I$89,3,0)*0.475*44/12</f>
        <v>5.5446114008711158E-16</v>
      </c>
      <c r="AC147" s="22">
        <f t="shared" si="111"/>
        <v>13.152178665395775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 t="e">
        <f>AI147*VLOOKUP('Données projet'!$B$10,Paramètres!$A$1:$I$89,3,0)*VLOOKUP('Données projet'!$B$10,Paramètres!$A$1:$I$89,5,0)</f>
        <v>#N/A</v>
      </c>
      <c r="AK147" s="13" t="e">
        <f t="shared" si="143"/>
        <v>#N/A</v>
      </c>
      <c r="AL147" s="20" t="e">
        <f t="shared" si="112"/>
        <v>#N/A</v>
      </c>
      <c r="AM147" s="59" t="e">
        <f t="shared" si="113"/>
        <v>#N/A</v>
      </c>
      <c r="AN147" s="59" t="e">
        <f ca="1">AVERAGE(OFFSET($AM$3,0,0,'Données projet'!$E$10+1,1))-AVERAGE(OFFSET($H$3,0,0,'Données projet'!$E$10+1,1))</f>
        <v>#N/A</v>
      </c>
      <c r="AO147" s="59" t="e">
        <f t="shared" si="144"/>
        <v>#N/A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 t="e">
        <f>EXP(-LN(2)/35)*AU146+(1-EXP(-LN(2)/35))/(LN(2)/35)*AQ147*AR147*VLOOKUP('Données projet'!$B$10,Paramètres!$A$1:$I$89,3,0)*0.475*44/12</f>
        <v>#N/A</v>
      </c>
      <c r="AV147" s="21" t="e">
        <f>EXP(-LN(2)/25)*AV146+(1-EXP(-LN(2)/25))/(LN(2)/25)*Calculateur!AQ147*Calculateur!AS147*VLOOKUP('Données projet'!$B$10,Paramètres!$A$1:$I$89,3,0)*0.475*44/12</f>
        <v>#N/A</v>
      </c>
      <c r="AW147" s="21" t="e">
        <f>EXP(-LN(2)/2)*AW146+(1-EXP(-LN(2)/2))/(LN(2)/2)*AQ147*AT147*VLOOKUP('Données projet'!$B$10,Paramètres!$A$1:$I$89,3,0)*0.475*44/12</f>
        <v>#N/A</v>
      </c>
      <c r="AX147" s="21" t="e">
        <f t="shared" si="114"/>
        <v>#N/A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1">
        <f t="shared" si="140"/>
        <v>33.749920116221446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67">
        <f t="shared" si="110"/>
        <v>540.00782753575277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-5.6843418860808015E-14</v>
      </c>
      <c r="O148" s="13">
        <f>N148*VLOOKUP('Données projet'!$B$9,Paramètres!$A$1:$I$89,3,0)*VLOOKUP('Données projet'!$B$9,Paramètres!$A$1:$I$89,5,0)</f>
        <v>-3.3992364478763198E-14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161.92866721009744</v>
      </c>
      <c r="T148" s="59">
        <f t="shared" si="142"/>
        <v>327.23695023676987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11.90440287404609</v>
      </c>
      <c r="AA148" s="21">
        <f>EXP(-LN(2)/25)*AA147+(1-EXP(-LN(2)/25))/(LN(2)/25)*Calculateur!V148*Calculateur!X148*VLOOKUP('Données projet'!$B$9,Paramètres!$A$1:$I$89,3,0)*0.475*44/12</f>
        <v>0.98205913439988934</v>
      </c>
      <c r="AB148" s="21">
        <f>EXP(-LN(2)/2)*AB147+(1-EXP(-LN(2)/2))/(LN(2)/2)*V148*Y148*VLOOKUP('Données projet'!$B$9,Paramètres!$A$1:$I$89,3,0)*0.475*44/12</f>
        <v>3.9206323206002088E-16</v>
      </c>
      <c r="AC148" s="22">
        <f t="shared" si="111"/>
        <v>12.88646200844598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 t="e">
        <f>AI148*VLOOKUP('Données projet'!$B$10,Paramètres!$A$1:$I$89,3,0)*VLOOKUP('Données projet'!$B$10,Paramètres!$A$1:$I$89,5,0)</f>
        <v>#N/A</v>
      </c>
      <c r="AK148" s="13" t="e">
        <f t="shared" si="143"/>
        <v>#N/A</v>
      </c>
      <c r="AL148" s="20" t="e">
        <f t="shared" si="112"/>
        <v>#N/A</v>
      </c>
      <c r="AM148" s="59" t="e">
        <f t="shared" si="113"/>
        <v>#N/A</v>
      </c>
      <c r="AN148" s="59" t="e">
        <f ca="1">AVERAGE(OFFSET($AM$3,0,0,'Données projet'!$E$10+1,1))-AVERAGE(OFFSET($H$3,0,0,'Données projet'!$E$10+1,1))</f>
        <v>#N/A</v>
      </c>
      <c r="AO148" s="59" t="e">
        <f t="shared" si="144"/>
        <v>#N/A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 t="e">
        <f>EXP(-LN(2)/35)*AU147+(1-EXP(-LN(2)/35))/(LN(2)/35)*AQ148*AR148*VLOOKUP('Données projet'!$B$10,Paramètres!$A$1:$I$89,3,0)*0.475*44/12</f>
        <v>#N/A</v>
      </c>
      <c r="AV148" s="21" t="e">
        <f>EXP(-LN(2)/25)*AV147+(1-EXP(-LN(2)/25))/(LN(2)/25)*Calculateur!AQ148*Calculateur!AS148*VLOOKUP('Données projet'!$B$10,Paramètres!$A$1:$I$89,3,0)*0.475*44/12</f>
        <v>#N/A</v>
      </c>
      <c r="AW148" s="21" t="e">
        <f>EXP(-LN(2)/2)*AW147+(1-EXP(-LN(2)/2))/(LN(2)/2)*AQ148*AT148*VLOOKUP('Données projet'!$B$10,Paramètres!$A$1:$I$89,3,0)*0.475*44/12</f>
        <v>#N/A</v>
      </c>
      <c r="AX148" s="21" t="e">
        <f t="shared" si="114"/>
        <v>#N/A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1">
        <f t="shared" si="140"/>
        <v>33.955502808068339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67">
        <f t="shared" si="110"/>
        <v>541.91457405738606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-5.6843418860808015E-14</v>
      </c>
      <c r="O149" s="13">
        <f>N149*VLOOKUP('Données projet'!$B$9,Paramètres!$A$1:$I$89,3,0)*VLOOKUP('Données projet'!$B$9,Paramètres!$A$1:$I$89,5,0)</f>
        <v>-3.3992364478763198E-14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161.92866721009744</v>
      </c>
      <c r="T149" s="59">
        <f t="shared" si="142"/>
        <v>327.23695023676987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11.670964794654838</v>
      </c>
      <c r="AA149" s="21">
        <f>EXP(-LN(2)/25)*AA148+(1-EXP(-LN(2)/25))/(LN(2)/25)*Calculateur!V149*Calculateur!X149*VLOOKUP('Données projet'!$B$9,Paramètres!$A$1:$I$89,3,0)*0.475*44/12</f>
        <v>0.95520467572547907</v>
      </c>
      <c r="AB149" s="21">
        <f>EXP(-LN(2)/2)*AB148+(1-EXP(-LN(2)/2))/(LN(2)/2)*V149*Y149*VLOOKUP('Données projet'!$B$9,Paramètres!$A$1:$I$89,3,0)*0.475*44/12</f>
        <v>2.7723057004355579E-16</v>
      </c>
      <c r="AC149" s="22">
        <f t="shared" si="111"/>
        <v>12.626169470380317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 t="e">
        <f>AI149*VLOOKUP('Données projet'!$B$10,Paramètres!$A$1:$I$89,3,0)*VLOOKUP('Données projet'!$B$10,Paramètres!$A$1:$I$89,5,0)</f>
        <v>#N/A</v>
      </c>
      <c r="AK149" s="13" t="e">
        <f t="shared" si="143"/>
        <v>#N/A</v>
      </c>
      <c r="AL149" s="20" t="e">
        <f t="shared" si="112"/>
        <v>#N/A</v>
      </c>
      <c r="AM149" s="59" t="e">
        <f t="shared" si="113"/>
        <v>#N/A</v>
      </c>
      <c r="AN149" s="59" t="e">
        <f ca="1">AVERAGE(OFFSET($AM$3,0,0,'Données projet'!$E$10+1,1))-AVERAGE(OFFSET($H$3,0,0,'Données projet'!$E$10+1,1))</f>
        <v>#N/A</v>
      </c>
      <c r="AO149" s="59" t="e">
        <f t="shared" si="144"/>
        <v>#N/A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 t="e">
        <f>EXP(-LN(2)/35)*AU148+(1-EXP(-LN(2)/35))/(LN(2)/35)*AQ149*AR149*VLOOKUP('Données projet'!$B$10,Paramètres!$A$1:$I$89,3,0)*0.475*44/12</f>
        <v>#N/A</v>
      </c>
      <c r="AV149" s="21" t="e">
        <f>EXP(-LN(2)/25)*AV148+(1-EXP(-LN(2)/25))/(LN(2)/25)*Calculateur!AQ149*Calculateur!AS149*VLOOKUP('Données projet'!$B$10,Paramètres!$A$1:$I$89,3,0)*0.475*44/12</f>
        <v>#N/A</v>
      </c>
      <c r="AW149" s="21" t="e">
        <f>EXP(-LN(2)/2)*AW148+(1-EXP(-LN(2)/2))/(LN(2)/2)*AQ149*AT149*VLOOKUP('Données projet'!$B$10,Paramètres!$A$1:$I$89,3,0)*0.475*44/12</f>
        <v>#N/A</v>
      </c>
      <c r="AX149" s="21" t="e">
        <f t="shared" si="114"/>
        <v>#N/A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1">
        <f t="shared" si="140"/>
        <v>34.160921660966174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67">
        <f t="shared" si="110"/>
        <v>543.82103522618308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-5.6843418860808015E-14</v>
      </c>
      <c r="O150" s="13">
        <f>N150*VLOOKUP('Données projet'!$B$9,Paramètres!$A$1:$I$89,3,0)*VLOOKUP('Données projet'!$B$9,Paramètres!$A$1:$I$89,5,0)</f>
        <v>-3.3992364478763198E-14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161.92866721009744</v>
      </c>
      <c r="T150" s="59">
        <f t="shared" si="142"/>
        <v>327.23695023676987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11.442104293617279</v>
      </c>
      <c r="AA150" s="21">
        <f>EXP(-LN(2)/25)*AA149+(1-EXP(-LN(2)/25))/(LN(2)/25)*Calculateur!V150*Calculateur!X150*VLOOKUP('Données projet'!$B$9,Paramètres!$A$1:$I$89,3,0)*0.475*44/12</f>
        <v>0.92908455363573506</v>
      </c>
      <c r="AB150" s="21">
        <f>EXP(-LN(2)/2)*AB149+(1-EXP(-LN(2)/2))/(LN(2)/2)*V150*Y150*VLOOKUP('Données projet'!$B$9,Paramètres!$A$1:$I$89,3,0)*0.475*44/12</f>
        <v>1.9603161603001044E-16</v>
      </c>
      <c r="AC150" s="22">
        <f t="shared" si="111"/>
        <v>12.371188847253013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 t="e">
        <f>AI150*VLOOKUP('Données projet'!$B$10,Paramètres!$A$1:$I$89,3,0)*VLOOKUP('Données projet'!$B$10,Paramètres!$A$1:$I$89,5,0)</f>
        <v>#N/A</v>
      </c>
      <c r="AK150" s="13" t="e">
        <f t="shared" si="143"/>
        <v>#N/A</v>
      </c>
      <c r="AL150" s="20" t="e">
        <f t="shared" si="112"/>
        <v>#N/A</v>
      </c>
      <c r="AM150" s="59" t="e">
        <f t="shared" si="113"/>
        <v>#N/A</v>
      </c>
      <c r="AN150" s="59" t="e">
        <f ca="1">AVERAGE(OFFSET($AM$3,0,0,'Données projet'!$E$10+1,1))-AVERAGE(OFFSET($H$3,0,0,'Données projet'!$E$10+1,1))</f>
        <v>#N/A</v>
      </c>
      <c r="AO150" s="59" t="e">
        <f t="shared" si="144"/>
        <v>#N/A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 t="e">
        <f>EXP(-LN(2)/35)*AU149+(1-EXP(-LN(2)/35))/(LN(2)/35)*AQ150*AR150*VLOOKUP('Données projet'!$B$10,Paramètres!$A$1:$I$89,3,0)*0.475*44/12</f>
        <v>#N/A</v>
      </c>
      <c r="AV150" s="21" t="e">
        <f>EXP(-LN(2)/25)*AV149+(1-EXP(-LN(2)/25))/(LN(2)/25)*Calculateur!AQ150*Calculateur!AS150*VLOOKUP('Données projet'!$B$10,Paramètres!$A$1:$I$89,3,0)*0.475*44/12</f>
        <v>#N/A</v>
      </c>
      <c r="AW150" s="21" t="e">
        <f>EXP(-LN(2)/2)*AW149+(1-EXP(-LN(2)/2))/(LN(2)/2)*AQ150*AT150*VLOOKUP('Données projet'!$B$10,Paramètres!$A$1:$I$89,3,0)*0.475*44/12</f>
        <v>#N/A</v>
      </c>
      <c r="AX150" s="21" t="e">
        <f t="shared" si="114"/>
        <v>#N/A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1">
        <f t="shared" si="140"/>
        <v>34.366177918726152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67">
        <f t="shared" si="110"/>
        <v>545.72721320844835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-5.6843418860808015E-14</v>
      </c>
      <c r="O151" s="13">
        <f>N151*VLOOKUP('Données projet'!$B$9,Paramètres!$A$1:$I$89,3,0)*VLOOKUP('Données projet'!$B$9,Paramètres!$A$1:$I$89,5,0)</f>
        <v>-3.3992364478763198E-14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161.92866721009744</v>
      </c>
      <c r="T151" s="59">
        <f t="shared" si="142"/>
        <v>327.23695023676987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11.217731607413944</v>
      </c>
      <c r="AA151" s="21">
        <f>EXP(-LN(2)/25)*AA150+(1-EXP(-LN(2)/25))/(LN(2)/25)*Calculateur!V151*Calculateur!X151*VLOOKUP('Données projet'!$B$9,Paramètres!$A$1:$I$89,3,0)*0.475*44/12</f>
        <v>0.90367868765813264</v>
      </c>
      <c r="AB151" s="21">
        <f>EXP(-LN(2)/2)*AB150+(1-EXP(-LN(2)/2))/(LN(2)/2)*V151*Y151*VLOOKUP('Données projet'!$B$9,Paramètres!$A$1:$I$89,3,0)*0.475*44/12</f>
        <v>1.3861528502177789E-16</v>
      </c>
      <c r="AC151" s="22">
        <f t="shared" si="111"/>
        <v>12.121410295072076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 t="e">
        <f>AI151*VLOOKUP('Données projet'!$B$10,Paramètres!$A$1:$I$89,3,0)*VLOOKUP('Données projet'!$B$10,Paramètres!$A$1:$I$89,5,0)</f>
        <v>#N/A</v>
      </c>
      <c r="AK151" s="13" t="e">
        <f t="shared" si="143"/>
        <v>#N/A</v>
      </c>
      <c r="AL151" s="20" t="e">
        <f t="shared" si="112"/>
        <v>#N/A</v>
      </c>
      <c r="AM151" s="59" t="e">
        <f t="shared" si="113"/>
        <v>#N/A</v>
      </c>
      <c r="AN151" s="59" t="e">
        <f ca="1">AVERAGE(OFFSET($AM$3,0,0,'Données projet'!$E$10+1,1))-AVERAGE(OFFSET($H$3,0,0,'Données projet'!$E$10+1,1))</f>
        <v>#N/A</v>
      </c>
      <c r="AO151" s="59" t="e">
        <f t="shared" si="144"/>
        <v>#N/A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 t="e">
        <f>EXP(-LN(2)/35)*AU150+(1-EXP(-LN(2)/35))/(LN(2)/35)*AQ151*AR151*VLOOKUP('Données projet'!$B$10,Paramètres!$A$1:$I$89,3,0)*0.475*44/12</f>
        <v>#N/A</v>
      </c>
      <c r="AV151" s="21" t="e">
        <f>EXP(-LN(2)/25)*AV150+(1-EXP(-LN(2)/25))/(LN(2)/25)*Calculateur!AQ151*Calculateur!AS151*VLOOKUP('Données projet'!$B$10,Paramètres!$A$1:$I$89,3,0)*0.475*44/12</f>
        <v>#N/A</v>
      </c>
      <c r="AW151" s="21" t="e">
        <f>EXP(-LN(2)/2)*AW150+(1-EXP(-LN(2)/2))/(LN(2)/2)*AQ151*AT151*VLOOKUP('Données projet'!$B$10,Paramètres!$A$1:$I$89,3,0)*0.475*44/12</f>
        <v>#N/A</v>
      </c>
      <c r="AX151" s="21" t="e">
        <f t="shared" si="114"/>
        <v>#N/A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1">
        <f t="shared" si="140"/>
        <v>34.571272807379401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67">
        <f t="shared" si="110"/>
        <v>547.63311013951943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-5.6843418860808015E-14</v>
      </c>
      <c r="O152" s="13">
        <f>N152*VLOOKUP('Données projet'!$B$9,Paramètres!$A$1:$I$89,3,0)*VLOOKUP('Données projet'!$B$9,Paramètres!$A$1:$I$89,5,0)</f>
        <v>-3.3992364478763198E-14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161.92866721009744</v>
      </c>
      <c r="T152" s="59">
        <f t="shared" si="142"/>
        <v>327.23695023676987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10.997758732733232</v>
      </c>
      <c r="AA152" s="21">
        <f>EXP(-LN(2)/25)*AA151+(1-EXP(-LN(2)/25))/(LN(2)/25)*Calculateur!V152*Calculateur!X152*VLOOKUP('Données projet'!$B$9,Paramètres!$A$1:$I$89,3,0)*0.475*44/12</f>
        <v>0.87896754642172426</v>
      </c>
      <c r="AB152" s="21">
        <f>EXP(-LN(2)/2)*AB151+(1-EXP(-LN(2)/2))/(LN(2)/2)*V152*Y152*VLOOKUP('Données projet'!$B$9,Paramètres!$A$1:$I$89,3,0)*0.475*44/12</f>
        <v>9.801580801500522E-17</v>
      </c>
      <c r="AC152" s="22">
        <f t="shared" si="111"/>
        <v>11.876726279154957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 t="e">
        <f>AI152*VLOOKUP('Données projet'!$B$10,Paramètres!$A$1:$I$89,3,0)*VLOOKUP('Données projet'!$B$10,Paramètres!$A$1:$I$89,5,0)</f>
        <v>#N/A</v>
      </c>
      <c r="AK152" s="13" t="e">
        <f t="shared" si="143"/>
        <v>#N/A</v>
      </c>
      <c r="AL152" s="20" t="e">
        <f t="shared" si="112"/>
        <v>#N/A</v>
      </c>
      <c r="AM152" s="59" t="e">
        <f t="shared" si="113"/>
        <v>#N/A</v>
      </c>
      <c r="AN152" s="59" t="e">
        <f ca="1">AVERAGE(OFFSET($AM$3,0,0,'Données projet'!$E$10+1,1))-AVERAGE(OFFSET($H$3,0,0,'Données projet'!$E$10+1,1))</f>
        <v>#N/A</v>
      </c>
      <c r="AO152" s="59" t="e">
        <f t="shared" si="144"/>
        <v>#N/A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 t="e">
        <f>EXP(-LN(2)/35)*AU151+(1-EXP(-LN(2)/35))/(LN(2)/35)*AQ152*AR152*VLOOKUP('Données projet'!$B$10,Paramètres!$A$1:$I$89,3,0)*0.475*44/12</f>
        <v>#N/A</v>
      </c>
      <c r="AV152" s="21" t="e">
        <f>EXP(-LN(2)/25)*AV151+(1-EXP(-LN(2)/25))/(LN(2)/25)*Calculateur!AQ152*Calculateur!AS152*VLOOKUP('Données projet'!$B$10,Paramètres!$A$1:$I$89,3,0)*0.475*44/12</f>
        <v>#N/A</v>
      </c>
      <c r="AW152" s="21" t="e">
        <f>EXP(-LN(2)/2)*AW151+(1-EXP(-LN(2)/2))/(LN(2)/2)*AQ152*AT152*VLOOKUP('Données projet'!$B$10,Paramètres!$A$1:$I$89,3,0)*0.475*44/12</f>
        <v>#N/A</v>
      </c>
      <c r="AX152" s="21" t="e">
        <f t="shared" si="114"/>
        <v>#N/A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1">
        <f t="shared" si="140"/>
        <v>34.776207535549027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67">
        <f t="shared" si="110"/>
        <v>549.53872812441477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-5.6843418860808015E-14</v>
      </c>
      <c r="O153" s="13">
        <f>N153*VLOOKUP('Données projet'!$B$9,Paramètres!$A$1:$I$89,3,0)*VLOOKUP('Données projet'!$B$9,Paramètres!$A$1:$I$89,5,0)</f>
        <v>-3.3992364478763198E-14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161.92866721009744</v>
      </c>
      <c r="T153" s="59">
        <f t="shared" si="142"/>
        <v>327.23695023676987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10.782099391954803</v>
      </c>
      <c r="AA153" s="21">
        <f>EXP(-LN(2)/25)*AA152+(1-EXP(-LN(2)/25))/(LN(2)/25)*Calculateur!V153*Calculateur!X153*VLOOKUP('Données projet'!$B$9,Paramètres!$A$1:$I$89,3,0)*0.475*44/12</f>
        <v>0.8549321326419278</v>
      </c>
      <c r="AB153" s="21">
        <f>EXP(-LN(2)/2)*AB152+(1-EXP(-LN(2)/2))/(LN(2)/2)*V153*Y153*VLOOKUP('Données projet'!$B$9,Paramètres!$A$1:$I$89,3,0)*0.475*44/12</f>
        <v>6.9307642510888947E-17</v>
      </c>
      <c r="AC153" s="22">
        <f t="shared" si="111"/>
        <v>11.637031524596731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 t="e">
        <f>AI153*VLOOKUP('Données projet'!$B$10,Paramètres!$A$1:$I$89,3,0)*VLOOKUP('Données projet'!$B$10,Paramètres!$A$1:$I$89,5,0)</f>
        <v>#N/A</v>
      </c>
      <c r="AK153" s="13" t="e">
        <f t="shared" si="143"/>
        <v>#N/A</v>
      </c>
      <c r="AL153" s="20" t="e">
        <f t="shared" si="112"/>
        <v>#N/A</v>
      </c>
      <c r="AM153" s="59" t="e">
        <f t="shared" si="113"/>
        <v>#N/A</v>
      </c>
      <c r="AN153" s="59" t="e">
        <f ca="1">AVERAGE(OFFSET($AM$3,0,0,'Données projet'!$E$10+1,1))-AVERAGE(OFFSET($H$3,0,0,'Données projet'!$E$10+1,1))</f>
        <v>#N/A</v>
      </c>
      <c r="AO153" s="59" t="e">
        <f t="shared" si="144"/>
        <v>#N/A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 t="e">
        <f>EXP(-LN(2)/35)*AU152+(1-EXP(-LN(2)/35))/(LN(2)/35)*AQ153*AR153*VLOOKUP('Données projet'!$B$10,Paramètres!$A$1:$I$89,3,0)*0.475*44/12</f>
        <v>#N/A</v>
      </c>
      <c r="AV153" s="21" t="e">
        <f>EXP(-LN(2)/25)*AV152+(1-EXP(-LN(2)/25))/(LN(2)/25)*Calculateur!AQ153*Calculateur!AS153*VLOOKUP('Données projet'!$B$10,Paramètres!$A$1:$I$89,3,0)*0.475*44/12</f>
        <v>#N/A</v>
      </c>
      <c r="AW153" s="21" t="e">
        <f>EXP(-LN(2)/2)*AW152+(1-EXP(-LN(2)/2))/(LN(2)/2)*AQ153*AT153*VLOOKUP('Données projet'!$B$10,Paramètres!$A$1:$I$89,3,0)*0.475*44/12</f>
        <v>#N/A</v>
      </c>
      <c r="AX153" s="21" t="e">
        <f t="shared" si="114"/>
        <v>#N/A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1">
        <f t="shared" si="140"/>
        <v>34.980983294811438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67">
        <f t="shared" si="110"/>
        <v>551.4440692384635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-5.6843418860808015E-14</v>
      </c>
      <c r="O154" s="13">
        <f>N154*VLOOKUP('Données projet'!$B$9,Paramètres!$A$1:$I$89,3,0)*VLOOKUP('Données projet'!$B$9,Paramètres!$A$1:$I$89,5,0)</f>
        <v>-3.3992364478763198E-14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161.92866721009744</v>
      </c>
      <c r="T154" s="59">
        <f t="shared" si="142"/>
        <v>327.23695023676987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10.570668999309831</v>
      </c>
      <c r="AA154" s="21">
        <f>EXP(-LN(2)/25)*AA153+(1-EXP(-LN(2)/25))/(LN(2)/25)*Calculateur!V154*Calculateur!X154*VLOOKUP('Données projet'!$B$9,Paramètres!$A$1:$I$89,3,0)*0.475*44/12</f>
        <v>0.83155396851590735</v>
      </c>
      <c r="AB154" s="21">
        <f>EXP(-LN(2)/2)*AB153+(1-EXP(-LN(2)/2))/(LN(2)/2)*V154*Y154*VLOOKUP('Données projet'!$B$9,Paramètres!$A$1:$I$89,3,0)*0.475*44/12</f>
        <v>4.900790400750261E-17</v>
      </c>
      <c r="AC154" s="22">
        <f t="shared" ref="AC154:AC203" si="163">SUM(Z154:AB154)</f>
        <v>11.402222967825738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 t="e">
        <f>AI154*VLOOKUP('Données projet'!$B$10,Paramètres!$A$1:$I$89,3,0)*VLOOKUP('Données projet'!$B$10,Paramètres!$A$1:$I$89,5,0)</f>
        <v>#N/A</v>
      </c>
      <c r="AK154" s="13" t="e">
        <f t="shared" ref="AK154:AK203" si="164">EXP(-1.0587+0.8836*LN(AJ154)+0.284)</f>
        <v>#N/A</v>
      </c>
      <c r="AL154" s="20" t="e">
        <f t="shared" ref="AL154:AL203" si="165">(AJ154+AK154)*0.475*44/12</f>
        <v>#N/A</v>
      </c>
      <c r="AM154" s="59" t="e">
        <f t="shared" si="113"/>
        <v>#N/A</v>
      </c>
      <c r="AN154" s="59" t="e">
        <f ca="1">AVERAGE(OFFSET($AM$3,0,0,'Données projet'!$E$10+1,1))-AVERAGE(OFFSET($H$3,0,0,'Données projet'!$E$10+1,1))</f>
        <v>#N/A</v>
      </c>
      <c r="AO154" s="59" t="e">
        <f t="shared" si="144"/>
        <v>#N/A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 t="e">
        <f>EXP(-LN(2)/35)*AU153+(1-EXP(-LN(2)/35))/(LN(2)/35)*AQ154*AR154*VLOOKUP('Données projet'!$B$10,Paramètres!$A$1:$I$89,3,0)*0.475*44/12</f>
        <v>#N/A</v>
      </c>
      <c r="AV154" s="21" t="e">
        <f>EXP(-LN(2)/25)*AV153+(1-EXP(-LN(2)/25))/(LN(2)/25)*Calculateur!AQ154*Calculateur!AS154*VLOOKUP('Données projet'!$B$10,Paramètres!$A$1:$I$89,3,0)*0.475*44/12</f>
        <v>#N/A</v>
      </c>
      <c r="AW154" s="21" t="e">
        <f>EXP(-LN(2)/2)*AW153+(1-EXP(-LN(2)/2))/(LN(2)/2)*AQ154*AT154*VLOOKUP('Données projet'!$B$10,Paramètres!$A$1:$I$89,3,0)*0.475*44/12</f>
        <v>#N/A</v>
      </c>
      <c r="AX154" s="21" t="e">
        <f t="shared" ref="AX154:AX203" si="166">SUM(AU154:AW154)</f>
        <v>#N/A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1">
        <f t="shared" si="140"/>
        <v>35.185601260048031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67">
        <f t="shared" si="110"/>
        <v>553.34913552791727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-5.6843418860808015E-14</v>
      </c>
      <c r="O155" s="13">
        <f>N155*VLOOKUP('Données projet'!$B$9,Paramètres!$A$1:$I$89,3,0)*VLOOKUP('Données projet'!$B$9,Paramètres!$A$1:$I$89,5,0)</f>
        <v>-3.3992364478763198E-14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161.92866721009744</v>
      </c>
      <c r="T155" s="59">
        <f t="shared" si="142"/>
        <v>327.23695023676987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10.36338462770482</v>
      </c>
      <c r="AA155" s="21">
        <f>EXP(-LN(2)/25)*AA154+(1-EXP(-LN(2)/25))/(LN(2)/25)*Calculateur!V155*Calculateur!X155*VLOOKUP('Données projet'!$B$9,Paramètres!$A$1:$I$89,3,0)*0.475*44/12</f>
        <v>0.80881508151731718</v>
      </c>
      <c r="AB155" s="21">
        <f>EXP(-LN(2)/2)*AB154+(1-EXP(-LN(2)/2))/(LN(2)/2)*V155*Y155*VLOOKUP('Données projet'!$B$9,Paramètres!$A$1:$I$89,3,0)*0.475*44/12</f>
        <v>3.4653821255444473E-17</v>
      </c>
      <c r="AC155" s="22">
        <f t="shared" si="163"/>
        <v>11.172199709222136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 t="e">
        <f>AI155*VLOOKUP('Données projet'!$B$10,Paramètres!$A$1:$I$89,3,0)*VLOOKUP('Données projet'!$B$10,Paramètres!$A$1:$I$89,5,0)</f>
        <v>#N/A</v>
      </c>
      <c r="AK155" s="13" t="e">
        <f t="shared" si="164"/>
        <v>#N/A</v>
      </c>
      <c r="AL155" s="20" t="e">
        <f t="shared" si="165"/>
        <v>#N/A</v>
      </c>
      <c r="AM155" s="59" t="e">
        <f t="shared" si="113"/>
        <v>#N/A</v>
      </c>
      <c r="AN155" s="59" t="e">
        <f ca="1">AVERAGE(OFFSET($AM$3,0,0,'Données projet'!$E$10+1,1))-AVERAGE(OFFSET($H$3,0,0,'Données projet'!$E$10+1,1))</f>
        <v>#N/A</v>
      </c>
      <c r="AO155" s="59" t="e">
        <f t="shared" si="144"/>
        <v>#N/A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 t="e">
        <f>EXP(-LN(2)/35)*AU154+(1-EXP(-LN(2)/35))/(LN(2)/35)*AQ155*AR155*VLOOKUP('Données projet'!$B$10,Paramètres!$A$1:$I$89,3,0)*0.475*44/12</f>
        <v>#N/A</v>
      </c>
      <c r="AV155" s="21" t="e">
        <f>EXP(-LN(2)/25)*AV154+(1-EXP(-LN(2)/25))/(LN(2)/25)*Calculateur!AQ155*Calculateur!AS155*VLOOKUP('Données projet'!$B$10,Paramètres!$A$1:$I$89,3,0)*0.475*44/12</f>
        <v>#N/A</v>
      </c>
      <c r="AW155" s="21" t="e">
        <f>EXP(-LN(2)/2)*AW154+(1-EXP(-LN(2)/2))/(LN(2)/2)*AQ155*AT155*VLOOKUP('Données projet'!$B$10,Paramètres!$A$1:$I$89,3,0)*0.475*44/12</f>
        <v>#N/A</v>
      </c>
      <c r="AX155" s="21" t="e">
        <f t="shared" si="166"/>
        <v>#N/A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1">
        <f t="shared" si="140"/>
        <v>35.390062589787611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67">
        <f t="shared" si="110"/>
        <v>555.25392901054693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-5.6843418860808015E-14</v>
      </c>
      <c r="O156" s="13">
        <f>N156*VLOOKUP('Données projet'!$B$9,Paramètres!$A$1:$I$89,3,0)*VLOOKUP('Données projet'!$B$9,Paramètres!$A$1:$I$89,5,0)</f>
        <v>-3.3992364478763198E-14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161.92866721009744</v>
      </c>
      <c r="T156" s="59">
        <f t="shared" si="142"/>
        <v>327.23695023676987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10.160164976196</v>
      </c>
      <c r="AA156" s="21">
        <f>EXP(-LN(2)/25)*AA155+(1-EXP(-LN(2)/25))/(LN(2)/25)*Calculateur!V156*Calculateur!X156*VLOOKUP('Données projet'!$B$9,Paramètres!$A$1:$I$89,3,0)*0.475*44/12</f>
        <v>0.78669799057948953</v>
      </c>
      <c r="AB156" s="21">
        <f>EXP(-LN(2)/2)*AB155+(1-EXP(-LN(2)/2))/(LN(2)/2)*V156*Y156*VLOOKUP('Données projet'!$B$9,Paramètres!$A$1:$I$89,3,0)*0.475*44/12</f>
        <v>2.4503952003751305E-17</v>
      </c>
      <c r="AC156" s="22">
        <f t="shared" si="163"/>
        <v>10.946862966775489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 t="e">
        <f>AI156*VLOOKUP('Données projet'!$B$10,Paramètres!$A$1:$I$89,3,0)*VLOOKUP('Données projet'!$B$10,Paramètres!$A$1:$I$89,5,0)</f>
        <v>#N/A</v>
      </c>
      <c r="AK156" s="13" t="e">
        <f t="shared" si="164"/>
        <v>#N/A</v>
      </c>
      <c r="AL156" s="20" t="e">
        <f t="shared" si="165"/>
        <v>#N/A</v>
      </c>
      <c r="AM156" s="59" t="e">
        <f t="shared" si="113"/>
        <v>#N/A</v>
      </c>
      <c r="AN156" s="59" t="e">
        <f ca="1">AVERAGE(OFFSET($AM$3,0,0,'Données projet'!$E$10+1,1))-AVERAGE(OFFSET($H$3,0,0,'Données projet'!$E$10+1,1))</f>
        <v>#N/A</v>
      </c>
      <c r="AO156" s="59" t="e">
        <f t="shared" si="144"/>
        <v>#N/A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 t="e">
        <f>EXP(-LN(2)/35)*AU155+(1-EXP(-LN(2)/35))/(LN(2)/35)*AQ156*AR156*VLOOKUP('Données projet'!$B$10,Paramètres!$A$1:$I$89,3,0)*0.475*44/12</f>
        <v>#N/A</v>
      </c>
      <c r="AV156" s="21" t="e">
        <f>EXP(-LN(2)/25)*AV155+(1-EXP(-LN(2)/25))/(LN(2)/25)*Calculateur!AQ156*Calculateur!AS156*VLOOKUP('Données projet'!$B$10,Paramètres!$A$1:$I$89,3,0)*0.475*44/12</f>
        <v>#N/A</v>
      </c>
      <c r="AW156" s="21" t="e">
        <f>EXP(-LN(2)/2)*AW155+(1-EXP(-LN(2)/2))/(LN(2)/2)*AQ156*AT156*VLOOKUP('Données projet'!$B$10,Paramètres!$A$1:$I$89,3,0)*0.475*44/12</f>
        <v>#N/A</v>
      </c>
      <c r="AX156" s="21" t="e">
        <f t="shared" si="166"/>
        <v>#N/A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1">
        <f t="shared" si="140"/>
        <v>35.594368426539035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67">
        <f t="shared" si="110"/>
        <v>557.1584516762224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-5.6843418860808015E-14</v>
      </c>
      <c r="O157" s="13">
        <f>N157*VLOOKUP('Données projet'!$B$9,Paramètres!$A$1:$I$89,3,0)*VLOOKUP('Données projet'!$B$9,Paramètres!$A$1:$I$89,5,0)</f>
        <v>-3.3992364478763198E-14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161.92866721009744</v>
      </c>
      <c r="T157" s="59">
        <f t="shared" si="142"/>
        <v>327.23695023676987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9.9609303381015213</v>
      </c>
      <c r="AA157" s="21">
        <f>EXP(-LN(2)/25)*AA156+(1-EXP(-LN(2)/25))/(LN(2)/25)*Calculateur!V157*Calculateur!X157*VLOOKUP('Données projet'!$B$9,Paramètres!$A$1:$I$89,3,0)*0.475*44/12</f>
        <v>0.76518569265644409</v>
      </c>
      <c r="AB157" s="21">
        <f>EXP(-LN(2)/2)*AB156+(1-EXP(-LN(2)/2))/(LN(2)/2)*V157*Y157*VLOOKUP('Données projet'!$B$9,Paramètres!$A$1:$I$89,3,0)*0.475*44/12</f>
        <v>1.7326910627722237E-17</v>
      </c>
      <c r="AC157" s="22">
        <f t="shared" si="163"/>
        <v>10.726116030757966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 t="e">
        <f>AI157*VLOOKUP('Données projet'!$B$10,Paramètres!$A$1:$I$89,3,0)*VLOOKUP('Données projet'!$B$10,Paramètres!$A$1:$I$89,5,0)</f>
        <v>#N/A</v>
      </c>
      <c r="AK157" s="13" t="e">
        <f t="shared" si="164"/>
        <v>#N/A</v>
      </c>
      <c r="AL157" s="20" t="e">
        <f t="shared" si="165"/>
        <v>#N/A</v>
      </c>
      <c r="AM157" s="59" t="e">
        <f t="shared" si="113"/>
        <v>#N/A</v>
      </c>
      <c r="AN157" s="59" t="e">
        <f ca="1">AVERAGE(OFFSET($AM$3,0,0,'Données projet'!$E$10+1,1))-AVERAGE(OFFSET($H$3,0,0,'Données projet'!$E$10+1,1))</f>
        <v>#N/A</v>
      </c>
      <c r="AO157" s="59" t="e">
        <f t="shared" si="144"/>
        <v>#N/A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 t="e">
        <f>EXP(-LN(2)/35)*AU156+(1-EXP(-LN(2)/35))/(LN(2)/35)*AQ157*AR157*VLOOKUP('Données projet'!$B$10,Paramètres!$A$1:$I$89,3,0)*0.475*44/12</f>
        <v>#N/A</v>
      </c>
      <c r="AV157" s="21" t="e">
        <f>EXP(-LN(2)/25)*AV156+(1-EXP(-LN(2)/25))/(LN(2)/25)*Calculateur!AQ157*Calculateur!AS157*VLOOKUP('Données projet'!$B$10,Paramètres!$A$1:$I$89,3,0)*0.475*44/12</f>
        <v>#N/A</v>
      </c>
      <c r="AW157" s="21" t="e">
        <f>EXP(-LN(2)/2)*AW156+(1-EXP(-LN(2)/2))/(LN(2)/2)*AQ157*AT157*VLOOKUP('Données projet'!$B$10,Paramètres!$A$1:$I$89,3,0)*0.475*44/12</f>
        <v>#N/A</v>
      </c>
      <c r="AX157" s="21" t="e">
        <f t="shared" si="166"/>
        <v>#N/A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1">
        <f t="shared" si="140"/>
        <v>35.798519897115533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67">
        <f t="shared" si="110"/>
        <v>559.06270548747648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-5.6843418860808015E-14</v>
      </c>
      <c r="O158" s="13">
        <f>N158*VLOOKUP('Données projet'!$B$9,Paramètres!$A$1:$I$89,3,0)*VLOOKUP('Données projet'!$B$9,Paramètres!$A$1:$I$89,5,0)</f>
        <v>-3.3992364478763198E-14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161.92866721009744</v>
      </c>
      <c r="T158" s="59">
        <f t="shared" si="142"/>
        <v>327.23695023676987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9.7656025697389435</v>
      </c>
      <c r="AA158" s="21">
        <f>EXP(-LN(2)/25)*AA157+(1-EXP(-LN(2)/25))/(LN(2)/25)*Calculateur!V158*Calculateur!X158*VLOOKUP('Données projet'!$B$9,Paramètres!$A$1:$I$89,3,0)*0.475*44/12</f>
        <v>0.74426164965138686</v>
      </c>
      <c r="AB158" s="21">
        <f>EXP(-LN(2)/2)*AB157+(1-EXP(-LN(2)/2))/(LN(2)/2)*V158*Y158*VLOOKUP('Données projet'!$B$9,Paramètres!$A$1:$I$89,3,0)*0.475*44/12</f>
        <v>1.2251976001875653E-17</v>
      </c>
      <c r="AC158" s="22">
        <f t="shared" si="163"/>
        <v>10.50986421939033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 t="e">
        <f>AI158*VLOOKUP('Données projet'!$B$10,Paramètres!$A$1:$I$89,3,0)*VLOOKUP('Données projet'!$B$10,Paramètres!$A$1:$I$89,5,0)</f>
        <v>#N/A</v>
      </c>
      <c r="AK158" s="13" t="e">
        <f t="shared" si="164"/>
        <v>#N/A</v>
      </c>
      <c r="AL158" s="20" t="e">
        <f t="shared" si="165"/>
        <v>#N/A</v>
      </c>
      <c r="AM158" s="59" t="e">
        <f t="shared" si="113"/>
        <v>#N/A</v>
      </c>
      <c r="AN158" s="59" t="e">
        <f ca="1">AVERAGE(OFFSET($AM$3,0,0,'Données projet'!$E$10+1,1))-AVERAGE(OFFSET($H$3,0,0,'Données projet'!$E$10+1,1))</f>
        <v>#N/A</v>
      </c>
      <c r="AO158" s="59" t="e">
        <f t="shared" si="144"/>
        <v>#N/A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 t="e">
        <f>EXP(-LN(2)/35)*AU157+(1-EXP(-LN(2)/35))/(LN(2)/35)*AQ158*AR158*VLOOKUP('Données projet'!$B$10,Paramètres!$A$1:$I$89,3,0)*0.475*44/12</f>
        <v>#N/A</v>
      </c>
      <c r="AV158" s="21" t="e">
        <f>EXP(-LN(2)/25)*AV157+(1-EXP(-LN(2)/25))/(LN(2)/25)*Calculateur!AQ158*Calculateur!AS158*VLOOKUP('Données projet'!$B$10,Paramètres!$A$1:$I$89,3,0)*0.475*44/12</f>
        <v>#N/A</v>
      </c>
      <c r="AW158" s="21" t="e">
        <f>EXP(-LN(2)/2)*AW157+(1-EXP(-LN(2)/2))/(LN(2)/2)*AQ158*AT158*VLOOKUP('Données projet'!$B$10,Paramètres!$A$1:$I$89,3,0)*0.475*44/12</f>
        <v>#N/A</v>
      </c>
      <c r="AX158" s="21" t="e">
        <f t="shared" si="166"/>
        <v>#N/A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1">
        <f t="shared" si="140"/>
        <v>36.002518112950014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67">
        <f t="shared" si="110"/>
        <v>560.96669238005484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-5.6843418860808015E-14</v>
      </c>
      <c r="O159" s="13">
        <f>N159*VLOOKUP('Données projet'!$B$9,Paramètres!$A$1:$I$89,3,0)*VLOOKUP('Données projet'!$B$9,Paramètres!$A$1:$I$89,5,0)</f>
        <v>-3.3992364478763198E-14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161.92866721009744</v>
      </c>
      <c r="T159" s="59">
        <f t="shared" si="142"/>
        <v>327.23695023676987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9.574105059775782</v>
      </c>
      <c r="AA159" s="21">
        <f>EXP(-LN(2)/25)*AA158+(1-EXP(-LN(2)/25))/(LN(2)/25)*Calculateur!V159*Calculateur!X159*VLOOKUP('Données projet'!$B$9,Paramètres!$A$1:$I$89,3,0)*0.475*44/12</f>
        <v>0.72390977570265058</v>
      </c>
      <c r="AB159" s="21">
        <f>EXP(-LN(2)/2)*AB158+(1-EXP(-LN(2)/2))/(LN(2)/2)*V159*Y159*VLOOKUP('Données projet'!$B$9,Paramètres!$A$1:$I$89,3,0)*0.475*44/12</f>
        <v>8.6634553138611184E-18</v>
      </c>
      <c r="AC159" s="22">
        <f t="shared" si="163"/>
        <v>10.298014835478433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 t="e">
        <f>AI159*VLOOKUP('Données projet'!$B$10,Paramètres!$A$1:$I$89,3,0)*VLOOKUP('Données projet'!$B$10,Paramètres!$A$1:$I$89,5,0)</f>
        <v>#N/A</v>
      </c>
      <c r="AK159" s="13" t="e">
        <f t="shared" si="164"/>
        <v>#N/A</v>
      </c>
      <c r="AL159" s="20" t="e">
        <f t="shared" si="165"/>
        <v>#N/A</v>
      </c>
      <c r="AM159" s="59" t="e">
        <f t="shared" si="113"/>
        <v>#N/A</v>
      </c>
      <c r="AN159" s="59" t="e">
        <f ca="1">AVERAGE(OFFSET($AM$3,0,0,'Données projet'!$E$10+1,1))-AVERAGE(OFFSET($H$3,0,0,'Données projet'!$E$10+1,1))</f>
        <v>#N/A</v>
      </c>
      <c r="AO159" s="59" t="e">
        <f t="shared" si="144"/>
        <v>#N/A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 t="e">
        <f>EXP(-LN(2)/35)*AU158+(1-EXP(-LN(2)/35))/(LN(2)/35)*AQ159*AR159*VLOOKUP('Données projet'!$B$10,Paramètres!$A$1:$I$89,3,0)*0.475*44/12</f>
        <v>#N/A</v>
      </c>
      <c r="AV159" s="21" t="e">
        <f>EXP(-LN(2)/25)*AV158+(1-EXP(-LN(2)/25))/(LN(2)/25)*Calculateur!AQ159*Calculateur!AS159*VLOOKUP('Données projet'!$B$10,Paramètres!$A$1:$I$89,3,0)*0.475*44/12</f>
        <v>#N/A</v>
      </c>
      <c r="AW159" s="21" t="e">
        <f>EXP(-LN(2)/2)*AW158+(1-EXP(-LN(2)/2))/(LN(2)/2)*AQ159*AT159*VLOOKUP('Données projet'!$B$10,Paramètres!$A$1:$I$89,3,0)*0.475*44/12</f>
        <v>#N/A</v>
      </c>
      <c r="AX159" s="21" t="e">
        <f t="shared" si="166"/>
        <v>#N/A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1">
        <f t="shared" si="140"/>
        <v>36.206364170402217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67">
        <f t="shared" si="110"/>
        <v>562.8704142634507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-5.6843418860808015E-14</v>
      </c>
      <c r="O160" s="13">
        <f>N160*VLOOKUP('Données projet'!$B$9,Paramètres!$A$1:$I$89,3,0)*VLOOKUP('Données projet'!$B$9,Paramètres!$A$1:$I$89,5,0)</f>
        <v>-3.3992364478763198E-14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161.92866721009744</v>
      </c>
      <c r="T160" s="59">
        <f t="shared" si="142"/>
        <v>327.23695023676987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9.3863626991810492</v>
      </c>
      <c r="AA160" s="21">
        <f>EXP(-LN(2)/25)*AA159+(1-EXP(-LN(2)/25))/(LN(2)/25)*Calculateur!V160*Calculateur!X160*VLOOKUP('Données projet'!$B$9,Paramètres!$A$1:$I$89,3,0)*0.475*44/12</f>
        <v>0.70411442481730102</v>
      </c>
      <c r="AB160" s="21">
        <f>EXP(-LN(2)/2)*AB159+(1-EXP(-LN(2)/2))/(LN(2)/2)*V160*Y160*VLOOKUP('Données projet'!$B$9,Paramètres!$A$1:$I$89,3,0)*0.475*44/12</f>
        <v>6.1259880009378263E-18</v>
      </c>
      <c r="AC160" s="22">
        <f t="shared" si="163"/>
        <v>10.090477123998351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 t="e">
        <f>AI160*VLOOKUP('Données projet'!$B$10,Paramètres!$A$1:$I$89,3,0)*VLOOKUP('Données projet'!$B$10,Paramètres!$A$1:$I$89,5,0)</f>
        <v>#N/A</v>
      </c>
      <c r="AK160" s="13" t="e">
        <f t="shared" si="164"/>
        <v>#N/A</v>
      </c>
      <c r="AL160" s="20" t="e">
        <f t="shared" si="165"/>
        <v>#N/A</v>
      </c>
      <c r="AM160" s="59" t="e">
        <f t="shared" si="113"/>
        <v>#N/A</v>
      </c>
      <c r="AN160" s="59" t="e">
        <f ca="1">AVERAGE(OFFSET($AM$3,0,0,'Données projet'!$E$10+1,1))-AVERAGE(OFFSET($H$3,0,0,'Données projet'!$E$10+1,1))</f>
        <v>#N/A</v>
      </c>
      <c r="AO160" s="59" t="e">
        <f t="shared" si="144"/>
        <v>#N/A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 t="e">
        <f>EXP(-LN(2)/35)*AU159+(1-EXP(-LN(2)/35))/(LN(2)/35)*AQ160*AR160*VLOOKUP('Données projet'!$B$10,Paramètres!$A$1:$I$89,3,0)*0.475*44/12</f>
        <v>#N/A</v>
      </c>
      <c r="AV160" s="21" t="e">
        <f>EXP(-LN(2)/25)*AV159+(1-EXP(-LN(2)/25))/(LN(2)/25)*Calculateur!AQ160*Calculateur!AS160*VLOOKUP('Données projet'!$B$10,Paramètres!$A$1:$I$89,3,0)*0.475*44/12</f>
        <v>#N/A</v>
      </c>
      <c r="AW160" s="21" t="e">
        <f>EXP(-LN(2)/2)*AW159+(1-EXP(-LN(2)/2))/(LN(2)/2)*AQ160*AT160*VLOOKUP('Données projet'!$B$10,Paramètres!$A$1:$I$89,3,0)*0.475*44/12</f>
        <v>#N/A</v>
      </c>
      <c r="AX160" s="21" t="e">
        <f t="shared" si="166"/>
        <v>#N/A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1">
        <f t="shared" si="140"/>
        <v>36.410059151057943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67">
        <f t="shared" si="110"/>
        <v>564.77387302142597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-5.6843418860808015E-14</v>
      </c>
      <c r="O161" s="13">
        <f>N161*VLOOKUP('Données projet'!$B$9,Paramètres!$A$1:$I$89,3,0)*VLOOKUP('Données projet'!$B$9,Paramètres!$A$1:$I$89,5,0)</f>
        <v>-3.3992364478763198E-14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161.92866721009744</v>
      </c>
      <c r="T161" s="59">
        <f t="shared" si="142"/>
        <v>327.23695023676987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9.2023018517660464</v>
      </c>
      <c r="AA161" s="21">
        <f>EXP(-LN(2)/25)*AA160+(1-EXP(-LN(2)/25))/(LN(2)/25)*Calculateur!V161*Calculateur!X161*VLOOKUP('Données projet'!$B$9,Paramètres!$A$1:$I$89,3,0)*0.475*44/12</f>
        <v>0.68486037884290363</v>
      </c>
      <c r="AB161" s="21">
        <f>EXP(-LN(2)/2)*AB160+(1-EXP(-LN(2)/2))/(LN(2)/2)*V161*Y161*VLOOKUP('Données projet'!$B$9,Paramètres!$A$1:$I$89,3,0)*0.475*44/12</f>
        <v>4.3317276569305592E-18</v>
      </c>
      <c r="AC161" s="22">
        <f t="shared" si="163"/>
        <v>9.8871622306089506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 t="e">
        <f>AI161*VLOOKUP('Données projet'!$B$10,Paramètres!$A$1:$I$89,3,0)*VLOOKUP('Données projet'!$B$10,Paramètres!$A$1:$I$89,5,0)</f>
        <v>#N/A</v>
      </c>
      <c r="AK161" s="13" t="e">
        <f t="shared" si="164"/>
        <v>#N/A</v>
      </c>
      <c r="AL161" s="20" t="e">
        <f t="shared" si="165"/>
        <v>#N/A</v>
      </c>
      <c r="AM161" s="59" t="e">
        <f t="shared" si="113"/>
        <v>#N/A</v>
      </c>
      <c r="AN161" s="59" t="e">
        <f ca="1">AVERAGE(OFFSET($AM$3,0,0,'Données projet'!$E$10+1,1))-AVERAGE(OFFSET($H$3,0,0,'Données projet'!$E$10+1,1))</f>
        <v>#N/A</v>
      </c>
      <c r="AO161" s="59" t="e">
        <f t="shared" si="144"/>
        <v>#N/A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 t="e">
        <f>EXP(-LN(2)/35)*AU160+(1-EXP(-LN(2)/35))/(LN(2)/35)*AQ161*AR161*VLOOKUP('Données projet'!$B$10,Paramètres!$A$1:$I$89,3,0)*0.475*44/12</f>
        <v>#N/A</v>
      </c>
      <c r="AV161" s="21" t="e">
        <f>EXP(-LN(2)/25)*AV160+(1-EXP(-LN(2)/25))/(LN(2)/25)*Calculateur!AQ161*Calculateur!AS161*VLOOKUP('Données projet'!$B$10,Paramètres!$A$1:$I$89,3,0)*0.475*44/12</f>
        <v>#N/A</v>
      </c>
      <c r="AW161" s="21" t="e">
        <f>EXP(-LN(2)/2)*AW160+(1-EXP(-LN(2)/2))/(LN(2)/2)*AQ161*AT161*VLOOKUP('Données projet'!$B$10,Paramètres!$A$1:$I$89,3,0)*0.475*44/12</f>
        <v>#N/A</v>
      </c>
      <c r="AX161" s="21" t="e">
        <f t="shared" si="166"/>
        <v>#N/A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1">
        <f t="shared" si="140"/>
        <v>36.613604122020263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67">
        <f t="shared" si="110"/>
        <v>566.67707051251875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-5.6843418860808015E-14</v>
      </c>
      <c r="O162" s="13">
        <f>N162*VLOOKUP('Données projet'!$B$9,Paramètres!$A$1:$I$89,3,0)*VLOOKUP('Données projet'!$B$9,Paramètres!$A$1:$I$89,5,0)</f>
        <v>-3.3992364478763198E-14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161.92866721009744</v>
      </c>
      <c r="T162" s="59">
        <f t="shared" si="142"/>
        <v>327.23695023676987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9.0218503253028217</v>
      </c>
      <c r="AA162" s="21">
        <f>EXP(-LN(2)/25)*AA161+(1-EXP(-LN(2)/25))/(LN(2)/25)*Calculateur!V162*Calculateur!X162*VLOOKUP('Données projet'!$B$9,Paramètres!$A$1:$I$89,3,0)*0.475*44/12</f>
        <v>0.66613283576820237</v>
      </c>
      <c r="AB162" s="21">
        <f>EXP(-LN(2)/2)*AB161+(1-EXP(-LN(2)/2))/(LN(2)/2)*V162*Y162*VLOOKUP('Données projet'!$B$9,Paramètres!$A$1:$I$89,3,0)*0.475*44/12</f>
        <v>3.0629940004689131E-18</v>
      </c>
      <c r="AC162" s="22">
        <f t="shared" si="163"/>
        <v>9.6879831610710241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 t="e">
        <f>AI162*VLOOKUP('Données projet'!$B$10,Paramètres!$A$1:$I$89,3,0)*VLOOKUP('Données projet'!$B$10,Paramètres!$A$1:$I$89,5,0)</f>
        <v>#N/A</v>
      </c>
      <c r="AK162" s="13" t="e">
        <f t="shared" si="164"/>
        <v>#N/A</v>
      </c>
      <c r="AL162" s="20" t="e">
        <f t="shared" si="165"/>
        <v>#N/A</v>
      </c>
      <c r="AM162" s="59" t="e">
        <f t="shared" si="113"/>
        <v>#N/A</v>
      </c>
      <c r="AN162" s="59" t="e">
        <f ca="1">AVERAGE(OFFSET($AM$3,0,0,'Données projet'!$E$10+1,1))-AVERAGE(OFFSET($H$3,0,0,'Données projet'!$E$10+1,1))</f>
        <v>#N/A</v>
      </c>
      <c r="AO162" s="59" t="e">
        <f t="shared" si="144"/>
        <v>#N/A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 t="e">
        <f>EXP(-LN(2)/35)*AU161+(1-EXP(-LN(2)/35))/(LN(2)/35)*AQ162*AR162*VLOOKUP('Données projet'!$B$10,Paramètres!$A$1:$I$89,3,0)*0.475*44/12</f>
        <v>#N/A</v>
      </c>
      <c r="AV162" s="21" t="e">
        <f>EXP(-LN(2)/25)*AV161+(1-EXP(-LN(2)/25))/(LN(2)/25)*Calculateur!AQ162*Calculateur!AS162*VLOOKUP('Données projet'!$B$10,Paramètres!$A$1:$I$89,3,0)*0.475*44/12</f>
        <v>#N/A</v>
      </c>
      <c r="AW162" s="21" t="e">
        <f>EXP(-LN(2)/2)*AW161+(1-EXP(-LN(2)/2))/(LN(2)/2)*AQ162*AT162*VLOOKUP('Données projet'!$B$10,Paramètres!$A$1:$I$89,3,0)*0.475*44/12</f>
        <v>#N/A</v>
      </c>
      <c r="AX162" s="21" t="e">
        <f t="shared" si="166"/>
        <v>#N/A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1">
        <f t="shared" si="140"/>
        <v>36.817000136193258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67">
        <f t="shared" si="110"/>
        <v>568.58000857053662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-5.6843418860808015E-14</v>
      </c>
      <c r="O163" s="13">
        <f>N163*VLOOKUP('Données projet'!$B$9,Paramètres!$A$1:$I$89,3,0)*VLOOKUP('Données projet'!$B$9,Paramètres!$A$1:$I$89,5,0)</f>
        <v>-3.3992364478763198E-14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161.92866721009744</v>
      </c>
      <c r="T163" s="59">
        <f t="shared" si="142"/>
        <v>327.23695023676987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8.8449373432089775</v>
      </c>
      <c r="AA163" s="21">
        <f>EXP(-LN(2)/25)*AA162+(1-EXP(-LN(2)/25))/(LN(2)/25)*Calculateur!V163*Calculateur!X163*VLOOKUP('Données projet'!$B$9,Paramètres!$A$1:$I$89,3,0)*0.475*44/12</f>
        <v>0.64791739834371753</v>
      </c>
      <c r="AB163" s="21">
        <f>EXP(-LN(2)/2)*AB162+(1-EXP(-LN(2)/2))/(LN(2)/2)*V163*Y163*VLOOKUP('Données projet'!$B$9,Paramètres!$A$1:$I$89,3,0)*0.475*44/12</f>
        <v>2.1658638284652796E-18</v>
      </c>
      <c r="AC163" s="22">
        <f t="shared" si="163"/>
        <v>9.4928547415526943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 t="e">
        <f>AI163*VLOOKUP('Données projet'!$B$10,Paramètres!$A$1:$I$89,3,0)*VLOOKUP('Données projet'!$B$10,Paramètres!$A$1:$I$89,5,0)</f>
        <v>#N/A</v>
      </c>
      <c r="AK163" s="13" t="e">
        <f t="shared" si="164"/>
        <v>#N/A</v>
      </c>
      <c r="AL163" s="20" t="e">
        <f t="shared" si="165"/>
        <v>#N/A</v>
      </c>
      <c r="AM163" s="59" t="e">
        <f t="shared" si="113"/>
        <v>#N/A</v>
      </c>
      <c r="AN163" s="59" t="e">
        <f ca="1">AVERAGE(OFFSET($AM$3,0,0,'Données projet'!$E$10+1,1))-AVERAGE(OFFSET($H$3,0,0,'Données projet'!$E$10+1,1))</f>
        <v>#N/A</v>
      </c>
      <c r="AO163" s="59" t="e">
        <f t="shared" si="144"/>
        <v>#N/A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 t="e">
        <f>EXP(-LN(2)/35)*AU162+(1-EXP(-LN(2)/35))/(LN(2)/35)*AQ163*AR163*VLOOKUP('Données projet'!$B$10,Paramètres!$A$1:$I$89,3,0)*0.475*44/12</f>
        <v>#N/A</v>
      </c>
      <c r="AV163" s="21" t="e">
        <f>EXP(-LN(2)/25)*AV162+(1-EXP(-LN(2)/25))/(LN(2)/25)*Calculateur!AQ163*Calculateur!AS163*VLOOKUP('Données projet'!$B$10,Paramètres!$A$1:$I$89,3,0)*0.475*44/12</f>
        <v>#N/A</v>
      </c>
      <c r="AW163" s="21" t="e">
        <f>EXP(-LN(2)/2)*AW162+(1-EXP(-LN(2)/2))/(LN(2)/2)*AQ163*AT163*VLOOKUP('Données projet'!$B$10,Paramètres!$A$1:$I$89,3,0)*0.475*44/12</f>
        <v>#N/A</v>
      </c>
      <c r="AX163" s="21" t="e">
        <f t="shared" si="166"/>
        <v>#N/A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1">
        <f t="shared" si="140"/>
        <v>37.020248232558458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67">
        <f t="shared" si="110"/>
        <v>570.48268900503945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-5.6843418860808015E-14</v>
      </c>
      <c r="O164" s="13">
        <f>N164*VLOOKUP('Données projet'!$B$9,Paramètres!$A$1:$I$89,3,0)*VLOOKUP('Données projet'!$B$9,Paramètres!$A$1:$I$89,5,0)</f>
        <v>-3.3992364478763198E-14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161.92866721009744</v>
      </c>
      <c r="T164" s="59">
        <f t="shared" si="142"/>
        <v>327.23695023676987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8.671493516787729</v>
      </c>
      <c r="AA164" s="21">
        <f>EXP(-LN(2)/25)*AA163+(1-EXP(-LN(2)/25))/(LN(2)/25)*Calculateur!V164*Calculateur!X164*VLOOKUP('Données projet'!$B$9,Paramètres!$A$1:$I$89,3,0)*0.475*44/12</f>
        <v>0.63020006301351339</v>
      </c>
      <c r="AB164" s="21">
        <f>EXP(-LN(2)/2)*AB163+(1-EXP(-LN(2)/2))/(LN(2)/2)*V164*Y164*VLOOKUP('Données projet'!$B$9,Paramètres!$A$1:$I$89,3,0)*0.475*44/12</f>
        <v>1.5314970002344566E-18</v>
      </c>
      <c r="AC164" s="22">
        <f t="shared" si="163"/>
        <v>9.3016935798012419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 t="e">
        <f>AI164*VLOOKUP('Données projet'!$B$10,Paramètres!$A$1:$I$89,3,0)*VLOOKUP('Données projet'!$B$10,Paramètres!$A$1:$I$89,5,0)</f>
        <v>#N/A</v>
      </c>
      <c r="AK164" s="13" t="e">
        <f t="shared" si="164"/>
        <v>#N/A</v>
      </c>
      <c r="AL164" s="20" t="e">
        <f t="shared" si="165"/>
        <v>#N/A</v>
      </c>
      <c r="AM164" s="59" t="e">
        <f t="shared" si="113"/>
        <v>#N/A</v>
      </c>
      <c r="AN164" s="59" t="e">
        <f ca="1">AVERAGE(OFFSET($AM$3,0,0,'Données projet'!$E$10+1,1))-AVERAGE(OFFSET($H$3,0,0,'Données projet'!$E$10+1,1))</f>
        <v>#N/A</v>
      </c>
      <c r="AO164" s="59" t="e">
        <f t="shared" si="144"/>
        <v>#N/A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 t="e">
        <f>EXP(-LN(2)/35)*AU163+(1-EXP(-LN(2)/35))/(LN(2)/35)*AQ164*AR164*VLOOKUP('Données projet'!$B$10,Paramètres!$A$1:$I$89,3,0)*0.475*44/12</f>
        <v>#N/A</v>
      </c>
      <c r="AV164" s="21" t="e">
        <f>EXP(-LN(2)/25)*AV163+(1-EXP(-LN(2)/25))/(LN(2)/25)*Calculateur!AQ164*Calculateur!AS164*VLOOKUP('Données projet'!$B$10,Paramètres!$A$1:$I$89,3,0)*0.475*44/12</f>
        <v>#N/A</v>
      </c>
      <c r="AW164" s="21" t="e">
        <f>EXP(-LN(2)/2)*AW163+(1-EXP(-LN(2)/2))/(LN(2)/2)*AQ164*AT164*VLOOKUP('Données projet'!$B$10,Paramètres!$A$1:$I$89,3,0)*0.475*44/12</f>
        <v>#N/A</v>
      </c>
      <c r="AX164" s="21" t="e">
        <f t="shared" si="166"/>
        <v>#N/A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1">
        <f t="shared" si="140"/>
        <v>37.223349436444416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67">
        <f t="shared" si="110"/>
        <v>572.38511360180746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-5.6843418860808015E-14</v>
      </c>
      <c r="O165" s="13">
        <f>N165*VLOOKUP('Données projet'!$B$9,Paramètres!$A$1:$I$89,3,0)*VLOOKUP('Données projet'!$B$9,Paramètres!$A$1:$I$89,5,0)</f>
        <v>-3.3992364478763198E-14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161.92866721009744</v>
      </c>
      <c r="T165" s="59">
        <f t="shared" si="142"/>
        <v>327.23695023676987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8.5014508180123123</v>
      </c>
      <c r="AA165" s="21">
        <f>EXP(-LN(2)/25)*AA164+(1-EXP(-LN(2)/25))/(LN(2)/25)*Calculateur!V165*Calculateur!X165*VLOOKUP('Données projet'!$B$9,Paramètres!$A$1:$I$89,3,0)*0.475*44/12</f>
        <v>0.61296720914962788</v>
      </c>
      <c r="AB165" s="21">
        <f>EXP(-LN(2)/2)*AB164+(1-EXP(-LN(2)/2))/(LN(2)/2)*V165*Y165*VLOOKUP('Données projet'!$B$9,Paramètres!$A$1:$I$89,3,0)*0.475*44/12</f>
        <v>1.0829319142326398E-18</v>
      </c>
      <c r="AC165" s="22">
        <f t="shared" si="163"/>
        <v>9.1144180271619408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 t="e">
        <f>AI165*VLOOKUP('Données projet'!$B$10,Paramètres!$A$1:$I$89,3,0)*VLOOKUP('Données projet'!$B$10,Paramètres!$A$1:$I$89,5,0)</f>
        <v>#N/A</v>
      </c>
      <c r="AK165" s="13" t="e">
        <f t="shared" si="164"/>
        <v>#N/A</v>
      </c>
      <c r="AL165" s="20" t="e">
        <f t="shared" si="165"/>
        <v>#N/A</v>
      </c>
      <c r="AM165" s="59" t="e">
        <f t="shared" si="113"/>
        <v>#N/A</v>
      </c>
      <c r="AN165" s="59" t="e">
        <f ca="1">AVERAGE(OFFSET($AM$3,0,0,'Données projet'!$E$10+1,1))-AVERAGE(OFFSET($H$3,0,0,'Données projet'!$E$10+1,1))</f>
        <v>#N/A</v>
      </c>
      <c r="AO165" s="59" t="e">
        <f t="shared" si="144"/>
        <v>#N/A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 t="e">
        <f>EXP(-LN(2)/35)*AU164+(1-EXP(-LN(2)/35))/(LN(2)/35)*AQ165*AR165*VLOOKUP('Données projet'!$B$10,Paramètres!$A$1:$I$89,3,0)*0.475*44/12</f>
        <v>#N/A</v>
      </c>
      <c r="AV165" s="21" t="e">
        <f>EXP(-LN(2)/25)*AV164+(1-EXP(-LN(2)/25))/(LN(2)/25)*Calculateur!AQ165*Calculateur!AS165*VLOOKUP('Données projet'!$B$10,Paramètres!$A$1:$I$89,3,0)*0.475*44/12</f>
        <v>#N/A</v>
      </c>
      <c r="AW165" s="21" t="e">
        <f>EXP(-LN(2)/2)*AW164+(1-EXP(-LN(2)/2))/(LN(2)/2)*AQ165*AT165*VLOOKUP('Données projet'!$B$10,Paramètres!$A$1:$I$89,3,0)*0.475*44/12</f>
        <v>#N/A</v>
      </c>
      <c r="AX165" s="21" t="e">
        <f t="shared" si="166"/>
        <v>#N/A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1">
        <f t="shared" si="140"/>
        <v>37.426304759789126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67">
        <f t="shared" si="110"/>
        <v>574.28728412329951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-5.6843418860808015E-14</v>
      </c>
      <c r="O166" s="13">
        <f>N166*VLOOKUP('Données projet'!$B$9,Paramètres!$A$1:$I$89,3,0)*VLOOKUP('Données projet'!$B$9,Paramètres!$A$1:$I$89,5,0)</f>
        <v>-3.3992364478763198E-14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161.92866721009744</v>
      </c>
      <c r="T166" s="59">
        <f t="shared" si="142"/>
        <v>327.23695023676987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8.3347425528440766</v>
      </c>
      <c r="AA166" s="21">
        <f>EXP(-LN(2)/25)*AA165+(1-EXP(-LN(2)/25))/(LN(2)/25)*Calculateur!V166*Calculateur!X166*VLOOKUP('Données projet'!$B$9,Paramètres!$A$1:$I$89,3,0)*0.475*44/12</f>
        <v>0.59620558858088668</v>
      </c>
      <c r="AB166" s="21">
        <f>EXP(-LN(2)/2)*AB165+(1-EXP(-LN(2)/2))/(LN(2)/2)*V166*Y166*VLOOKUP('Données projet'!$B$9,Paramètres!$A$1:$I$89,3,0)*0.475*44/12</f>
        <v>7.6574850011722828E-19</v>
      </c>
      <c r="AC166" s="22">
        <f t="shared" si="163"/>
        <v>8.9309481414249632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 t="e">
        <f>AI166*VLOOKUP('Données projet'!$B$10,Paramètres!$A$1:$I$89,3,0)*VLOOKUP('Données projet'!$B$10,Paramètres!$A$1:$I$89,5,0)</f>
        <v>#N/A</v>
      </c>
      <c r="AK166" s="13" t="e">
        <f t="shared" si="164"/>
        <v>#N/A</v>
      </c>
      <c r="AL166" s="20" t="e">
        <f t="shared" si="165"/>
        <v>#N/A</v>
      </c>
      <c r="AM166" s="59" t="e">
        <f t="shared" si="113"/>
        <v>#N/A</v>
      </c>
      <c r="AN166" s="59" t="e">
        <f ca="1">AVERAGE(OFFSET($AM$3,0,0,'Données projet'!$E$10+1,1))-AVERAGE(OFFSET($H$3,0,0,'Données projet'!$E$10+1,1))</f>
        <v>#N/A</v>
      </c>
      <c r="AO166" s="59" t="e">
        <f t="shared" si="144"/>
        <v>#N/A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 t="e">
        <f>EXP(-LN(2)/35)*AU165+(1-EXP(-LN(2)/35))/(LN(2)/35)*AQ166*AR166*VLOOKUP('Données projet'!$B$10,Paramètres!$A$1:$I$89,3,0)*0.475*44/12</f>
        <v>#N/A</v>
      </c>
      <c r="AV166" s="21" t="e">
        <f>EXP(-LN(2)/25)*AV165+(1-EXP(-LN(2)/25))/(LN(2)/25)*Calculateur!AQ166*Calculateur!AS166*VLOOKUP('Données projet'!$B$10,Paramètres!$A$1:$I$89,3,0)*0.475*44/12</f>
        <v>#N/A</v>
      </c>
      <c r="AW166" s="21" t="e">
        <f>EXP(-LN(2)/2)*AW165+(1-EXP(-LN(2)/2))/(LN(2)/2)*AQ166*AT166*VLOOKUP('Données projet'!$B$10,Paramètres!$A$1:$I$89,3,0)*0.475*44/12</f>
        <v>#N/A</v>
      </c>
      <c r="AX166" s="21" t="e">
        <f t="shared" si="166"/>
        <v>#N/A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1">
        <f t="shared" si="140"/>
        <v>37.629115201395898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67">
        <f t="shared" si="110"/>
        <v>576.18920230909794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-5.6843418860808015E-14</v>
      </c>
      <c r="O167" s="13">
        <f>N167*VLOOKUP('Données projet'!$B$9,Paramètres!$A$1:$I$89,3,0)*VLOOKUP('Données projet'!$B$9,Paramètres!$A$1:$I$89,5,0)</f>
        <v>-3.3992364478763198E-14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161.92866721009744</v>
      </c>
      <c r="T167" s="59">
        <f t="shared" si="142"/>
        <v>327.23695023676987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8.1713033350737891</v>
      </c>
      <c r="AA167" s="21">
        <f>EXP(-LN(2)/25)*AA166+(1-EXP(-LN(2)/25))/(LN(2)/25)*Calculateur!V167*Calculateur!X167*VLOOKUP('Données projet'!$B$9,Paramètres!$A$1:$I$89,3,0)*0.475*44/12</f>
        <v>0.57990231540805304</v>
      </c>
      <c r="AB167" s="21">
        <f>EXP(-LN(2)/2)*AB166+(1-EXP(-LN(2)/2))/(LN(2)/2)*V167*Y167*VLOOKUP('Données projet'!$B$9,Paramètres!$A$1:$I$89,3,0)*0.475*44/12</f>
        <v>5.414659571163199E-19</v>
      </c>
      <c r="AC167" s="22">
        <f t="shared" si="163"/>
        <v>8.7512056504818414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 t="e">
        <f>AI167*VLOOKUP('Données projet'!$B$10,Paramètres!$A$1:$I$89,3,0)*VLOOKUP('Données projet'!$B$10,Paramètres!$A$1:$I$89,5,0)</f>
        <v>#N/A</v>
      </c>
      <c r="AK167" s="13" t="e">
        <f t="shared" si="164"/>
        <v>#N/A</v>
      </c>
      <c r="AL167" s="20" t="e">
        <f t="shared" si="165"/>
        <v>#N/A</v>
      </c>
      <c r="AM167" s="59" t="e">
        <f t="shared" si="113"/>
        <v>#N/A</v>
      </c>
      <c r="AN167" s="59" t="e">
        <f ca="1">AVERAGE(OFFSET($AM$3,0,0,'Données projet'!$E$10+1,1))-AVERAGE(OFFSET($H$3,0,0,'Données projet'!$E$10+1,1))</f>
        <v>#N/A</v>
      </c>
      <c r="AO167" s="59" t="e">
        <f t="shared" si="144"/>
        <v>#N/A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 t="e">
        <f>EXP(-LN(2)/35)*AU166+(1-EXP(-LN(2)/35))/(LN(2)/35)*AQ167*AR167*VLOOKUP('Données projet'!$B$10,Paramètres!$A$1:$I$89,3,0)*0.475*44/12</f>
        <v>#N/A</v>
      </c>
      <c r="AV167" s="21" t="e">
        <f>EXP(-LN(2)/25)*AV166+(1-EXP(-LN(2)/25))/(LN(2)/25)*Calculateur!AQ167*Calculateur!AS167*VLOOKUP('Données projet'!$B$10,Paramètres!$A$1:$I$89,3,0)*0.475*44/12</f>
        <v>#N/A</v>
      </c>
      <c r="AW167" s="21" t="e">
        <f>EXP(-LN(2)/2)*AW166+(1-EXP(-LN(2)/2))/(LN(2)/2)*AQ167*AT167*VLOOKUP('Données projet'!$B$10,Paramètres!$A$1:$I$89,3,0)*0.475*44/12</f>
        <v>#N/A</v>
      </c>
      <c r="AX167" s="21" t="e">
        <f t="shared" si="166"/>
        <v>#N/A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1">
        <f t="shared" si="140"/>
        <v>37.831781747183037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67">
        <f t="shared" si="110"/>
        <v>578.09086987634385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-5.6843418860808015E-14</v>
      </c>
      <c r="O168" s="13">
        <f>N168*VLOOKUP('Données projet'!$B$9,Paramètres!$A$1:$I$89,3,0)*VLOOKUP('Données projet'!$B$9,Paramètres!$A$1:$I$89,5,0)</f>
        <v>-3.3992364478763198E-14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161.92866721009744</v>
      </c>
      <c r="T168" s="59">
        <f t="shared" si="142"/>
        <v>327.23695023676987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8.0110690606758972</v>
      </c>
      <c r="AA168" s="21">
        <f>EXP(-LN(2)/25)*AA167+(1-EXP(-LN(2)/25))/(LN(2)/25)*Calculateur!V168*Calculateur!X168*VLOOKUP('Données projet'!$B$9,Paramètres!$A$1:$I$89,3,0)*0.475*44/12</f>
        <v>0.56404485609748245</v>
      </c>
      <c r="AB168" s="21">
        <f>EXP(-LN(2)/2)*AB167+(1-EXP(-LN(2)/2))/(LN(2)/2)*V168*Y168*VLOOKUP('Données projet'!$B$9,Paramètres!$A$1:$I$89,3,0)*0.475*44/12</f>
        <v>3.8287425005861414E-19</v>
      </c>
      <c r="AC168" s="22">
        <f t="shared" si="163"/>
        <v>8.575113916773379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 t="e">
        <f>AI168*VLOOKUP('Données projet'!$B$10,Paramètres!$A$1:$I$89,3,0)*VLOOKUP('Données projet'!$B$10,Paramètres!$A$1:$I$89,5,0)</f>
        <v>#N/A</v>
      </c>
      <c r="AK168" s="13" t="e">
        <f t="shared" si="164"/>
        <v>#N/A</v>
      </c>
      <c r="AL168" s="20" t="e">
        <f t="shared" si="165"/>
        <v>#N/A</v>
      </c>
      <c r="AM168" s="59" t="e">
        <f t="shared" si="113"/>
        <v>#N/A</v>
      </c>
      <c r="AN168" s="59" t="e">
        <f ca="1">AVERAGE(OFFSET($AM$3,0,0,'Données projet'!$E$10+1,1))-AVERAGE(OFFSET($H$3,0,0,'Données projet'!$E$10+1,1))</f>
        <v>#N/A</v>
      </c>
      <c r="AO168" s="59" t="e">
        <f t="shared" si="144"/>
        <v>#N/A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 t="e">
        <f>EXP(-LN(2)/35)*AU167+(1-EXP(-LN(2)/35))/(LN(2)/35)*AQ168*AR168*VLOOKUP('Données projet'!$B$10,Paramètres!$A$1:$I$89,3,0)*0.475*44/12</f>
        <v>#N/A</v>
      </c>
      <c r="AV168" s="21" t="e">
        <f>EXP(-LN(2)/25)*AV167+(1-EXP(-LN(2)/25))/(LN(2)/25)*Calculateur!AQ168*Calculateur!AS168*VLOOKUP('Données projet'!$B$10,Paramètres!$A$1:$I$89,3,0)*0.475*44/12</f>
        <v>#N/A</v>
      </c>
      <c r="AW168" s="21" t="e">
        <f>EXP(-LN(2)/2)*AW167+(1-EXP(-LN(2)/2))/(LN(2)/2)*AQ168*AT168*VLOOKUP('Données projet'!$B$10,Paramètres!$A$1:$I$89,3,0)*0.475*44/12</f>
        <v>#N/A</v>
      </c>
      <c r="AX168" s="21" t="e">
        <f t="shared" si="166"/>
        <v>#N/A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1">
        <f t="shared" si="140"/>
        <v>38.034305370426985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67">
        <f t="shared" si="110"/>
        <v>579.99228852016029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-5.6843418860808015E-14</v>
      </c>
      <c r="O169" s="13">
        <f>N169*VLOOKUP('Données projet'!$B$9,Paramètres!$A$1:$I$89,3,0)*VLOOKUP('Données projet'!$B$9,Paramètres!$A$1:$I$89,5,0)</f>
        <v>-3.3992364478763198E-14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161.92866721009744</v>
      </c>
      <c r="T169" s="59">
        <f t="shared" si="142"/>
        <v>327.23695023676987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7.8539768826656911</v>
      </c>
      <c r="AA169" s="21">
        <f>EXP(-LN(2)/25)*AA168+(1-EXP(-LN(2)/25))/(LN(2)/25)*Calculateur!V169*Calculateur!X169*VLOOKUP('Données projet'!$B$9,Paramètres!$A$1:$I$89,3,0)*0.475*44/12</f>
        <v>0.54862101984566691</v>
      </c>
      <c r="AB169" s="21">
        <f>EXP(-LN(2)/2)*AB168+(1-EXP(-LN(2)/2))/(LN(2)/2)*V169*Y169*VLOOKUP('Données projet'!$B$9,Paramètres!$A$1:$I$89,3,0)*0.475*44/12</f>
        <v>2.7073297855815995E-19</v>
      </c>
      <c r="AC169" s="22">
        <f t="shared" si="163"/>
        <v>8.4025979025113582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 t="e">
        <f>AI169*VLOOKUP('Données projet'!$B$10,Paramètres!$A$1:$I$89,3,0)*VLOOKUP('Données projet'!$B$10,Paramètres!$A$1:$I$89,5,0)</f>
        <v>#N/A</v>
      </c>
      <c r="AK169" s="13" t="e">
        <f t="shared" si="164"/>
        <v>#N/A</v>
      </c>
      <c r="AL169" s="20" t="e">
        <f t="shared" si="165"/>
        <v>#N/A</v>
      </c>
      <c r="AM169" s="59" t="e">
        <f t="shared" si="113"/>
        <v>#N/A</v>
      </c>
      <c r="AN169" s="59" t="e">
        <f ca="1">AVERAGE(OFFSET($AM$3,0,0,'Données projet'!$E$10+1,1))-AVERAGE(OFFSET($H$3,0,0,'Données projet'!$E$10+1,1))</f>
        <v>#N/A</v>
      </c>
      <c r="AO169" s="59" t="e">
        <f t="shared" si="144"/>
        <v>#N/A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 t="e">
        <f>EXP(-LN(2)/35)*AU168+(1-EXP(-LN(2)/35))/(LN(2)/35)*AQ169*AR169*VLOOKUP('Données projet'!$B$10,Paramètres!$A$1:$I$89,3,0)*0.475*44/12</f>
        <v>#N/A</v>
      </c>
      <c r="AV169" s="21" t="e">
        <f>EXP(-LN(2)/25)*AV168+(1-EXP(-LN(2)/25))/(LN(2)/25)*Calculateur!AQ169*Calculateur!AS169*VLOOKUP('Données projet'!$B$10,Paramètres!$A$1:$I$89,3,0)*0.475*44/12</f>
        <v>#N/A</v>
      </c>
      <c r="AW169" s="21" t="e">
        <f>EXP(-LN(2)/2)*AW168+(1-EXP(-LN(2)/2))/(LN(2)/2)*AQ169*AT169*VLOOKUP('Données projet'!$B$10,Paramètres!$A$1:$I$89,3,0)*0.475*44/12</f>
        <v>#N/A</v>
      </c>
      <c r="AX169" s="21" t="e">
        <f t="shared" si="166"/>
        <v>#N/A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1">
        <f t="shared" si="140"/>
        <v>38.23668703199958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67">
        <f t="shared" si="110"/>
        <v>581.89345991406594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-5.6843418860808015E-14</v>
      </c>
      <c r="O170" s="13">
        <f>N170*VLOOKUP('Données projet'!$B$9,Paramètres!$A$1:$I$89,3,0)*VLOOKUP('Données projet'!$B$9,Paramètres!$A$1:$I$89,5,0)</f>
        <v>-3.3992364478763198E-14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161.92866721009744</v>
      </c>
      <c r="T170" s="59">
        <f t="shared" si="142"/>
        <v>327.23695023676987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7.6999651864494973</v>
      </c>
      <c r="AA170" s="21">
        <f>EXP(-LN(2)/25)*AA169+(1-EXP(-LN(2)/25))/(LN(2)/25)*Calculateur!V170*Calculateur!X170*VLOOKUP('Données projet'!$B$9,Paramètres!$A$1:$I$89,3,0)*0.475*44/12</f>
        <v>0.53361894920726161</v>
      </c>
      <c r="AB170" s="21">
        <f>EXP(-LN(2)/2)*AB169+(1-EXP(-LN(2)/2))/(LN(2)/2)*V170*Y170*VLOOKUP('Données projet'!$B$9,Paramètres!$A$1:$I$89,3,0)*0.475*44/12</f>
        <v>1.9143712502930707E-19</v>
      </c>
      <c r="AC170" s="22">
        <f t="shared" si="163"/>
        <v>8.2335841356567592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 t="e">
        <f>AI170*VLOOKUP('Données projet'!$B$10,Paramètres!$A$1:$I$89,3,0)*VLOOKUP('Données projet'!$B$10,Paramètres!$A$1:$I$89,5,0)</f>
        <v>#N/A</v>
      </c>
      <c r="AK170" s="13" t="e">
        <f t="shared" si="164"/>
        <v>#N/A</v>
      </c>
      <c r="AL170" s="20" t="e">
        <f t="shared" si="165"/>
        <v>#N/A</v>
      </c>
      <c r="AM170" s="59" t="e">
        <f t="shared" si="113"/>
        <v>#N/A</v>
      </c>
      <c r="AN170" s="59" t="e">
        <f ca="1">AVERAGE(OFFSET($AM$3,0,0,'Données projet'!$E$10+1,1))-AVERAGE(OFFSET($H$3,0,0,'Données projet'!$E$10+1,1))</f>
        <v>#N/A</v>
      </c>
      <c r="AO170" s="59" t="e">
        <f t="shared" si="144"/>
        <v>#N/A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 t="e">
        <f>EXP(-LN(2)/35)*AU169+(1-EXP(-LN(2)/35))/(LN(2)/35)*AQ170*AR170*VLOOKUP('Données projet'!$B$10,Paramètres!$A$1:$I$89,3,0)*0.475*44/12</f>
        <v>#N/A</v>
      </c>
      <c r="AV170" s="21" t="e">
        <f>EXP(-LN(2)/25)*AV169+(1-EXP(-LN(2)/25))/(LN(2)/25)*Calculateur!AQ170*Calculateur!AS170*VLOOKUP('Données projet'!$B$10,Paramètres!$A$1:$I$89,3,0)*0.475*44/12</f>
        <v>#N/A</v>
      </c>
      <c r="AW170" s="21" t="e">
        <f>EXP(-LN(2)/2)*AW169+(1-EXP(-LN(2)/2))/(LN(2)/2)*AQ170*AT170*VLOOKUP('Données projet'!$B$10,Paramètres!$A$1:$I$89,3,0)*0.475*44/12</f>
        <v>#N/A</v>
      </c>
      <c r="AX170" s="21" t="e">
        <f t="shared" si="166"/>
        <v>#N/A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1">
        <f t="shared" si="140"/>
        <v>38.438927680599591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67">
        <f t="shared" si="110"/>
        <v>583.79438571037758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-5.6843418860808015E-14</v>
      </c>
      <c r="O171" s="13">
        <f>N171*VLOOKUP('Données projet'!$B$9,Paramètres!$A$1:$I$89,3,0)*VLOOKUP('Données projet'!$B$9,Paramètres!$A$1:$I$89,5,0)</f>
        <v>-3.3992364478763198E-14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161.92866721009744</v>
      </c>
      <c r="T171" s="59">
        <f t="shared" si="142"/>
        <v>327.23695023676987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7.548973565658244</v>
      </c>
      <c r="AA171" s="21">
        <f>EXP(-LN(2)/25)*AA170+(1-EXP(-LN(2)/25))/(LN(2)/25)*Calculateur!V171*Calculateur!X171*VLOOKUP('Données projet'!$B$9,Paramètres!$A$1:$I$89,3,0)*0.475*44/12</f>
        <v>0.51902711097938814</v>
      </c>
      <c r="AB171" s="21">
        <f>EXP(-LN(2)/2)*AB170+(1-EXP(-LN(2)/2))/(LN(2)/2)*V171*Y171*VLOOKUP('Données projet'!$B$9,Paramètres!$A$1:$I$89,3,0)*0.475*44/12</f>
        <v>1.3536648927907997E-19</v>
      </c>
      <c r="AC171" s="22">
        <f t="shared" si="163"/>
        <v>8.0680006766376327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 t="e">
        <f>AI171*VLOOKUP('Données projet'!$B$10,Paramètres!$A$1:$I$89,3,0)*VLOOKUP('Données projet'!$B$10,Paramètres!$A$1:$I$89,5,0)</f>
        <v>#N/A</v>
      </c>
      <c r="AK171" s="13" t="e">
        <f t="shared" si="164"/>
        <v>#N/A</v>
      </c>
      <c r="AL171" s="20" t="e">
        <f t="shared" si="165"/>
        <v>#N/A</v>
      </c>
      <c r="AM171" s="59" t="e">
        <f t="shared" si="113"/>
        <v>#N/A</v>
      </c>
      <c r="AN171" s="59" t="e">
        <f ca="1">AVERAGE(OFFSET($AM$3,0,0,'Données projet'!$E$10+1,1))-AVERAGE(OFFSET($H$3,0,0,'Données projet'!$E$10+1,1))</f>
        <v>#N/A</v>
      </c>
      <c r="AO171" s="59" t="e">
        <f t="shared" si="144"/>
        <v>#N/A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 t="e">
        <f>EXP(-LN(2)/35)*AU170+(1-EXP(-LN(2)/35))/(LN(2)/35)*AQ171*AR171*VLOOKUP('Données projet'!$B$10,Paramètres!$A$1:$I$89,3,0)*0.475*44/12</f>
        <v>#N/A</v>
      </c>
      <c r="AV171" s="21" t="e">
        <f>EXP(-LN(2)/25)*AV170+(1-EXP(-LN(2)/25))/(LN(2)/25)*Calculateur!AQ171*Calculateur!AS171*VLOOKUP('Données projet'!$B$10,Paramètres!$A$1:$I$89,3,0)*0.475*44/12</f>
        <v>#N/A</v>
      </c>
      <c r="AW171" s="21" t="e">
        <f>EXP(-LN(2)/2)*AW170+(1-EXP(-LN(2)/2))/(LN(2)/2)*AQ171*AT171*VLOOKUP('Données projet'!$B$10,Paramètres!$A$1:$I$89,3,0)*0.475*44/12</f>
        <v>#N/A</v>
      </c>
      <c r="AX171" s="21" t="e">
        <f t="shared" si="166"/>
        <v>#N/A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1">
        <f t="shared" si="140"/>
        <v>38.641028252978323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67">
        <f t="shared" si="110"/>
        <v>585.69506754060376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-5.6843418860808015E-14</v>
      </c>
      <c r="O172" s="13">
        <f>N172*VLOOKUP('Données projet'!$B$9,Paramètres!$A$1:$I$89,3,0)*VLOOKUP('Données projet'!$B$9,Paramètres!$A$1:$I$89,5,0)</f>
        <v>-3.3992364478763198E-14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161.92866721009744</v>
      </c>
      <c r="T172" s="59">
        <f t="shared" si="142"/>
        <v>327.23695023676987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7.4009427984549125</v>
      </c>
      <c r="AA172" s="21">
        <f>EXP(-LN(2)/25)*AA171+(1-EXP(-LN(2)/25))/(LN(2)/25)*Calculateur!V172*Calculateur!X172*VLOOKUP('Données projet'!$B$9,Paramètres!$A$1:$I$89,3,0)*0.475*44/12</f>
        <v>0.5048342873352073</v>
      </c>
      <c r="AB172" s="21">
        <f>EXP(-LN(2)/2)*AB171+(1-EXP(-LN(2)/2))/(LN(2)/2)*V172*Y172*VLOOKUP('Données projet'!$B$9,Paramètres!$A$1:$I$89,3,0)*0.475*44/12</f>
        <v>9.5718562514653535E-20</v>
      </c>
      <c r="AC172" s="22">
        <f t="shared" si="163"/>
        <v>7.9057770857901195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 t="e">
        <f>AI172*VLOOKUP('Données projet'!$B$10,Paramètres!$A$1:$I$89,3,0)*VLOOKUP('Données projet'!$B$10,Paramètres!$A$1:$I$89,5,0)</f>
        <v>#N/A</v>
      </c>
      <c r="AK172" s="13" t="e">
        <f t="shared" si="164"/>
        <v>#N/A</v>
      </c>
      <c r="AL172" s="20" t="e">
        <f t="shared" si="165"/>
        <v>#N/A</v>
      </c>
      <c r="AM172" s="59" t="e">
        <f t="shared" si="113"/>
        <v>#N/A</v>
      </c>
      <c r="AN172" s="59" t="e">
        <f ca="1">AVERAGE(OFFSET($AM$3,0,0,'Données projet'!$E$10+1,1))-AVERAGE(OFFSET($H$3,0,0,'Données projet'!$E$10+1,1))</f>
        <v>#N/A</v>
      </c>
      <c r="AO172" s="59" t="e">
        <f t="shared" si="144"/>
        <v>#N/A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 t="e">
        <f>EXP(-LN(2)/35)*AU171+(1-EXP(-LN(2)/35))/(LN(2)/35)*AQ172*AR172*VLOOKUP('Données projet'!$B$10,Paramètres!$A$1:$I$89,3,0)*0.475*44/12</f>
        <v>#N/A</v>
      </c>
      <c r="AV172" s="21" t="e">
        <f>EXP(-LN(2)/25)*AV171+(1-EXP(-LN(2)/25))/(LN(2)/25)*Calculateur!AQ172*Calculateur!AS172*VLOOKUP('Données projet'!$B$10,Paramètres!$A$1:$I$89,3,0)*0.475*44/12</f>
        <v>#N/A</v>
      </c>
      <c r="AW172" s="21" t="e">
        <f>EXP(-LN(2)/2)*AW171+(1-EXP(-LN(2)/2))/(LN(2)/2)*AQ172*AT172*VLOOKUP('Données projet'!$B$10,Paramètres!$A$1:$I$89,3,0)*0.475*44/12</f>
        <v>#N/A</v>
      </c>
      <c r="AX172" s="21" t="e">
        <f t="shared" si="166"/>
        <v>#N/A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1">
        <f t="shared" si="140"/>
        <v>38.842989674159945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67">
        <f t="shared" si="110"/>
        <v>587.5955070158285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-5.6843418860808015E-14</v>
      </c>
      <c r="O173" s="13">
        <f>N173*VLOOKUP('Données projet'!$B$9,Paramètres!$A$1:$I$89,3,0)*VLOOKUP('Données projet'!$B$9,Paramètres!$A$1:$I$89,5,0)</f>
        <v>-3.3992364478763198E-14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161.92866721009744</v>
      </c>
      <c r="T173" s="59">
        <f t="shared" si="142"/>
        <v>327.23695023676987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7.2558148243065856</v>
      </c>
      <c r="AA173" s="21">
        <f>EXP(-LN(2)/25)*AA172+(1-EXP(-LN(2)/25))/(LN(2)/25)*Calculateur!V173*Calculateur!X173*VLOOKUP('Données projet'!$B$9,Paramètres!$A$1:$I$89,3,0)*0.475*44/12</f>
        <v>0.49102956719994467</v>
      </c>
      <c r="AB173" s="21">
        <f>EXP(-LN(2)/2)*AB172+(1-EXP(-LN(2)/2))/(LN(2)/2)*V173*Y173*VLOOKUP('Données projet'!$B$9,Paramètres!$A$1:$I$89,3,0)*0.475*44/12</f>
        <v>6.7683244639539987E-20</v>
      </c>
      <c r="AC173" s="22">
        <f t="shared" si="163"/>
        <v>7.7468443915065306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 t="e">
        <f>AI173*VLOOKUP('Données projet'!$B$10,Paramètres!$A$1:$I$89,3,0)*VLOOKUP('Données projet'!$B$10,Paramètres!$A$1:$I$89,5,0)</f>
        <v>#N/A</v>
      </c>
      <c r="AK173" s="13" t="e">
        <f t="shared" si="164"/>
        <v>#N/A</v>
      </c>
      <c r="AL173" s="20" t="e">
        <f t="shared" si="165"/>
        <v>#N/A</v>
      </c>
      <c r="AM173" s="59" t="e">
        <f t="shared" si="113"/>
        <v>#N/A</v>
      </c>
      <c r="AN173" s="59" t="e">
        <f ca="1">AVERAGE(OFFSET($AM$3,0,0,'Données projet'!$E$10+1,1))-AVERAGE(OFFSET($H$3,0,0,'Données projet'!$E$10+1,1))</f>
        <v>#N/A</v>
      </c>
      <c r="AO173" s="59" t="e">
        <f t="shared" si="144"/>
        <v>#N/A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 t="e">
        <f>EXP(-LN(2)/35)*AU172+(1-EXP(-LN(2)/35))/(LN(2)/35)*AQ173*AR173*VLOOKUP('Données projet'!$B$10,Paramètres!$A$1:$I$89,3,0)*0.475*44/12</f>
        <v>#N/A</v>
      </c>
      <c r="AV173" s="21" t="e">
        <f>EXP(-LN(2)/25)*AV172+(1-EXP(-LN(2)/25))/(LN(2)/25)*Calculateur!AQ173*Calculateur!AS173*VLOOKUP('Données projet'!$B$10,Paramètres!$A$1:$I$89,3,0)*0.475*44/12</f>
        <v>#N/A</v>
      </c>
      <c r="AW173" s="21" t="e">
        <f>EXP(-LN(2)/2)*AW172+(1-EXP(-LN(2)/2))/(LN(2)/2)*AQ173*AT173*VLOOKUP('Données projet'!$B$10,Paramètres!$A$1:$I$89,3,0)*0.475*44/12</f>
        <v>#N/A</v>
      </c>
      <c r="AX173" s="21" t="e">
        <f t="shared" si="166"/>
        <v>#N/A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1">
        <f t="shared" si="140"/>
        <v>39.044812857656339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67">
        <f t="shared" si="110"/>
        <v>589.49570572708467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-5.6843418860808015E-14</v>
      </c>
      <c r="O174" s="13">
        <f>N174*VLOOKUP('Données projet'!$B$9,Paramètres!$A$1:$I$89,3,0)*VLOOKUP('Données projet'!$B$9,Paramètres!$A$1:$I$89,5,0)</f>
        <v>-3.3992364478763198E-14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161.92866721009744</v>
      </c>
      <c r="T174" s="59">
        <f t="shared" si="142"/>
        <v>327.23695023676987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7.1135327212119837</v>
      </c>
      <c r="AA174" s="21">
        <f>EXP(-LN(2)/25)*AA173+(1-EXP(-LN(2)/25))/(LN(2)/25)*Calculateur!V174*Calculateur!X174*VLOOKUP('Données projet'!$B$9,Paramètres!$A$1:$I$89,3,0)*0.475*44/12</f>
        <v>0.47760233786273953</v>
      </c>
      <c r="AB174" s="21">
        <f>EXP(-LN(2)/2)*AB173+(1-EXP(-LN(2)/2))/(LN(2)/2)*V174*Y174*VLOOKUP('Données projet'!$B$9,Paramètres!$A$1:$I$89,3,0)*0.475*44/12</f>
        <v>4.7859281257326768E-20</v>
      </c>
      <c r="AC174" s="22">
        <f t="shared" si="163"/>
        <v>7.5911350590747233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 t="e">
        <f>AI174*VLOOKUP('Données projet'!$B$10,Paramètres!$A$1:$I$89,3,0)*VLOOKUP('Données projet'!$B$10,Paramètres!$A$1:$I$89,5,0)</f>
        <v>#N/A</v>
      </c>
      <c r="AK174" s="13" t="e">
        <f t="shared" si="164"/>
        <v>#N/A</v>
      </c>
      <c r="AL174" s="20" t="e">
        <f t="shared" si="165"/>
        <v>#N/A</v>
      </c>
      <c r="AM174" s="59" t="e">
        <f t="shared" si="113"/>
        <v>#N/A</v>
      </c>
      <c r="AN174" s="59" t="e">
        <f ca="1">AVERAGE(OFFSET($AM$3,0,0,'Données projet'!$E$10+1,1))-AVERAGE(OFFSET($H$3,0,0,'Données projet'!$E$10+1,1))</f>
        <v>#N/A</v>
      </c>
      <c r="AO174" s="59" t="e">
        <f t="shared" si="144"/>
        <v>#N/A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 t="e">
        <f>EXP(-LN(2)/35)*AU173+(1-EXP(-LN(2)/35))/(LN(2)/35)*AQ174*AR174*VLOOKUP('Données projet'!$B$10,Paramètres!$A$1:$I$89,3,0)*0.475*44/12</f>
        <v>#N/A</v>
      </c>
      <c r="AV174" s="21" t="e">
        <f>EXP(-LN(2)/25)*AV173+(1-EXP(-LN(2)/25))/(LN(2)/25)*Calculateur!AQ174*Calculateur!AS174*VLOOKUP('Données projet'!$B$10,Paramètres!$A$1:$I$89,3,0)*0.475*44/12</f>
        <v>#N/A</v>
      </c>
      <c r="AW174" s="21" t="e">
        <f>EXP(-LN(2)/2)*AW173+(1-EXP(-LN(2)/2))/(LN(2)/2)*AQ174*AT174*VLOOKUP('Données projet'!$B$10,Paramètres!$A$1:$I$89,3,0)*0.475*44/12</f>
        <v>#N/A</v>
      </c>
      <c r="AX174" s="21" t="e">
        <f t="shared" si="166"/>
        <v>#N/A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1">
        <f t="shared" si="140"/>
        <v>39.246498705676842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67">
        <f t="shared" si="110"/>
        <v>591.39566524572035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-5.6843418860808015E-14</v>
      </c>
      <c r="O175" s="13">
        <f>N175*VLOOKUP('Données projet'!$B$9,Paramètres!$A$1:$I$89,3,0)*VLOOKUP('Données projet'!$B$9,Paramètres!$A$1:$I$89,5,0)</f>
        <v>-3.3992364478763198E-14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161.92866721009744</v>
      </c>
      <c r="T175" s="59">
        <f t="shared" si="142"/>
        <v>327.23695023676987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6.9740406833755531</v>
      </c>
      <c r="AA175" s="21">
        <f>EXP(-LN(2)/25)*AA174+(1-EXP(-LN(2)/25))/(LN(2)/25)*Calculateur!V175*Calculateur!X175*VLOOKUP('Données projet'!$B$9,Paramètres!$A$1:$I$89,3,0)*0.475*44/12</f>
        <v>0.46454227681786753</v>
      </c>
      <c r="AB175" s="21">
        <f>EXP(-LN(2)/2)*AB174+(1-EXP(-LN(2)/2))/(LN(2)/2)*V175*Y175*VLOOKUP('Données projet'!$B$9,Paramètres!$A$1:$I$89,3,0)*0.475*44/12</f>
        <v>3.3841622319769994E-20</v>
      </c>
      <c r="AC175" s="22">
        <f t="shared" si="163"/>
        <v>7.4385829601934201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 t="e">
        <f>AI175*VLOOKUP('Données projet'!$B$10,Paramètres!$A$1:$I$89,3,0)*VLOOKUP('Données projet'!$B$10,Paramètres!$A$1:$I$89,5,0)</f>
        <v>#N/A</v>
      </c>
      <c r="AK175" s="13" t="e">
        <f t="shared" si="164"/>
        <v>#N/A</v>
      </c>
      <c r="AL175" s="20" t="e">
        <f t="shared" si="165"/>
        <v>#N/A</v>
      </c>
      <c r="AM175" s="59" t="e">
        <f t="shared" si="113"/>
        <v>#N/A</v>
      </c>
      <c r="AN175" s="59" t="e">
        <f ca="1">AVERAGE(OFFSET($AM$3,0,0,'Données projet'!$E$10+1,1))-AVERAGE(OFFSET($H$3,0,0,'Données projet'!$E$10+1,1))</f>
        <v>#N/A</v>
      </c>
      <c r="AO175" s="59" t="e">
        <f t="shared" si="144"/>
        <v>#N/A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 t="e">
        <f>EXP(-LN(2)/35)*AU174+(1-EXP(-LN(2)/35))/(LN(2)/35)*AQ175*AR175*VLOOKUP('Données projet'!$B$10,Paramètres!$A$1:$I$89,3,0)*0.475*44/12</f>
        <v>#N/A</v>
      </c>
      <c r="AV175" s="21" t="e">
        <f>EXP(-LN(2)/25)*AV174+(1-EXP(-LN(2)/25))/(LN(2)/25)*Calculateur!AQ175*Calculateur!AS175*VLOOKUP('Données projet'!$B$10,Paramètres!$A$1:$I$89,3,0)*0.475*44/12</f>
        <v>#N/A</v>
      </c>
      <c r="AW175" s="21" t="e">
        <f>EXP(-LN(2)/2)*AW174+(1-EXP(-LN(2)/2))/(LN(2)/2)*AQ175*AT175*VLOOKUP('Données projet'!$B$10,Paramètres!$A$1:$I$89,3,0)*0.475*44/12</f>
        <v>#N/A</v>
      </c>
      <c r="AX175" s="21" t="e">
        <f t="shared" si="166"/>
        <v>#N/A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1">
        <f t="shared" si="140"/>
        <v>39.448048109333072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67">
        <f t="shared" si="110"/>
        <v>593.29538712375495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-5.6843418860808015E-14</v>
      </c>
      <c r="O176" s="13">
        <f>N176*VLOOKUP('Données projet'!$B$9,Paramètres!$A$1:$I$89,3,0)*VLOOKUP('Données projet'!$B$9,Paramètres!$A$1:$I$89,5,0)</f>
        <v>-3.3992364478763198E-14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161.92866721009744</v>
      </c>
      <c r="T176" s="59">
        <f t="shared" si="142"/>
        <v>327.23695023676987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6.8372839993193528</v>
      </c>
      <c r="AA176" s="21">
        <f>EXP(-LN(2)/25)*AA175+(1-EXP(-LN(2)/25))/(LN(2)/25)*Calculateur!V176*Calculateur!X176*VLOOKUP('Données projet'!$B$9,Paramètres!$A$1:$I$89,3,0)*0.475*44/12</f>
        <v>0.45183934382906632</v>
      </c>
      <c r="AB176" s="21">
        <f>EXP(-LN(2)/2)*AB175+(1-EXP(-LN(2)/2))/(LN(2)/2)*V176*Y176*VLOOKUP('Données projet'!$B$9,Paramètres!$A$1:$I$89,3,0)*0.475*44/12</f>
        <v>2.3929640628663384E-20</v>
      </c>
      <c r="AC176" s="22">
        <f t="shared" si="163"/>
        <v>7.289123343148419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 t="e">
        <f>AI176*VLOOKUP('Données projet'!$B$10,Paramètres!$A$1:$I$89,3,0)*VLOOKUP('Données projet'!$B$10,Paramètres!$A$1:$I$89,5,0)</f>
        <v>#N/A</v>
      </c>
      <c r="AK176" s="13" t="e">
        <f t="shared" si="164"/>
        <v>#N/A</v>
      </c>
      <c r="AL176" s="20" t="e">
        <f t="shared" si="165"/>
        <v>#N/A</v>
      </c>
      <c r="AM176" s="59" t="e">
        <f t="shared" si="113"/>
        <v>#N/A</v>
      </c>
      <c r="AN176" s="59" t="e">
        <f ca="1">AVERAGE(OFFSET($AM$3,0,0,'Données projet'!$E$10+1,1))-AVERAGE(OFFSET($H$3,0,0,'Données projet'!$E$10+1,1))</f>
        <v>#N/A</v>
      </c>
      <c r="AO176" s="59" t="e">
        <f t="shared" si="144"/>
        <v>#N/A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 t="e">
        <f>EXP(-LN(2)/35)*AU175+(1-EXP(-LN(2)/35))/(LN(2)/35)*AQ176*AR176*VLOOKUP('Données projet'!$B$10,Paramètres!$A$1:$I$89,3,0)*0.475*44/12</f>
        <v>#N/A</v>
      </c>
      <c r="AV176" s="21" t="e">
        <f>EXP(-LN(2)/25)*AV175+(1-EXP(-LN(2)/25))/(LN(2)/25)*Calculateur!AQ176*Calculateur!AS176*VLOOKUP('Données projet'!$B$10,Paramètres!$A$1:$I$89,3,0)*0.475*44/12</f>
        <v>#N/A</v>
      </c>
      <c r="AW176" s="21" t="e">
        <f>EXP(-LN(2)/2)*AW175+(1-EXP(-LN(2)/2))/(LN(2)/2)*AQ176*AT176*VLOOKUP('Données projet'!$B$10,Paramètres!$A$1:$I$89,3,0)*0.475*44/12</f>
        <v>#N/A</v>
      </c>
      <c r="AX176" s="21" t="e">
        <f t="shared" si="166"/>
        <v>#N/A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1">
        <f t="shared" si="140"/>
        <v>39.649461948838557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67">
        <f t="shared" si="110"/>
        <v>595.19487289422705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-5.6843418860808015E-14</v>
      </c>
      <c r="O177" s="13">
        <f>N177*VLOOKUP('Données projet'!$B$9,Paramètres!$A$1:$I$89,3,0)*VLOOKUP('Données projet'!$B$9,Paramètres!$A$1:$I$89,5,0)</f>
        <v>-3.3992364478763198E-14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161.92866721009744</v>
      </c>
      <c r="T177" s="59">
        <f t="shared" si="142"/>
        <v>327.23695023676987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6.7032090304241541</v>
      </c>
      <c r="AA177" s="21">
        <f>EXP(-LN(2)/25)*AA176+(1-EXP(-LN(2)/25))/(LN(2)/25)*Calculateur!V177*Calculateur!X177*VLOOKUP('Données projet'!$B$9,Paramètres!$A$1:$I$89,3,0)*0.475*44/12</f>
        <v>0.43948377321086213</v>
      </c>
      <c r="AB177" s="21">
        <f>EXP(-LN(2)/2)*AB176+(1-EXP(-LN(2)/2))/(LN(2)/2)*V177*Y177*VLOOKUP('Données projet'!$B$9,Paramètres!$A$1:$I$89,3,0)*0.475*44/12</f>
        <v>1.6920811159884997E-20</v>
      </c>
      <c r="AC177" s="22">
        <f t="shared" si="163"/>
        <v>7.1426928036350166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 t="e">
        <f>AI177*VLOOKUP('Données projet'!$B$10,Paramètres!$A$1:$I$89,3,0)*VLOOKUP('Données projet'!$B$10,Paramètres!$A$1:$I$89,5,0)</f>
        <v>#N/A</v>
      </c>
      <c r="AK177" s="13" t="e">
        <f t="shared" si="164"/>
        <v>#N/A</v>
      </c>
      <c r="AL177" s="20" t="e">
        <f t="shared" si="165"/>
        <v>#N/A</v>
      </c>
      <c r="AM177" s="59" t="e">
        <f t="shared" si="113"/>
        <v>#N/A</v>
      </c>
      <c r="AN177" s="59" t="e">
        <f ca="1">AVERAGE(OFFSET($AM$3,0,0,'Données projet'!$E$10+1,1))-AVERAGE(OFFSET($H$3,0,0,'Données projet'!$E$10+1,1))</f>
        <v>#N/A</v>
      </c>
      <c r="AO177" s="59" t="e">
        <f t="shared" si="144"/>
        <v>#N/A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 t="e">
        <f>EXP(-LN(2)/35)*AU176+(1-EXP(-LN(2)/35))/(LN(2)/35)*AQ177*AR177*VLOOKUP('Données projet'!$B$10,Paramètres!$A$1:$I$89,3,0)*0.475*44/12</f>
        <v>#N/A</v>
      </c>
      <c r="AV177" s="21" t="e">
        <f>EXP(-LN(2)/25)*AV176+(1-EXP(-LN(2)/25))/(LN(2)/25)*Calculateur!AQ177*Calculateur!AS177*VLOOKUP('Données projet'!$B$10,Paramètres!$A$1:$I$89,3,0)*0.475*44/12</f>
        <v>#N/A</v>
      </c>
      <c r="AW177" s="21" t="e">
        <f>EXP(-LN(2)/2)*AW176+(1-EXP(-LN(2)/2))/(LN(2)/2)*AQ177*AT177*VLOOKUP('Données projet'!$B$10,Paramètres!$A$1:$I$89,3,0)*0.475*44/12</f>
        <v>#N/A</v>
      </c>
      <c r="AX177" s="21" t="e">
        <f t="shared" si="166"/>
        <v>#N/A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1">
        <f t="shared" si="140"/>
        <v>39.850741093704151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67">
        <f t="shared" si="110"/>
        <v>597.09412407153457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-5.6843418860808015E-14</v>
      </c>
      <c r="O178" s="13">
        <f>N178*VLOOKUP('Données projet'!$B$9,Paramètres!$A$1:$I$89,3,0)*VLOOKUP('Données projet'!$B$9,Paramètres!$A$1:$I$89,5,0)</f>
        <v>-3.3992364478763198E-14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161.92866721009744</v>
      </c>
      <c r="T178" s="59">
        <f t="shared" si="142"/>
        <v>327.23695023676987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6.5717631898913336</v>
      </c>
      <c r="AA178" s="21">
        <f>EXP(-LN(2)/25)*AA177+(1-EXP(-LN(2)/25))/(LN(2)/25)*Calculateur!V178*Calculateur!X178*VLOOKUP('Données projet'!$B$9,Paramètres!$A$1:$I$89,3,0)*0.475*44/12</f>
        <v>0.4274660663209639</v>
      </c>
      <c r="AB178" s="21">
        <f>EXP(-LN(2)/2)*AB177+(1-EXP(-LN(2)/2))/(LN(2)/2)*V178*Y178*VLOOKUP('Données projet'!$B$9,Paramètres!$A$1:$I$89,3,0)*0.475*44/12</f>
        <v>1.1964820314331692E-20</v>
      </c>
      <c r="AC178" s="22">
        <f t="shared" si="163"/>
        <v>6.9992292562122973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 t="e">
        <f>AI178*VLOOKUP('Données projet'!$B$10,Paramètres!$A$1:$I$89,3,0)*VLOOKUP('Données projet'!$B$10,Paramètres!$A$1:$I$89,5,0)</f>
        <v>#N/A</v>
      </c>
      <c r="AK178" s="13" t="e">
        <f t="shared" si="164"/>
        <v>#N/A</v>
      </c>
      <c r="AL178" s="20" t="e">
        <f t="shared" si="165"/>
        <v>#N/A</v>
      </c>
      <c r="AM178" s="59" t="e">
        <f t="shared" si="113"/>
        <v>#N/A</v>
      </c>
      <c r="AN178" s="59" t="e">
        <f ca="1">AVERAGE(OFFSET($AM$3,0,0,'Données projet'!$E$10+1,1))-AVERAGE(OFFSET($H$3,0,0,'Données projet'!$E$10+1,1))</f>
        <v>#N/A</v>
      </c>
      <c r="AO178" s="59" t="e">
        <f t="shared" si="144"/>
        <v>#N/A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 t="e">
        <f>EXP(-LN(2)/35)*AU177+(1-EXP(-LN(2)/35))/(LN(2)/35)*AQ178*AR178*VLOOKUP('Données projet'!$B$10,Paramètres!$A$1:$I$89,3,0)*0.475*44/12</f>
        <v>#N/A</v>
      </c>
      <c r="AV178" s="21" t="e">
        <f>EXP(-LN(2)/25)*AV177+(1-EXP(-LN(2)/25))/(LN(2)/25)*Calculateur!AQ178*Calculateur!AS178*VLOOKUP('Données projet'!$B$10,Paramètres!$A$1:$I$89,3,0)*0.475*44/12</f>
        <v>#N/A</v>
      </c>
      <c r="AW178" s="21" t="e">
        <f>EXP(-LN(2)/2)*AW177+(1-EXP(-LN(2)/2))/(LN(2)/2)*AQ178*AT178*VLOOKUP('Données projet'!$B$10,Paramètres!$A$1:$I$89,3,0)*0.475*44/12</f>
        <v>#N/A</v>
      </c>
      <c r="AX178" s="21" t="e">
        <f t="shared" si="166"/>
        <v>#N/A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1">
        <f t="shared" si="140"/>
        <v>40.051886402928353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67">
        <f t="shared" si="110"/>
        <v>598.99314215176662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-5.6843418860808015E-14</v>
      </c>
      <c r="O179" s="13">
        <f>N179*VLOOKUP('Données projet'!$B$9,Paramètres!$A$1:$I$89,3,0)*VLOOKUP('Données projet'!$B$9,Paramètres!$A$1:$I$89,5,0)</f>
        <v>-3.3992364478763198E-14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161.92866721009744</v>
      </c>
      <c r="T179" s="59">
        <f t="shared" si="142"/>
        <v>327.23695023676987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6.4428949221173157</v>
      </c>
      <c r="AA179" s="21">
        <f>EXP(-LN(2)/25)*AA178+(1-EXP(-LN(2)/25))/(LN(2)/25)*Calculateur!V179*Calculateur!X179*VLOOKUP('Données projet'!$B$9,Paramètres!$A$1:$I$89,3,0)*0.475*44/12</f>
        <v>0.41577698425795367</v>
      </c>
      <c r="AB179" s="21">
        <f>EXP(-LN(2)/2)*AB178+(1-EXP(-LN(2)/2))/(LN(2)/2)*V179*Y179*VLOOKUP('Données projet'!$B$9,Paramètres!$A$1:$I$89,3,0)*0.475*44/12</f>
        <v>8.4604055799424984E-21</v>
      </c>
      <c r="AC179" s="22">
        <f t="shared" si="163"/>
        <v>6.8586719063752692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 t="e">
        <f>AI179*VLOOKUP('Données projet'!$B$10,Paramètres!$A$1:$I$89,3,0)*VLOOKUP('Données projet'!$B$10,Paramètres!$A$1:$I$89,5,0)</f>
        <v>#N/A</v>
      </c>
      <c r="AK179" s="13" t="e">
        <f t="shared" si="164"/>
        <v>#N/A</v>
      </c>
      <c r="AL179" s="20" t="e">
        <f t="shared" si="165"/>
        <v>#N/A</v>
      </c>
      <c r="AM179" s="59" t="e">
        <f t="shared" si="113"/>
        <v>#N/A</v>
      </c>
      <c r="AN179" s="59" t="e">
        <f ca="1">AVERAGE(OFFSET($AM$3,0,0,'Données projet'!$E$10+1,1))-AVERAGE(OFFSET($H$3,0,0,'Données projet'!$E$10+1,1))</f>
        <v>#N/A</v>
      </c>
      <c r="AO179" s="59" t="e">
        <f t="shared" si="144"/>
        <v>#N/A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 t="e">
        <f>EXP(-LN(2)/35)*AU178+(1-EXP(-LN(2)/35))/(LN(2)/35)*AQ179*AR179*VLOOKUP('Données projet'!$B$10,Paramètres!$A$1:$I$89,3,0)*0.475*44/12</f>
        <v>#N/A</v>
      </c>
      <c r="AV179" s="21" t="e">
        <f>EXP(-LN(2)/25)*AV178+(1-EXP(-LN(2)/25))/(LN(2)/25)*Calculateur!AQ179*Calculateur!AS179*VLOOKUP('Données projet'!$B$10,Paramètres!$A$1:$I$89,3,0)*0.475*44/12</f>
        <v>#N/A</v>
      </c>
      <c r="AW179" s="21" t="e">
        <f>EXP(-LN(2)/2)*AW178+(1-EXP(-LN(2)/2))/(LN(2)/2)*AQ179*AT179*VLOOKUP('Données projet'!$B$10,Paramètres!$A$1:$I$89,3,0)*0.475*44/12</f>
        <v>#N/A</v>
      </c>
      <c r="AX179" s="21" t="e">
        <f t="shared" si="166"/>
        <v>#N/A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1">
        <f t="shared" si="140"/>
        <v>40.252898725183421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67">
        <f t="shared" si="110"/>
        <v>600.89192861302752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-5.6843418860808015E-14</v>
      </c>
      <c r="O180" s="13">
        <f>N180*VLOOKUP('Données projet'!$B$9,Paramètres!$A$1:$I$89,3,0)*VLOOKUP('Données projet'!$B$9,Paramètres!$A$1:$I$89,5,0)</f>
        <v>-3.3992364478763198E-14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161.92866721009744</v>
      </c>
      <c r="T180" s="59">
        <f t="shared" si="142"/>
        <v>327.23695023676987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6.3165536824724642</v>
      </c>
      <c r="AA180" s="21">
        <f>EXP(-LN(2)/25)*AA179+(1-EXP(-LN(2)/25))/(LN(2)/25)*Calculateur!V180*Calculateur!X180*VLOOKUP('Données projet'!$B$9,Paramètres!$A$1:$I$89,3,0)*0.475*44/12</f>
        <v>0.40440754075865859</v>
      </c>
      <c r="AB180" s="21">
        <f>EXP(-LN(2)/2)*AB179+(1-EXP(-LN(2)/2))/(LN(2)/2)*V180*Y180*VLOOKUP('Données projet'!$B$9,Paramètres!$A$1:$I$89,3,0)*0.475*44/12</f>
        <v>5.982410157165846E-21</v>
      </c>
      <c r="AC180" s="22">
        <f t="shared" si="163"/>
        <v>6.7209612232311224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 t="e">
        <f>AI180*VLOOKUP('Données projet'!$B$10,Paramètres!$A$1:$I$89,3,0)*VLOOKUP('Données projet'!$B$10,Paramètres!$A$1:$I$89,5,0)</f>
        <v>#N/A</v>
      </c>
      <c r="AK180" s="13" t="e">
        <f t="shared" si="164"/>
        <v>#N/A</v>
      </c>
      <c r="AL180" s="20" t="e">
        <f t="shared" si="165"/>
        <v>#N/A</v>
      </c>
      <c r="AM180" s="59" t="e">
        <f t="shared" si="113"/>
        <v>#N/A</v>
      </c>
      <c r="AN180" s="59" t="e">
        <f ca="1">AVERAGE(OFFSET($AM$3,0,0,'Données projet'!$E$10+1,1))-AVERAGE(OFFSET($H$3,0,0,'Données projet'!$E$10+1,1))</f>
        <v>#N/A</v>
      </c>
      <c r="AO180" s="59" t="e">
        <f t="shared" si="144"/>
        <v>#N/A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 t="e">
        <f>EXP(-LN(2)/35)*AU179+(1-EXP(-LN(2)/35))/(LN(2)/35)*AQ180*AR180*VLOOKUP('Données projet'!$B$10,Paramètres!$A$1:$I$89,3,0)*0.475*44/12</f>
        <v>#N/A</v>
      </c>
      <c r="AV180" s="21" t="e">
        <f>EXP(-LN(2)/25)*AV179+(1-EXP(-LN(2)/25))/(LN(2)/25)*Calculateur!AQ180*Calculateur!AS180*VLOOKUP('Données projet'!$B$10,Paramètres!$A$1:$I$89,3,0)*0.475*44/12</f>
        <v>#N/A</v>
      </c>
      <c r="AW180" s="21" t="e">
        <f>EXP(-LN(2)/2)*AW179+(1-EXP(-LN(2)/2))/(LN(2)/2)*AQ180*AT180*VLOOKUP('Données projet'!$B$10,Paramètres!$A$1:$I$89,3,0)*0.475*44/12</f>
        <v>#N/A</v>
      </c>
      <c r="AX180" s="21" t="e">
        <f t="shared" si="166"/>
        <v>#N/A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1">
        <f t="shared" si="140"/>
        <v>40.45377889899725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67">
        <f t="shared" si="110"/>
        <v>602.79048491575327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-5.6843418860808015E-14</v>
      </c>
      <c r="O181" s="13">
        <f>N181*VLOOKUP('Données projet'!$B$9,Paramètres!$A$1:$I$89,3,0)*VLOOKUP('Données projet'!$B$9,Paramètres!$A$1:$I$89,5,0)</f>
        <v>-3.3992364478763198E-14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161.92866721009744</v>
      </c>
      <c r="T181" s="59">
        <f t="shared" si="142"/>
        <v>327.23695023676987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6.1926899174765015</v>
      </c>
      <c r="AA181" s="21">
        <f>EXP(-LN(2)/25)*AA180+(1-EXP(-LN(2)/25))/(LN(2)/25)*Calculateur!V181*Calculateur!X181*VLOOKUP('Données projet'!$B$9,Paramètres!$A$1:$I$89,3,0)*0.475*44/12</f>
        <v>0.39334899528974476</v>
      </c>
      <c r="AB181" s="21">
        <f>EXP(-LN(2)/2)*AB180+(1-EXP(-LN(2)/2))/(LN(2)/2)*V181*Y181*VLOOKUP('Données projet'!$B$9,Paramètres!$A$1:$I$89,3,0)*0.475*44/12</f>
        <v>4.2302027899712492E-21</v>
      </c>
      <c r="AC181" s="22">
        <f t="shared" si="163"/>
        <v>6.586038912766246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 t="e">
        <f>AI181*VLOOKUP('Données projet'!$B$10,Paramètres!$A$1:$I$89,3,0)*VLOOKUP('Données projet'!$B$10,Paramètres!$A$1:$I$89,5,0)</f>
        <v>#N/A</v>
      </c>
      <c r="AK181" s="13" t="e">
        <f t="shared" si="164"/>
        <v>#N/A</v>
      </c>
      <c r="AL181" s="20" t="e">
        <f t="shared" si="165"/>
        <v>#N/A</v>
      </c>
      <c r="AM181" s="59" t="e">
        <f t="shared" si="113"/>
        <v>#N/A</v>
      </c>
      <c r="AN181" s="59" t="e">
        <f ca="1">AVERAGE(OFFSET($AM$3,0,0,'Données projet'!$E$10+1,1))-AVERAGE(OFFSET($H$3,0,0,'Données projet'!$E$10+1,1))</f>
        <v>#N/A</v>
      </c>
      <c r="AO181" s="59" t="e">
        <f t="shared" si="144"/>
        <v>#N/A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 t="e">
        <f>EXP(-LN(2)/35)*AU180+(1-EXP(-LN(2)/35))/(LN(2)/35)*AQ181*AR181*VLOOKUP('Données projet'!$B$10,Paramètres!$A$1:$I$89,3,0)*0.475*44/12</f>
        <v>#N/A</v>
      </c>
      <c r="AV181" s="21" t="e">
        <f>EXP(-LN(2)/25)*AV180+(1-EXP(-LN(2)/25))/(LN(2)/25)*Calculateur!AQ181*Calculateur!AS181*VLOOKUP('Données projet'!$B$10,Paramètres!$A$1:$I$89,3,0)*0.475*44/12</f>
        <v>#N/A</v>
      </c>
      <c r="AW181" s="21" t="e">
        <f>EXP(-LN(2)/2)*AW180+(1-EXP(-LN(2)/2))/(LN(2)/2)*AQ181*AT181*VLOOKUP('Données projet'!$B$10,Paramètres!$A$1:$I$89,3,0)*0.475*44/12</f>
        <v>#N/A</v>
      </c>
      <c r="AX181" s="21" t="e">
        <f t="shared" si="166"/>
        <v>#N/A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1">
        <f t="shared" si="140"/>
        <v>40.654527752930711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67">
        <f t="shared" si="110"/>
        <v>604.6888125030207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-5.6843418860808015E-14</v>
      </c>
      <c r="O182" s="13">
        <f>N182*VLOOKUP('Données projet'!$B$9,Paramètres!$A$1:$I$89,3,0)*VLOOKUP('Données projet'!$B$9,Paramètres!$A$1:$I$89,5,0)</f>
        <v>-3.3992364478763198E-14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161.92866721009744</v>
      </c>
      <c r="T182" s="59">
        <f t="shared" si="142"/>
        <v>327.23695023676987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6.0712550453626726</v>
      </c>
      <c r="AA182" s="21">
        <f>EXP(-LN(2)/25)*AA181+(1-EXP(-LN(2)/25))/(LN(2)/25)*Calculateur!V182*Calculateur!X182*VLOOKUP('Données projet'!$B$9,Paramètres!$A$1:$I$89,3,0)*0.475*44/12</f>
        <v>0.38259284632822205</v>
      </c>
      <c r="AB182" s="21">
        <f>EXP(-LN(2)/2)*AB181+(1-EXP(-LN(2)/2))/(LN(2)/2)*V182*Y182*VLOOKUP('Données projet'!$B$9,Paramètres!$A$1:$I$89,3,0)*0.475*44/12</f>
        <v>2.991205078582923E-21</v>
      </c>
      <c r="AC182" s="22">
        <f t="shared" si="163"/>
        <v>6.453847891690895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 t="e">
        <f>AI182*VLOOKUP('Données projet'!$B$10,Paramètres!$A$1:$I$89,3,0)*VLOOKUP('Données projet'!$B$10,Paramètres!$A$1:$I$89,5,0)</f>
        <v>#N/A</v>
      </c>
      <c r="AK182" s="13" t="e">
        <f t="shared" si="164"/>
        <v>#N/A</v>
      </c>
      <c r="AL182" s="20" t="e">
        <f t="shared" si="165"/>
        <v>#N/A</v>
      </c>
      <c r="AM182" s="59" t="e">
        <f t="shared" si="113"/>
        <v>#N/A</v>
      </c>
      <c r="AN182" s="59" t="e">
        <f ca="1">AVERAGE(OFFSET($AM$3,0,0,'Données projet'!$E$10+1,1))-AVERAGE(OFFSET($H$3,0,0,'Données projet'!$E$10+1,1))</f>
        <v>#N/A</v>
      </c>
      <c r="AO182" s="59" t="e">
        <f t="shared" si="144"/>
        <v>#N/A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 t="e">
        <f>EXP(-LN(2)/35)*AU181+(1-EXP(-LN(2)/35))/(LN(2)/35)*AQ182*AR182*VLOOKUP('Données projet'!$B$10,Paramètres!$A$1:$I$89,3,0)*0.475*44/12</f>
        <v>#N/A</v>
      </c>
      <c r="AV182" s="21" t="e">
        <f>EXP(-LN(2)/25)*AV181+(1-EXP(-LN(2)/25))/(LN(2)/25)*Calculateur!AQ182*Calculateur!AS182*VLOOKUP('Données projet'!$B$10,Paramètres!$A$1:$I$89,3,0)*0.475*44/12</f>
        <v>#N/A</v>
      </c>
      <c r="AW182" s="21" t="e">
        <f>EXP(-LN(2)/2)*AW181+(1-EXP(-LN(2)/2))/(LN(2)/2)*AQ182*AT182*VLOOKUP('Données projet'!$B$10,Paramètres!$A$1:$I$89,3,0)*0.475*44/12</f>
        <v>#N/A</v>
      </c>
      <c r="AX182" s="21" t="e">
        <f t="shared" si="166"/>
        <v>#N/A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1">
        <f t="shared" si="140"/>
        <v>40.855146105751388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67">
        <f t="shared" si="110"/>
        <v>606.58691280085009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-5.6843418860808015E-14</v>
      </c>
      <c r="O183" s="13">
        <f>N183*VLOOKUP('Données projet'!$B$9,Paramètres!$A$1:$I$89,3,0)*VLOOKUP('Données projet'!$B$9,Paramètres!$A$1:$I$89,5,0)</f>
        <v>-3.3992364478763198E-14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161.92866721009744</v>
      </c>
      <c r="T183" s="59">
        <f t="shared" si="142"/>
        <v>327.23695023676987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5.9522014370230378</v>
      </c>
      <c r="AA183" s="21">
        <f>EXP(-LN(2)/25)*AA182+(1-EXP(-LN(2)/25))/(LN(2)/25)*Calculateur!V183*Calculateur!X183*VLOOKUP('Données projet'!$B$9,Paramètres!$A$1:$I$89,3,0)*0.475*44/12</f>
        <v>0.37213082482569343</v>
      </c>
      <c r="AB183" s="21">
        <f>EXP(-LN(2)/2)*AB182+(1-EXP(-LN(2)/2))/(LN(2)/2)*V183*Y183*VLOOKUP('Données projet'!$B$9,Paramètres!$A$1:$I$89,3,0)*0.475*44/12</f>
        <v>2.1151013949856246E-21</v>
      </c>
      <c r="AC183" s="22">
        <f t="shared" si="163"/>
        <v>6.3243322618487312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 t="e">
        <f>AI183*VLOOKUP('Données projet'!$B$10,Paramètres!$A$1:$I$89,3,0)*VLOOKUP('Données projet'!$B$10,Paramètres!$A$1:$I$89,5,0)</f>
        <v>#N/A</v>
      </c>
      <c r="AK183" s="13" t="e">
        <f t="shared" si="164"/>
        <v>#N/A</v>
      </c>
      <c r="AL183" s="20" t="e">
        <f t="shared" si="165"/>
        <v>#N/A</v>
      </c>
      <c r="AM183" s="59" t="e">
        <f t="shared" si="113"/>
        <v>#N/A</v>
      </c>
      <c r="AN183" s="59" t="e">
        <f ca="1">AVERAGE(OFFSET($AM$3,0,0,'Données projet'!$E$10+1,1))-AVERAGE(OFFSET($H$3,0,0,'Données projet'!$E$10+1,1))</f>
        <v>#N/A</v>
      </c>
      <c r="AO183" s="59" t="e">
        <f t="shared" si="144"/>
        <v>#N/A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 t="e">
        <f>EXP(-LN(2)/35)*AU182+(1-EXP(-LN(2)/35))/(LN(2)/35)*AQ183*AR183*VLOOKUP('Données projet'!$B$10,Paramètres!$A$1:$I$89,3,0)*0.475*44/12</f>
        <v>#N/A</v>
      </c>
      <c r="AV183" s="21" t="e">
        <f>EXP(-LN(2)/25)*AV182+(1-EXP(-LN(2)/25))/(LN(2)/25)*Calculateur!AQ183*Calculateur!AS183*VLOOKUP('Données projet'!$B$10,Paramètres!$A$1:$I$89,3,0)*0.475*44/12</f>
        <v>#N/A</v>
      </c>
      <c r="AW183" s="21" t="e">
        <f>EXP(-LN(2)/2)*AW182+(1-EXP(-LN(2)/2))/(LN(2)/2)*AQ183*AT183*VLOOKUP('Données projet'!$B$10,Paramètres!$A$1:$I$89,3,0)*0.475*44/12</f>
        <v>#N/A</v>
      </c>
      <c r="AX183" s="21" t="e">
        <f t="shared" si="166"/>
        <v>#N/A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1">
        <f t="shared" si="140"/>
        <v>41.055634766602871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67">
        <f t="shared" si="110"/>
        <v>608.48478721849972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-5.6843418860808015E-14</v>
      </c>
      <c r="O184" s="13">
        <f>N184*VLOOKUP('Données projet'!$B$9,Paramètres!$A$1:$I$89,3,0)*VLOOKUP('Données projet'!$B$9,Paramètres!$A$1:$I$89,5,0)</f>
        <v>-3.3992364478763198E-14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161.92866721009744</v>
      </c>
      <c r="T184" s="59">
        <f t="shared" si="142"/>
        <v>327.23695023676987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5.8354823973274117</v>
      </c>
      <c r="AA184" s="21">
        <f>EXP(-LN(2)/25)*AA183+(1-EXP(-LN(2)/25))/(LN(2)/25)*Calculateur!V184*Calculateur!X184*VLOOKUP('Données projet'!$B$9,Paramètres!$A$1:$I$89,3,0)*0.475*44/12</f>
        <v>0.36195488785132529</v>
      </c>
      <c r="AB184" s="21">
        <f>EXP(-LN(2)/2)*AB183+(1-EXP(-LN(2)/2))/(LN(2)/2)*V184*Y184*VLOOKUP('Données projet'!$B$9,Paramètres!$A$1:$I$89,3,0)*0.475*44/12</f>
        <v>1.4956025392914615E-21</v>
      </c>
      <c r="AC184" s="22">
        <f t="shared" si="163"/>
        <v>6.1974372851787374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 t="e">
        <f>AI184*VLOOKUP('Données projet'!$B$10,Paramètres!$A$1:$I$89,3,0)*VLOOKUP('Données projet'!$B$10,Paramètres!$A$1:$I$89,5,0)</f>
        <v>#N/A</v>
      </c>
      <c r="AK184" s="13" t="e">
        <f t="shared" si="164"/>
        <v>#N/A</v>
      </c>
      <c r="AL184" s="20" t="e">
        <f t="shared" si="165"/>
        <v>#N/A</v>
      </c>
      <c r="AM184" s="59" t="e">
        <f t="shared" si="113"/>
        <v>#N/A</v>
      </c>
      <c r="AN184" s="59" t="e">
        <f ca="1">AVERAGE(OFFSET($AM$3,0,0,'Données projet'!$E$10+1,1))-AVERAGE(OFFSET($H$3,0,0,'Données projet'!$E$10+1,1))</f>
        <v>#N/A</v>
      </c>
      <c r="AO184" s="59" t="e">
        <f t="shared" si="144"/>
        <v>#N/A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 t="e">
        <f>EXP(-LN(2)/35)*AU183+(1-EXP(-LN(2)/35))/(LN(2)/35)*AQ184*AR184*VLOOKUP('Données projet'!$B$10,Paramètres!$A$1:$I$89,3,0)*0.475*44/12</f>
        <v>#N/A</v>
      </c>
      <c r="AV184" s="21" t="e">
        <f>EXP(-LN(2)/25)*AV183+(1-EXP(-LN(2)/25))/(LN(2)/25)*Calculateur!AQ184*Calculateur!AS184*VLOOKUP('Données projet'!$B$10,Paramètres!$A$1:$I$89,3,0)*0.475*44/12</f>
        <v>#N/A</v>
      </c>
      <c r="AW184" s="21" t="e">
        <f>EXP(-LN(2)/2)*AW183+(1-EXP(-LN(2)/2))/(LN(2)/2)*AQ184*AT184*VLOOKUP('Données projet'!$B$10,Paramètres!$A$1:$I$89,3,0)*0.475*44/12</f>
        <v>#N/A</v>
      </c>
      <c r="AX184" s="21" t="e">
        <f t="shared" si="166"/>
        <v>#N/A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1">
        <f t="shared" si="140"/>
        <v>41.255994535170444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67">
        <f t="shared" si="110"/>
        <v>610.38243714875489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-5.6843418860808015E-14</v>
      </c>
      <c r="O185" s="13">
        <f>N185*VLOOKUP('Données projet'!$B$9,Paramètres!$A$1:$I$89,3,0)*VLOOKUP('Données projet'!$B$9,Paramètres!$A$1:$I$89,5,0)</f>
        <v>-3.3992364478763198E-14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161.92866721009744</v>
      </c>
      <c r="T185" s="59">
        <f t="shared" si="142"/>
        <v>327.23695023676987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5.7210521468086322</v>
      </c>
      <c r="AA185" s="21">
        <f>EXP(-LN(2)/25)*AA184+(1-EXP(-LN(2)/25))/(LN(2)/25)*Calculateur!V185*Calculateur!X185*VLOOKUP('Données projet'!$B$9,Paramètres!$A$1:$I$89,3,0)*0.475*44/12</f>
        <v>0.35205721240865051</v>
      </c>
      <c r="AB185" s="21">
        <f>EXP(-LN(2)/2)*AB184+(1-EXP(-LN(2)/2))/(LN(2)/2)*V185*Y185*VLOOKUP('Données projet'!$B$9,Paramètres!$A$1:$I$89,3,0)*0.475*44/12</f>
        <v>1.0575506974928123E-21</v>
      </c>
      <c r="AC185" s="22">
        <f t="shared" si="163"/>
        <v>6.0731093592172822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 t="e">
        <f>AI185*VLOOKUP('Données projet'!$B$10,Paramètres!$A$1:$I$89,3,0)*VLOOKUP('Données projet'!$B$10,Paramètres!$A$1:$I$89,5,0)</f>
        <v>#N/A</v>
      </c>
      <c r="AK185" s="13" t="e">
        <f t="shared" si="164"/>
        <v>#N/A</v>
      </c>
      <c r="AL185" s="20" t="e">
        <f t="shared" si="165"/>
        <v>#N/A</v>
      </c>
      <c r="AM185" s="59" t="e">
        <f t="shared" si="113"/>
        <v>#N/A</v>
      </c>
      <c r="AN185" s="59" t="e">
        <f ca="1">AVERAGE(OFFSET($AM$3,0,0,'Données projet'!$E$10+1,1))-AVERAGE(OFFSET($H$3,0,0,'Données projet'!$E$10+1,1))</f>
        <v>#N/A</v>
      </c>
      <c r="AO185" s="59" t="e">
        <f t="shared" si="144"/>
        <v>#N/A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 t="e">
        <f>EXP(-LN(2)/35)*AU184+(1-EXP(-LN(2)/35))/(LN(2)/35)*AQ185*AR185*VLOOKUP('Données projet'!$B$10,Paramètres!$A$1:$I$89,3,0)*0.475*44/12</f>
        <v>#N/A</v>
      </c>
      <c r="AV185" s="21" t="e">
        <f>EXP(-LN(2)/25)*AV184+(1-EXP(-LN(2)/25))/(LN(2)/25)*Calculateur!AQ185*Calculateur!AS185*VLOOKUP('Données projet'!$B$10,Paramètres!$A$1:$I$89,3,0)*0.475*44/12</f>
        <v>#N/A</v>
      </c>
      <c r="AW185" s="21" t="e">
        <f>EXP(-LN(2)/2)*AW184+(1-EXP(-LN(2)/2))/(LN(2)/2)*AQ185*AT185*VLOOKUP('Données projet'!$B$10,Paramètres!$A$1:$I$89,3,0)*0.475*44/12</f>
        <v>#N/A</v>
      </c>
      <c r="AX185" s="21" t="e">
        <f t="shared" si="166"/>
        <v>#N/A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1">
        <f t="shared" si="140"/>
        <v>41.456226201843137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67">
        <f t="shared" si="110"/>
        <v>612.27986396820972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-5.6843418860808015E-14</v>
      </c>
      <c r="O186" s="13">
        <f>N186*VLOOKUP('Données projet'!$B$9,Paramètres!$A$1:$I$89,3,0)*VLOOKUP('Données projet'!$B$9,Paramètres!$A$1:$I$89,5,0)</f>
        <v>-3.3992364478763198E-14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161.92866721009744</v>
      </c>
      <c r="T186" s="59">
        <f t="shared" si="142"/>
        <v>327.23695023676987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5.6088658037069656</v>
      </c>
      <c r="AA186" s="21">
        <f>EXP(-LN(2)/25)*AA185+(1-EXP(-LN(2)/25))/(LN(2)/25)*Calculateur!V186*Calculateur!X186*VLOOKUP('Données projet'!$B$9,Paramètres!$A$1:$I$89,3,0)*0.475*44/12</f>
        <v>0.34243018942145181</v>
      </c>
      <c r="AB186" s="21">
        <f>EXP(-LN(2)/2)*AB185+(1-EXP(-LN(2)/2))/(LN(2)/2)*V186*Y186*VLOOKUP('Données projet'!$B$9,Paramètres!$A$1:$I$89,3,0)*0.475*44/12</f>
        <v>7.4780126964573075E-22</v>
      </c>
      <c r="AC186" s="22">
        <f t="shared" si="163"/>
        <v>5.9512959931284177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 t="e">
        <f>AI186*VLOOKUP('Données projet'!$B$10,Paramètres!$A$1:$I$89,3,0)*VLOOKUP('Données projet'!$B$10,Paramètres!$A$1:$I$89,5,0)</f>
        <v>#N/A</v>
      </c>
      <c r="AK186" s="13" t="e">
        <f t="shared" si="164"/>
        <v>#N/A</v>
      </c>
      <c r="AL186" s="20" t="e">
        <f t="shared" si="165"/>
        <v>#N/A</v>
      </c>
      <c r="AM186" s="59" t="e">
        <f t="shared" si="113"/>
        <v>#N/A</v>
      </c>
      <c r="AN186" s="59" t="e">
        <f ca="1">AVERAGE(OFFSET($AM$3,0,0,'Données projet'!$E$10+1,1))-AVERAGE(OFFSET($H$3,0,0,'Données projet'!$E$10+1,1))</f>
        <v>#N/A</v>
      </c>
      <c r="AO186" s="59" t="e">
        <f t="shared" si="144"/>
        <v>#N/A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 t="e">
        <f>EXP(-LN(2)/35)*AU185+(1-EXP(-LN(2)/35))/(LN(2)/35)*AQ186*AR186*VLOOKUP('Données projet'!$B$10,Paramètres!$A$1:$I$89,3,0)*0.475*44/12</f>
        <v>#N/A</v>
      </c>
      <c r="AV186" s="21" t="e">
        <f>EXP(-LN(2)/25)*AV185+(1-EXP(-LN(2)/25))/(LN(2)/25)*Calculateur!AQ186*Calculateur!AS186*VLOOKUP('Données projet'!$B$10,Paramètres!$A$1:$I$89,3,0)*0.475*44/12</f>
        <v>#N/A</v>
      </c>
      <c r="AW186" s="21" t="e">
        <f>EXP(-LN(2)/2)*AW185+(1-EXP(-LN(2)/2))/(LN(2)/2)*AQ186*AT186*VLOOKUP('Données projet'!$B$10,Paramètres!$A$1:$I$89,3,0)*0.475*44/12</f>
        <v>#N/A</v>
      </c>
      <c r="AX186" s="21" t="e">
        <f t="shared" si="166"/>
        <v>#N/A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1">
        <f t="shared" si="140"/>
        <v>41.656330547871768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67">
        <f t="shared" si="110"/>
        <v>614.17706903754288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-5.6843418860808015E-14</v>
      </c>
      <c r="O187" s="13">
        <f>N187*VLOOKUP('Données projet'!$B$9,Paramètres!$A$1:$I$89,3,0)*VLOOKUP('Données projet'!$B$9,Paramètres!$A$1:$I$89,5,0)</f>
        <v>-3.3992364478763198E-14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161.92866721009744</v>
      </c>
      <c r="T187" s="59">
        <f t="shared" si="142"/>
        <v>327.23695023676987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5.4988793663666096</v>
      </c>
      <c r="AA187" s="21">
        <f>EXP(-LN(2)/25)*AA186+(1-EXP(-LN(2)/25))/(LN(2)/25)*Calculateur!V187*Calculateur!X187*VLOOKUP('Données projet'!$B$9,Paramètres!$A$1:$I$89,3,0)*0.475*44/12</f>
        <v>0.33306641788410118</v>
      </c>
      <c r="AB187" s="21">
        <f>EXP(-LN(2)/2)*AB186+(1-EXP(-LN(2)/2))/(LN(2)/2)*V187*Y187*VLOOKUP('Données projet'!$B$9,Paramètres!$A$1:$I$89,3,0)*0.475*44/12</f>
        <v>5.2877534874640615E-22</v>
      </c>
      <c r="AC187" s="22">
        <f t="shared" si="163"/>
        <v>5.8319457842507108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 t="e">
        <f>AI187*VLOOKUP('Données projet'!$B$10,Paramètres!$A$1:$I$89,3,0)*VLOOKUP('Données projet'!$B$10,Paramètres!$A$1:$I$89,5,0)</f>
        <v>#N/A</v>
      </c>
      <c r="AK187" s="13" t="e">
        <f t="shared" si="164"/>
        <v>#N/A</v>
      </c>
      <c r="AL187" s="20" t="e">
        <f t="shared" si="165"/>
        <v>#N/A</v>
      </c>
      <c r="AM187" s="59" t="e">
        <f t="shared" si="113"/>
        <v>#N/A</v>
      </c>
      <c r="AN187" s="59" t="e">
        <f ca="1">AVERAGE(OFFSET($AM$3,0,0,'Données projet'!$E$10+1,1))-AVERAGE(OFFSET($H$3,0,0,'Données projet'!$E$10+1,1))</f>
        <v>#N/A</v>
      </c>
      <c r="AO187" s="59" t="e">
        <f t="shared" si="144"/>
        <v>#N/A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 t="e">
        <f>EXP(-LN(2)/35)*AU186+(1-EXP(-LN(2)/35))/(LN(2)/35)*AQ187*AR187*VLOOKUP('Données projet'!$B$10,Paramètres!$A$1:$I$89,3,0)*0.475*44/12</f>
        <v>#N/A</v>
      </c>
      <c r="AV187" s="21" t="e">
        <f>EXP(-LN(2)/25)*AV186+(1-EXP(-LN(2)/25))/(LN(2)/25)*Calculateur!AQ187*Calculateur!AS187*VLOOKUP('Données projet'!$B$10,Paramètres!$A$1:$I$89,3,0)*0.475*44/12</f>
        <v>#N/A</v>
      </c>
      <c r="AW187" s="21" t="e">
        <f>EXP(-LN(2)/2)*AW186+(1-EXP(-LN(2)/2))/(LN(2)/2)*AQ187*AT187*VLOOKUP('Données projet'!$B$10,Paramètres!$A$1:$I$89,3,0)*0.475*44/12</f>
        <v>#N/A</v>
      </c>
      <c r="AX187" s="21" t="e">
        <f t="shared" si="166"/>
        <v>#N/A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1">
        <f t="shared" si="140"/>
        <v>41.856308345523843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67">
        <f t="shared" si="110"/>
        <v>616.07405370178697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-5.6843418860808015E-14</v>
      </c>
      <c r="O188" s="13">
        <f>N188*VLOOKUP('Données projet'!$B$9,Paramètres!$A$1:$I$89,3,0)*VLOOKUP('Données projet'!$B$9,Paramètres!$A$1:$I$89,5,0)</f>
        <v>-3.3992364478763198E-14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161.92866721009744</v>
      </c>
      <c r="T188" s="59">
        <f t="shared" si="142"/>
        <v>327.23695023676987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5.3910496959773955</v>
      </c>
      <c r="AA188" s="21">
        <f>EXP(-LN(2)/25)*AA187+(1-EXP(-LN(2)/25))/(LN(2)/25)*Calculateur!V188*Calculateur!X188*VLOOKUP('Données projet'!$B$9,Paramètres!$A$1:$I$89,3,0)*0.475*44/12</f>
        <v>0.32395869917185877</v>
      </c>
      <c r="AB188" s="21">
        <f>EXP(-LN(2)/2)*AB187+(1-EXP(-LN(2)/2))/(LN(2)/2)*V188*Y188*VLOOKUP('Données projet'!$B$9,Paramètres!$A$1:$I$89,3,0)*0.475*44/12</f>
        <v>3.7390063482286537E-22</v>
      </c>
      <c r="AC188" s="22">
        <f t="shared" si="163"/>
        <v>5.7150083951492539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 t="e">
        <f>AI188*VLOOKUP('Données projet'!$B$10,Paramètres!$A$1:$I$89,3,0)*VLOOKUP('Données projet'!$B$10,Paramètres!$A$1:$I$89,5,0)</f>
        <v>#N/A</v>
      </c>
      <c r="AK188" s="13" t="e">
        <f t="shared" si="164"/>
        <v>#N/A</v>
      </c>
      <c r="AL188" s="20" t="e">
        <f t="shared" si="165"/>
        <v>#N/A</v>
      </c>
      <c r="AM188" s="59" t="e">
        <f t="shared" si="113"/>
        <v>#N/A</v>
      </c>
      <c r="AN188" s="59" t="e">
        <f ca="1">AVERAGE(OFFSET($AM$3,0,0,'Données projet'!$E$10+1,1))-AVERAGE(OFFSET($H$3,0,0,'Données projet'!$E$10+1,1))</f>
        <v>#N/A</v>
      </c>
      <c r="AO188" s="59" t="e">
        <f t="shared" si="144"/>
        <v>#N/A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 t="e">
        <f>EXP(-LN(2)/35)*AU187+(1-EXP(-LN(2)/35))/(LN(2)/35)*AQ188*AR188*VLOOKUP('Données projet'!$B$10,Paramètres!$A$1:$I$89,3,0)*0.475*44/12</f>
        <v>#N/A</v>
      </c>
      <c r="AV188" s="21" t="e">
        <f>EXP(-LN(2)/25)*AV187+(1-EXP(-LN(2)/25))/(LN(2)/25)*Calculateur!AQ188*Calculateur!AS188*VLOOKUP('Données projet'!$B$10,Paramètres!$A$1:$I$89,3,0)*0.475*44/12</f>
        <v>#N/A</v>
      </c>
      <c r="AW188" s="21" t="e">
        <f>EXP(-LN(2)/2)*AW187+(1-EXP(-LN(2)/2))/(LN(2)/2)*AQ188*AT188*VLOOKUP('Données projet'!$B$10,Paramètres!$A$1:$I$89,3,0)*0.475*44/12</f>
        <v>#N/A</v>
      </c>
      <c r="AX188" s="21" t="e">
        <f t="shared" si="166"/>
        <v>#N/A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1">
        <f t="shared" si="140"/>
        <v>42.056160358234798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67">
        <f t="shared" si="110"/>
        <v>617.97081929059186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-5.6843418860808015E-14</v>
      </c>
      <c r="O189" s="13">
        <f>N189*VLOOKUP('Données projet'!$B$9,Paramètres!$A$1:$I$89,3,0)*VLOOKUP('Données projet'!$B$9,Paramètres!$A$1:$I$89,5,0)</f>
        <v>-3.3992364478763198E-14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161.92866721009744</v>
      </c>
      <c r="T189" s="59">
        <f t="shared" si="142"/>
        <v>327.23695023676987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5.2853344996549092</v>
      </c>
      <c r="AA189" s="21">
        <f>EXP(-LN(2)/25)*AA188+(1-EXP(-LN(2)/25))/(LN(2)/25)*Calculateur!V189*Calculateur!X189*VLOOKUP('Données projet'!$B$9,Paramètres!$A$1:$I$89,3,0)*0.475*44/12</f>
        <v>0.31510003150675669</v>
      </c>
      <c r="AB189" s="21">
        <f>EXP(-LN(2)/2)*AB188+(1-EXP(-LN(2)/2))/(LN(2)/2)*V189*Y189*VLOOKUP('Données projet'!$B$9,Paramètres!$A$1:$I$89,3,0)*0.475*44/12</f>
        <v>2.6438767437320308E-22</v>
      </c>
      <c r="AC189" s="22">
        <f t="shared" si="163"/>
        <v>5.6004345311616657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 t="e">
        <f>AI189*VLOOKUP('Données projet'!$B$10,Paramètres!$A$1:$I$89,3,0)*VLOOKUP('Données projet'!$B$10,Paramètres!$A$1:$I$89,5,0)</f>
        <v>#N/A</v>
      </c>
      <c r="AK189" s="13" t="e">
        <f t="shared" si="164"/>
        <v>#N/A</v>
      </c>
      <c r="AL189" s="20" t="e">
        <f t="shared" si="165"/>
        <v>#N/A</v>
      </c>
      <c r="AM189" s="59" t="e">
        <f t="shared" si="113"/>
        <v>#N/A</v>
      </c>
      <c r="AN189" s="59" t="e">
        <f ca="1">AVERAGE(OFFSET($AM$3,0,0,'Données projet'!$E$10+1,1))-AVERAGE(OFFSET($H$3,0,0,'Données projet'!$E$10+1,1))</f>
        <v>#N/A</v>
      </c>
      <c r="AO189" s="59" t="e">
        <f t="shared" si="144"/>
        <v>#N/A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 t="e">
        <f>EXP(-LN(2)/35)*AU188+(1-EXP(-LN(2)/35))/(LN(2)/35)*AQ189*AR189*VLOOKUP('Données projet'!$B$10,Paramètres!$A$1:$I$89,3,0)*0.475*44/12</f>
        <v>#N/A</v>
      </c>
      <c r="AV189" s="21" t="e">
        <f>EXP(-LN(2)/25)*AV188+(1-EXP(-LN(2)/25))/(LN(2)/25)*Calculateur!AQ189*Calculateur!AS189*VLOOKUP('Données projet'!$B$10,Paramètres!$A$1:$I$89,3,0)*0.475*44/12</f>
        <v>#N/A</v>
      </c>
      <c r="AW189" s="21" t="e">
        <f>EXP(-LN(2)/2)*AW188+(1-EXP(-LN(2)/2))/(LN(2)/2)*AQ189*AT189*VLOOKUP('Données projet'!$B$10,Paramètres!$A$1:$I$89,3,0)*0.475*44/12</f>
        <v>#N/A</v>
      </c>
      <c r="AX189" s="21" t="e">
        <f t="shared" si="166"/>
        <v>#N/A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1">
        <f t="shared" si="140"/>
        <v>42.255887340755834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67">
        <f t="shared" si="110"/>
        <v>619.86736711848266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-5.6843418860808015E-14</v>
      </c>
      <c r="O190" s="13">
        <f>N190*VLOOKUP('Données projet'!$B$9,Paramètres!$A$1:$I$89,3,0)*VLOOKUP('Données projet'!$B$9,Paramètres!$A$1:$I$89,5,0)</f>
        <v>-3.3992364478763198E-14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161.92866721009744</v>
      </c>
      <c r="T190" s="59">
        <f t="shared" si="142"/>
        <v>327.23695023676987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5.1816923138524036</v>
      </c>
      <c r="AA190" s="21">
        <f>EXP(-LN(2)/25)*AA189+(1-EXP(-LN(2)/25))/(LN(2)/25)*Calculateur!V190*Calculateur!X190*VLOOKUP('Données projet'!$B$9,Paramètres!$A$1:$I$89,3,0)*0.475*44/12</f>
        <v>0.30648360457481394</v>
      </c>
      <c r="AB190" s="21">
        <f>EXP(-LN(2)/2)*AB189+(1-EXP(-LN(2)/2))/(LN(2)/2)*V190*Y190*VLOOKUP('Données projet'!$B$9,Paramètres!$A$1:$I$89,3,0)*0.475*44/12</f>
        <v>1.8695031741143269E-22</v>
      </c>
      <c r="AC190" s="22">
        <f t="shared" si="163"/>
        <v>5.4881759184272179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 t="e">
        <f>AI190*VLOOKUP('Données projet'!$B$10,Paramètres!$A$1:$I$89,3,0)*VLOOKUP('Données projet'!$B$10,Paramètres!$A$1:$I$89,5,0)</f>
        <v>#N/A</v>
      </c>
      <c r="AK190" s="13" t="e">
        <f t="shared" si="164"/>
        <v>#N/A</v>
      </c>
      <c r="AL190" s="20" t="e">
        <f t="shared" si="165"/>
        <v>#N/A</v>
      </c>
      <c r="AM190" s="59" t="e">
        <f t="shared" si="113"/>
        <v>#N/A</v>
      </c>
      <c r="AN190" s="59" t="e">
        <f ca="1">AVERAGE(OFFSET($AM$3,0,0,'Données projet'!$E$10+1,1))-AVERAGE(OFFSET($H$3,0,0,'Données projet'!$E$10+1,1))</f>
        <v>#N/A</v>
      </c>
      <c r="AO190" s="59" t="e">
        <f t="shared" si="144"/>
        <v>#N/A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 t="e">
        <f>EXP(-LN(2)/35)*AU189+(1-EXP(-LN(2)/35))/(LN(2)/35)*AQ190*AR190*VLOOKUP('Données projet'!$B$10,Paramètres!$A$1:$I$89,3,0)*0.475*44/12</f>
        <v>#N/A</v>
      </c>
      <c r="AV190" s="21" t="e">
        <f>EXP(-LN(2)/25)*AV189+(1-EXP(-LN(2)/25))/(LN(2)/25)*Calculateur!AQ190*Calculateur!AS190*VLOOKUP('Données projet'!$B$10,Paramètres!$A$1:$I$89,3,0)*0.475*44/12</f>
        <v>#N/A</v>
      </c>
      <c r="AW190" s="21" t="e">
        <f>EXP(-LN(2)/2)*AW189+(1-EXP(-LN(2)/2))/(LN(2)/2)*AQ190*AT190*VLOOKUP('Données projet'!$B$10,Paramètres!$A$1:$I$89,3,0)*0.475*44/12</f>
        <v>#N/A</v>
      </c>
      <c r="AX190" s="21" t="e">
        <f t="shared" si="166"/>
        <v>#N/A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1">
        <f t="shared" si="140"/>
        <v>42.455490039298816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67">
        <f t="shared" si="110"/>
        <v>621.7636984851116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-5.6843418860808015E-14</v>
      </c>
      <c r="O191" s="13">
        <f>N191*VLOOKUP('Données projet'!$B$9,Paramètres!$A$1:$I$89,3,0)*VLOOKUP('Données projet'!$B$9,Paramètres!$A$1:$I$89,5,0)</f>
        <v>-3.3992364478763198E-14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161.92866721009744</v>
      </c>
      <c r="T191" s="59">
        <f t="shared" si="142"/>
        <v>327.23695023676987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5.080082488097994</v>
      </c>
      <c r="AA191" s="21">
        <f>EXP(-LN(2)/25)*AA190+(1-EXP(-LN(2)/25))/(LN(2)/25)*Calculateur!V191*Calculateur!X191*VLOOKUP('Données projet'!$B$9,Paramètres!$A$1:$I$89,3,0)*0.475*44/12</f>
        <v>0.29810279429044334</v>
      </c>
      <c r="AB191" s="21">
        <f>EXP(-LN(2)/2)*AB190+(1-EXP(-LN(2)/2))/(LN(2)/2)*V191*Y191*VLOOKUP('Données projet'!$B$9,Paramètres!$A$1:$I$89,3,0)*0.475*44/12</f>
        <v>1.3219383718660154E-22</v>
      </c>
      <c r="AC191" s="22">
        <f t="shared" si="163"/>
        <v>5.3781852823884373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 t="e">
        <f>AI191*VLOOKUP('Données projet'!$B$10,Paramètres!$A$1:$I$89,3,0)*VLOOKUP('Données projet'!$B$10,Paramètres!$A$1:$I$89,5,0)</f>
        <v>#N/A</v>
      </c>
      <c r="AK191" s="13" t="e">
        <f t="shared" si="164"/>
        <v>#N/A</v>
      </c>
      <c r="AL191" s="20" t="e">
        <f t="shared" si="165"/>
        <v>#N/A</v>
      </c>
      <c r="AM191" s="59" t="e">
        <f t="shared" si="113"/>
        <v>#N/A</v>
      </c>
      <c r="AN191" s="59" t="e">
        <f ca="1">AVERAGE(OFFSET($AM$3,0,0,'Données projet'!$E$10+1,1))-AVERAGE(OFFSET($H$3,0,0,'Données projet'!$E$10+1,1))</f>
        <v>#N/A</v>
      </c>
      <c r="AO191" s="59" t="e">
        <f t="shared" si="144"/>
        <v>#N/A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 t="e">
        <f>EXP(-LN(2)/35)*AU190+(1-EXP(-LN(2)/35))/(LN(2)/35)*AQ191*AR191*VLOOKUP('Données projet'!$B$10,Paramètres!$A$1:$I$89,3,0)*0.475*44/12</f>
        <v>#N/A</v>
      </c>
      <c r="AV191" s="21" t="e">
        <f>EXP(-LN(2)/25)*AV190+(1-EXP(-LN(2)/25))/(LN(2)/25)*Calculateur!AQ191*Calculateur!AS191*VLOOKUP('Données projet'!$B$10,Paramètres!$A$1:$I$89,3,0)*0.475*44/12</f>
        <v>#N/A</v>
      </c>
      <c r="AW191" s="21" t="e">
        <f>EXP(-LN(2)/2)*AW190+(1-EXP(-LN(2)/2))/(LN(2)/2)*AQ191*AT191*VLOOKUP('Données projet'!$B$10,Paramètres!$A$1:$I$89,3,0)*0.475*44/12</f>
        <v>#N/A</v>
      </c>
      <c r="AX191" s="21" t="e">
        <f t="shared" si="166"/>
        <v>#N/A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1">
        <f t="shared" si="140"/>
        <v>42.65496919167748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67">
        <f t="shared" si="110"/>
        <v>623.65981467550444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-5.6843418860808015E-14</v>
      </c>
      <c r="O192" s="13">
        <f>N192*VLOOKUP('Données projet'!$B$9,Paramètres!$A$1:$I$89,3,0)*VLOOKUP('Données projet'!$B$9,Paramètres!$A$1:$I$89,5,0)</f>
        <v>-3.3992364478763198E-14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161.92866721009744</v>
      </c>
      <c r="T192" s="59">
        <f t="shared" si="142"/>
        <v>327.23695023676987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4.9804651690507544</v>
      </c>
      <c r="AA192" s="21">
        <f>EXP(-LN(2)/25)*AA191+(1-EXP(-LN(2)/25))/(LN(2)/25)*Calculateur!V192*Calculateur!X192*VLOOKUP('Données projet'!$B$9,Paramètres!$A$1:$I$89,3,0)*0.475*44/12</f>
        <v>0.28995115770402652</v>
      </c>
      <c r="AB192" s="21">
        <f>EXP(-LN(2)/2)*AB191+(1-EXP(-LN(2)/2))/(LN(2)/2)*V192*Y192*VLOOKUP('Données projet'!$B$9,Paramètres!$A$1:$I$89,3,0)*0.475*44/12</f>
        <v>9.3475158705716343E-23</v>
      </c>
      <c r="AC192" s="22">
        <f t="shared" si="163"/>
        <v>5.2704163267547806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 t="e">
        <f>AI192*VLOOKUP('Données projet'!$B$10,Paramètres!$A$1:$I$89,3,0)*VLOOKUP('Données projet'!$B$10,Paramètres!$A$1:$I$89,5,0)</f>
        <v>#N/A</v>
      </c>
      <c r="AK192" s="13" t="e">
        <f t="shared" si="164"/>
        <v>#N/A</v>
      </c>
      <c r="AL192" s="20" t="e">
        <f t="shared" si="165"/>
        <v>#N/A</v>
      </c>
      <c r="AM192" s="59" t="e">
        <f t="shared" si="113"/>
        <v>#N/A</v>
      </c>
      <c r="AN192" s="59" t="e">
        <f ca="1">AVERAGE(OFFSET($AM$3,0,0,'Données projet'!$E$10+1,1))-AVERAGE(OFFSET($H$3,0,0,'Données projet'!$E$10+1,1))</f>
        <v>#N/A</v>
      </c>
      <c r="AO192" s="59" t="e">
        <f t="shared" si="144"/>
        <v>#N/A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 t="e">
        <f>EXP(-LN(2)/35)*AU191+(1-EXP(-LN(2)/35))/(LN(2)/35)*AQ192*AR192*VLOOKUP('Données projet'!$B$10,Paramètres!$A$1:$I$89,3,0)*0.475*44/12</f>
        <v>#N/A</v>
      </c>
      <c r="AV192" s="21" t="e">
        <f>EXP(-LN(2)/25)*AV191+(1-EXP(-LN(2)/25))/(LN(2)/25)*Calculateur!AQ192*Calculateur!AS192*VLOOKUP('Données projet'!$B$10,Paramètres!$A$1:$I$89,3,0)*0.475*44/12</f>
        <v>#N/A</v>
      </c>
      <c r="AW192" s="21" t="e">
        <f>EXP(-LN(2)/2)*AW191+(1-EXP(-LN(2)/2))/(LN(2)/2)*AQ192*AT192*VLOOKUP('Données projet'!$B$10,Paramètres!$A$1:$I$89,3,0)*0.475*44/12</f>
        <v>#N/A</v>
      </c>
      <c r="AX192" s="21" t="e">
        <f t="shared" si="166"/>
        <v>#N/A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1">
        <f t="shared" si="140"/>
        <v>42.8543255274462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67">
        <f t="shared" si="110"/>
        <v>625.55571696030165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-5.6843418860808015E-14</v>
      </c>
      <c r="O193" s="13">
        <f>N193*VLOOKUP('Données projet'!$B$9,Paramètres!$A$1:$I$89,3,0)*VLOOKUP('Données projet'!$B$9,Paramètres!$A$1:$I$89,5,0)</f>
        <v>-3.3992364478763198E-14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161.92866721009744</v>
      </c>
      <c r="T193" s="59">
        <f t="shared" si="142"/>
        <v>327.23695023676987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4.8828012848694664</v>
      </c>
      <c r="AA193" s="21">
        <f>EXP(-LN(2)/25)*AA192+(1-EXP(-LN(2)/25))/(LN(2)/25)*Calculateur!V193*Calculateur!X193*VLOOKUP('Données projet'!$B$9,Paramètres!$A$1:$I$89,3,0)*0.475*44/12</f>
        <v>0.28202242804874122</v>
      </c>
      <c r="AB193" s="21">
        <f>EXP(-LN(2)/2)*AB192+(1-EXP(-LN(2)/2))/(LN(2)/2)*V193*Y193*VLOOKUP('Données projet'!$B$9,Paramètres!$A$1:$I$89,3,0)*0.475*44/12</f>
        <v>6.6096918593300769E-23</v>
      </c>
      <c r="AC193" s="22">
        <f t="shared" si="163"/>
        <v>5.1648237129182073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 t="e">
        <f>AI193*VLOOKUP('Données projet'!$B$10,Paramètres!$A$1:$I$89,3,0)*VLOOKUP('Données projet'!$B$10,Paramètres!$A$1:$I$89,5,0)</f>
        <v>#N/A</v>
      </c>
      <c r="AK193" s="13" t="e">
        <f t="shared" si="164"/>
        <v>#N/A</v>
      </c>
      <c r="AL193" s="20" t="e">
        <f t="shared" si="165"/>
        <v>#N/A</v>
      </c>
      <c r="AM193" s="59" t="e">
        <f t="shared" si="113"/>
        <v>#N/A</v>
      </c>
      <c r="AN193" s="59" t="e">
        <f ca="1">AVERAGE(OFFSET($AM$3,0,0,'Données projet'!$E$10+1,1))-AVERAGE(OFFSET($H$3,0,0,'Données projet'!$E$10+1,1))</f>
        <v>#N/A</v>
      </c>
      <c r="AO193" s="59" t="e">
        <f t="shared" si="144"/>
        <v>#N/A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 t="e">
        <f>EXP(-LN(2)/35)*AU192+(1-EXP(-LN(2)/35))/(LN(2)/35)*AQ193*AR193*VLOOKUP('Données projet'!$B$10,Paramètres!$A$1:$I$89,3,0)*0.475*44/12</f>
        <v>#N/A</v>
      </c>
      <c r="AV193" s="21" t="e">
        <f>EXP(-LN(2)/25)*AV192+(1-EXP(-LN(2)/25))/(LN(2)/25)*Calculateur!AQ193*Calculateur!AS193*VLOOKUP('Données projet'!$B$10,Paramètres!$A$1:$I$89,3,0)*0.475*44/12</f>
        <v>#N/A</v>
      </c>
      <c r="AW193" s="21" t="e">
        <f>EXP(-LN(2)/2)*AW192+(1-EXP(-LN(2)/2))/(LN(2)/2)*AQ193*AT193*VLOOKUP('Données projet'!$B$10,Paramètres!$A$1:$I$89,3,0)*0.475*44/12</f>
        <v>#N/A</v>
      </c>
      <c r="AX193" s="21" t="e">
        <f t="shared" si="166"/>
        <v>#N/A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1">
        <f t="shared" si="140"/>
        <v>43.053559768035143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67">
        <f t="shared" si="110"/>
        <v>627.45140659599406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-5.6843418860808015E-14</v>
      </c>
      <c r="O194" s="13">
        <f>N194*VLOOKUP('Données projet'!$B$9,Paramètres!$A$1:$I$89,3,0)*VLOOKUP('Données projet'!$B$9,Paramètres!$A$1:$I$89,5,0)</f>
        <v>-3.3992364478763198E-14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161.92866721009744</v>
      </c>
      <c r="T194" s="59">
        <f t="shared" si="142"/>
        <v>327.23695023676987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4.7870525298878857</v>
      </c>
      <c r="AA194" s="21">
        <f>EXP(-LN(2)/25)*AA193+(1-EXP(-LN(2)/25))/(LN(2)/25)*Calculateur!V194*Calculateur!X194*VLOOKUP('Données projet'!$B$9,Paramètres!$A$1:$I$89,3,0)*0.475*44/12</f>
        <v>0.27431050992283346</v>
      </c>
      <c r="AB194" s="21">
        <f>EXP(-LN(2)/2)*AB193+(1-EXP(-LN(2)/2))/(LN(2)/2)*V194*Y194*VLOOKUP('Données projet'!$B$9,Paramètres!$A$1:$I$89,3,0)*0.475*44/12</f>
        <v>4.6737579352858172E-23</v>
      </c>
      <c r="AC194" s="22">
        <f t="shared" si="163"/>
        <v>5.0613630398107192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 t="e">
        <f>AI194*VLOOKUP('Données projet'!$B$10,Paramètres!$A$1:$I$89,3,0)*VLOOKUP('Données projet'!$B$10,Paramètres!$A$1:$I$89,5,0)</f>
        <v>#N/A</v>
      </c>
      <c r="AK194" s="13" t="e">
        <f t="shared" si="164"/>
        <v>#N/A</v>
      </c>
      <c r="AL194" s="20" t="e">
        <f t="shared" si="165"/>
        <v>#N/A</v>
      </c>
      <c r="AM194" s="59" t="e">
        <f t="shared" si="113"/>
        <v>#N/A</v>
      </c>
      <c r="AN194" s="59" t="e">
        <f ca="1">AVERAGE(OFFSET($AM$3,0,0,'Données projet'!$E$10+1,1))-AVERAGE(OFFSET($H$3,0,0,'Données projet'!$E$10+1,1))</f>
        <v>#N/A</v>
      </c>
      <c r="AO194" s="59" t="e">
        <f t="shared" si="144"/>
        <v>#N/A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 t="e">
        <f>EXP(-LN(2)/35)*AU193+(1-EXP(-LN(2)/35))/(LN(2)/35)*AQ194*AR194*VLOOKUP('Données projet'!$B$10,Paramètres!$A$1:$I$89,3,0)*0.475*44/12</f>
        <v>#N/A</v>
      </c>
      <c r="AV194" s="21" t="e">
        <f>EXP(-LN(2)/25)*AV193+(1-EXP(-LN(2)/25))/(LN(2)/25)*Calculateur!AQ194*Calculateur!AS194*VLOOKUP('Données projet'!$B$10,Paramètres!$A$1:$I$89,3,0)*0.475*44/12</f>
        <v>#N/A</v>
      </c>
      <c r="AW194" s="21" t="e">
        <f>EXP(-LN(2)/2)*AW193+(1-EXP(-LN(2)/2))/(LN(2)/2)*AQ194*AT194*VLOOKUP('Données projet'!$B$10,Paramètres!$A$1:$I$89,3,0)*0.475*44/12</f>
        <v>#N/A</v>
      </c>
      <c r="AX194" s="21" t="e">
        <f t="shared" si="166"/>
        <v>#N/A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1">
        <f t="shared" si="140"/>
        <v>43.252672626882983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67">
        <f t="shared" si="110"/>
        <v>629.34688482515401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-5.6843418860808015E-14</v>
      </c>
      <c r="O195" s="13">
        <f>N195*VLOOKUP('Données projet'!$B$9,Paramètres!$A$1:$I$89,3,0)*VLOOKUP('Données projet'!$B$9,Paramètres!$A$1:$I$89,5,0)</f>
        <v>-3.3992364478763198E-14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161.92866721009744</v>
      </c>
      <c r="T195" s="59">
        <f t="shared" si="142"/>
        <v>327.23695023676987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4.6931813495905201</v>
      </c>
      <c r="AA195" s="21">
        <f>EXP(-LN(2)/25)*AA194+(1-EXP(-LN(2)/25))/(LN(2)/25)*Calculateur!V195*Calculateur!X195*VLOOKUP('Données projet'!$B$9,Paramètres!$A$1:$I$89,3,0)*0.475*44/12</f>
        <v>0.2668094746036308</v>
      </c>
      <c r="AB195" s="21">
        <f>EXP(-LN(2)/2)*AB194+(1-EXP(-LN(2)/2))/(LN(2)/2)*V195*Y195*VLOOKUP('Données projet'!$B$9,Paramètres!$A$1:$I$89,3,0)*0.475*44/12</f>
        <v>3.3048459296650384E-23</v>
      </c>
      <c r="AC195" s="22">
        <f t="shared" si="163"/>
        <v>4.9599908241941506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 t="e">
        <f>AI195*VLOOKUP('Données projet'!$B$10,Paramètres!$A$1:$I$89,3,0)*VLOOKUP('Données projet'!$B$10,Paramètres!$A$1:$I$89,5,0)</f>
        <v>#N/A</v>
      </c>
      <c r="AK195" s="13" t="e">
        <f t="shared" si="164"/>
        <v>#N/A</v>
      </c>
      <c r="AL195" s="20" t="e">
        <f t="shared" si="165"/>
        <v>#N/A</v>
      </c>
      <c r="AM195" s="59" t="e">
        <f t="shared" si="113"/>
        <v>#N/A</v>
      </c>
      <c r="AN195" s="59" t="e">
        <f ca="1">AVERAGE(OFFSET($AM$3,0,0,'Données projet'!$E$10+1,1))-AVERAGE(OFFSET($H$3,0,0,'Données projet'!$E$10+1,1))</f>
        <v>#N/A</v>
      </c>
      <c r="AO195" s="59" t="e">
        <f t="shared" si="144"/>
        <v>#N/A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 t="e">
        <f>EXP(-LN(2)/35)*AU194+(1-EXP(-LN(2)/35))/(LN(2)/35)*AQ195*AR195*VLOOKUP('Données projet'!$B$10,Paramètres!$A$1:$I$89,3,0)*0.475*44/12</f>
        <v>#N/A</v>
      </c>
      <c r="AV195" s="21" t="e">
        <f>EXP(-LN(2)/25)*AV194+(1-EXP(-LN(2)/25))/(LN(2)/25)*Calculateur!AQ195*Calculateur!AS195*VLOOKUP('Données projet'!$B$10,Paramètres!$A$1:$I$89,3,0)*0.475*44/12</f>
        <v>#N/A</v>
      </c>
      <c r="AW195" s="21" t="e">
        <f>EXP(-LN(2)/2)*AW194+(1-EXP(-LN(2)/2))/(LN(2)/2)*AQ195*AT195*VLOOKUP('Données projet'!$B$10,Paramètres!$A$1:$I$89,3,0)*0.475*44/12</f>
        <v>#N/A</v>
      </c>
      <c r="AX195" s="21" t="e">
        <f t="shared" si="166"/>
        <v>#N/A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1">
        <f t="shared" si="140"/>
        <v>43.451664809566452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67">
        <f t="shared" ref="H196:H203" si="192">(B196+E196+F196)*44/12+(C196+D196)*0.475*44/12</f>
        <v>631.24215287666095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-5.6843418860808015E-14</v>
      </c>
      <c r="O196" s="13">
        <f>N196*VLOOKUP('Données projet'!$B$9,Paramètres!$A$1:$I$89,3,0)*VLOOKUP('Données projet'!$B$9,Paramètres!$A$1:$I$89,5,0)</f>
        <v>-3.3992364478763198E-14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161.92866721009744</v>
      </c>
      <c r="T196" s="59">
        <f t="shared" si="142"/>
        <v>327.23695023676987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4.6011509258830188</v>
      </c>
      <c r="AA196" s="21">
        <f>EXP(-LN(2)/25)*AA195+(1-EXP(-LN(2)/25))/(LN(2)/25)*Calculateur!V196*Calculateur!X196*VLOOKUP('Données projet'!$B$9,Paramètres!$A$1:$I$89,3,0)*0.475*44/12</f>
        <v>0.25951355548969407</v>
      </c>
      <c r="AB196" s="21">
        <f>EXP(-LN(2)/2)*AB195+(1-EXP(-LN(2)/2))/(LN(2)/2)*V196*Y196*VLOOKUP('Données projet'!$B$9,Paramètres!$A$1:$I$89,3,0)*0.475*44/12</f>
        <v>2.3368789676429086E-23</v>
      </c>
      <c r="AC196" s="22">
        <f t="shared" si="163"/>
        <v>4.8606644813727131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 t="e">
        <f>AI196*VLOOKUP('Données projet'!$B$10,Paramètres!$A$1:$I$89,3,0)*VLOOKUP('Données projet'!$B$10,Paramètres!$A$1:$I$89,5,0)</f>
        <v>#N/A</v>
      </c>
      <c r="AK196" s="13" t="e">
        <f t="shared" si="164"/>
        <v>#N/A</v>
      </c>
      <c r="AL196" s="20" t="e">
        <f t="shared" si="165"/>
        <v>#N/A</v>
      </c>
      <c r="AM196" s="59" t="e">
        <f t="shared" ref="AM196:AM203" si="193">AL196+(AD196+AE196)*44/12</f>
        <v>#N/A</v>
      </c>
      <c r="AN196" s="59" t="e">
        <f ca="1">AVERAGE(OFFSET($AM$3,0,0,'Données projet'!$E$10+1,1))-AVERAGE(OFFSET($H$3,0,0,'Données projet'!$E$10+1,1))</f>
        <v>#N/A</v>
      </c>
      <c r="AO196" s="59" t="e">
        <f t="shared" si="144"/>
        <v>#N/A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 t="e">
        <f>EXP(-LN(2)/35)*AU195+(1-EXP(-LN(2)/35))/(LN(2)/35)*AQ196*AR196*VLOOKUP('Données projet'!$B$10,Paramètres!$A$1:$I$89,3,0)*0.475*44/12</f>
        <v>#N/A</v>
      </c>
      <c r="AV196" s="21" t="e">
        <f>EXP(-LN(2)/25)*AV195+(1-EXP(-LN(2)/25))/(LN(2)/25)*Calculateur!AQ196*Calculateur!AS196*VLOOKUP('Données projet'!$B$10,Paramètres!$A$1:$I$89,3,0)*0.475*44/12</f>
        <v>#N/A</v>
      </c>
      <c r="AW196" s="21" t="e">
        <f>EXP(-LN(2)/2)*AW195+(1-EXP(-LN(2)/2))/(LN(2)/2)*AQ196*AT196*VLOOKUP('Données projet'!$B$10,Paramètres!$A$1:$I$89,3,0)*0.475*44/12</f>
        <v>#N/A</v>
      </c>
      <c r="AX196" s="21" t="e">
        <f t="shared" si="166"/>
        <v>#N/A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1">
        <f t="shared" ref="D197:D203" si="202">IFERROR(EXP(-1.0587+0.8836*LN(C197)+0.284),0)</f>
        <v>43.650537013927277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67">
        <f t="shared" si="192"/>
        <v>633.13721196592269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-5.6843418860808015E-14</v>
      </c>
      <c r="O197" s="13">
        <f>N197*VLOOKUP('Données projet'!$B$9,Paramètres!$A$1:$I$89,3,0)*VLOOKUP('Données projet'!$B$9,Paramètres!$A$1:$I$89,5,0)</f>
        <v>-3.3992364478763198E-14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161.92866721009744</v>
      </c>
      <c r="T197" s="59">
        <f t="shared" ref="T197:T203" si="204">$T$3</f>
        <v>327.23695023676987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4.5109251626514064</v>
      </c>
      <c r="AA197" s="21">
        <f>EXP(-LN(2)/25)*AA196+(1-EXP(-LN(2)/25))/(LN(2)/25)*Calculateur!V197*Calculateur!X197*VLOOKUP('Données projet'!$B$9,Paramètres!$A$1:$I$89,3,0)*0.475*44/12</f>
        <v>0.25241714366760365</v>
      </c>
      <c r="AB197" s="21">
        <f>EXP(-LN(2)/2)*AB196+(1-EXP(-LN(2)/2))/(LN(2)/2)*V197*Y197*VLOOKUP('Données projet'!$B$9,Paramètres!$A$1:$I$89,3,0)*0.475*44/12</f>
        <v>1.6524229648325192E-23</v>
      </c>
      <c r="AC197" s="22">
        <f t="shared" si="163"/>
        <v>4.7633423063190099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 t="e">
        <f>AI197*VLOOKUP('Données projet'!$B$10,Paramètres!$A$1:$I$89,3,0)*VLOOKUP('Données projet'!$B$10,Paramètres!$A$1:$I$89,5,0)</f>
        <v>#N/A</v>
      </c>
      <c r="AK197" s="13" t="e">
        <f t="shared" si="164"/>
        <v>#N/A</v>
      </c>
      <c r="AL197" s="20" t="e">
        <f t="shared" si="165"/>
        <v>#N/A</v>
      </c>
      <c r="AM197" s="59" t="e">
        <f t="shared" si="193"/>
        <v>#N/A</v>
      </c>
      <c r="AN197" s="59" t="e">
        <f ca="1">AVERAGE(OFFSET($AM$3,0,0,'Données projet'!$E$10+1,1))-AVERAGE(OFFSET($H$3,0,0,'Données projet'!$E$10+1,1))</f>
        <v>#N/A</v>
      </c>
      <c r="AO197" s="59" t="e">
        <f t="shared" ref="AO197:AO203" si="205">$AO$3</f>
        <v>#N/A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 t="e">
        <f>EXP(-LN(2)/35)*AU196+(1-EXP(-LN(2)/35))/(LN(2)/35)*AQ197*AR197*VLOOKUP('Données projet'!$B$10,Paramètres!$A$1:$I$89,3,0)*0.475*44/12</f>
        <v>#N/A</v>
      </c>
      <c r="AV197" s="21" t="e">
        <f>EXP(-LN(2)/25)*AV196+(1-EXP(-LN(2)/25))/(LN(2)/25)*Calculateur!AQ197*Calculateur!AS197*VLOOKUP('Données projet'!$B$10,Paramètres!$A$1:$I$89,3,0)*0.475*44/12</f>
        <v>#N/A</v>
      </c>
      <c r="AW197" s="21" t="e">
        <f>EXP(-LN(2)/2)*AW196+(1-EXP(-LN(2)/2))/(LN(2)/2)*AQ197*AT197*VLOOKUP('Données projet'!$B$10,Paramètres!$A$1:$I$89,3,0)*0.475*44/12</f>
        <v>#N/A</v>
      </c>
      <c r="AX197" s="21" t="e">
        <f t="shared" si="166"/>
        <v>#N/A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1">
        <f t="shared" si="202"/>
        <v>43.849289930196555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67">
        <f t="shared" si="192"/>
        <v>635.0320632950918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-5.6843418860808015E-14</v>
      </c>
      <c r="O198" s="13">
        <f>N198*VLOOKUP('Données projet'!$B$9,Paramètres!$A$1:$I$89,3,0)*VLOOKUP('Données projet'!$B$9,Paramètres!$A$1:$I$89,5,0)</f>
        <v>-3.3992364478763198E-14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161.92866721009744</v>
      </c>
      <c r="T198" s="59">
        <f t="shared" si="204"/>
        <v>327.23695023676987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4.4224686716044843</v>
      </c>
      <c r="AA198" s="21">
        <f>EXP(-LN(2)/25)*AA197+(1-EXP(-LN(2)/25))/(LN(2)/25)*Calculateur!V198*Calculateur!X198*VLOOKUP('Données projet'!$B$9,Paramètres!$A$1:$I$89,3,0)*0.475*44/12</f>
        <v>0.24551478359997234</v>
      </c>
      <c r="AB198" s="21">
        <f>EXP(-LN(2)/2)*AB197+(1-EXP(-LN(2)/2))/(LN(2)/2)*V198*Y198*VLOOKUP('Données projet'!$B$9,Paramètres!$A$1:$I$89,3,0)*0.475*44/12</f>
        <v>1.1684394838214543E-23</v>
      </c>
      <c r="AC198" s="22">
        <f t="shared" si="163"/>
        <v>4.6679834552044568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 t="e">
        <f>AI198*VLOOKUP('Données projet'!$B$10,Paramètres!$A$1:$I$89,3,0)*VLOOKUP('Données projet'!$B$10,Paramètres!$A$1:$I$89,5,0)</f>
        <v>#N/A</v>
      </c>
      <c r="AK198" s="13" t="e">
        <f t="shared" si="164"/>
        <v>#N/A</v>
      </c>
      <c r="AL198" s="20" t="e">
        <f t="shared" si="165"/>
        <v>#N/A</v>
      </c>
      <c r="AM198" s="59" t="e">
        <f t="shared" si="193"/>
        <v>#N/A</v>
      </c>
      <c r="AN198" s="59" t="e">
        <f ca="1">AVERAGE(OFFSET($AM$3,0,0,'Données projet'!$E$10+1,1))-AVERAGE(OFFSET($H$3,0,0,'Données projet'!$E$10+1,1))</f>
        <v>#N/A</v>
      </c>
      <c r="AO198" s="59" t="e">
        <f t="shared" si="205"/>
        <v>#N/A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 t="e">
        <f>EXP(-LN(2)/35)*AU197+(1-EXP(-LN(2)/35))/(LN(2)/35)*AQ198*AR198*VLOOKUP('Données projet'!$B$10,Paramètres!$A$1:$I$89,3,0)*0.475*44/12</f>
        <v>#N/A</v>
      </c>
      <c r="AV198" s="21" t="e">
        <f>EXP(-LN(2)/25)*AV197+(1-EXP(-LN(2)/25))/(LN(2)/25)*Calculateur!AQ198*Calculateur!AS198*VLOOKUP('Données projet'!$B$10,Paramètres!$A$1:$I$89,3,0)*0.475*44/12</f>
        <v>#N/A</v>
      </c>
      <c r="AW198" s="21" t="e">
        <f>EXP(-LN(2)/2)*AW197+(1-EXP(-LN(2)/2))/(LN(2)/2)*AQ198*AT198*VLOOKUP('Données projet'!$B$10,Paramètres!$A$1:$I$89,3,0)*0.475*44/12</f>
        <v>#N/A</v>
      </c>
      <c r="AX198" s="21" t="e">
        <f t="shared" si="166"/>
        <v>#N/A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1">
        <f t="shared" si="202"/>
        <v>44.047924241116036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67">
        <f t="shared" si="192"/>
        <v>636.92670805327657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-5.6843418860808015E-14</v>
      </c>
      <c r="O199" s="13">
        <f>N199*VLOOKUP('Données projet'!$B$9,Paramètres!$A$1:$I$89,3,0)*VLOOKUP('Données projet'!$B$9,Paramètres!$A$1:$I$89,5,0)</f>
        <v>-3.3992364478763198E-14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161.92866721009744</v>
      </c>
      <c r="T199" s="59">
        <f t="shared" si="204"/>
        <v>327.23695023676987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4.33574675839386</v>
      </c>
      <c r="AA199" s="21">
        <f>EXP(-LN(2)/25)*AA198+(1-EXP(-LN(2)/25))/(LN(2)/25)*Calculateur!V199*Calculateur!X199*VLOOKUP('Données projet'!$B$9,Paramètres!$A$1:$I$89,3,0)*0.475*44/12</f>
        <v>0.23880116893136977</v>
      </c>
      <c r="AB199" s="21">
        <f>EXP(-LN(2)/2)*AB198+(1-EXP(-LN(2)/2))/(LN(2)/2)*V199*Y199*VLOOKUP('Données projet'!$B$9,Paramètres!$A$1:$I$89,3,0)*0.475*44/12</f>
        <v>8.2621148241625961E-24</v>
      </c>
      <c r="AC199" s="22">
        <f t="shared" si="163"/>
        <v>4.5745479273252299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 t="e">
        <f>AI199*VLOOKUP('Données projet'!$B$10,Paramètres!$A$1:$I$89,3,0)*VLOOKUP('Données projet'!$B$10,Paramètres!$A$1:$I$89,5,0)</f>
        <v>#N/A</v>
      </c>
      <c r="AK199" s="13" t="e">
        <f t="shared" si="164"/>
        <v>#N/A</v>
      </c>
      <c r="AL199" s="20" t="e">
        <f t="shared" si="165"/>
        <v>#N/A</v>
      </c>
      <c r="AM199" s="59" t="e">
        <f t="shared" si="193"/>
        <v>#N/A</v>
      </c>
      <c r="AN199" s="59" t="e">
        <f ca="1">AVERAGE(OFFSET($AM$3,0,0,'Données projet'!$E$10+1,1))-AVERAGE(OFFSET($H$3,0,0,'Données projet'!$E$10+1,1))</f>
        <v>#N/A</v>
      </c>
      <c r="AO199" s="59" t="e">
        <f t="shared" si="205"/>
        <v>#N/A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 t="e">
        <f>EXP(-LN(2)/35)*AU198+(1-EXP(-LN(2)/35))/(LN(2)/35)*AQ199*AR199*VLOOKUP('Données projet'!$B$10,Paramètres!$A$1:$I$89,3,0)*0.475*44/12</f>
        <v>#N/A</v>
      </c>
      <c r="AV199" s="21" t="e">
        <f>EXP(-LN(2)/25)*AV198+(1-EXP(-LN(2)/25))/(LN(2)/25)*Calculateur!AQ199*Calculateur!AS199*VLOOKUP('Données projet'!$B$10,Paramètres!$A$1:$I$89,3,0)*0.475*44/12</f>
        <v>#N/A</v>
      </c>
      <c r="AW199" s="21" t="e">
        <f>EXP(-LN(2)/2)*AW198+(1-EXP(-LN(2)/2))/(LN(2)/2)*AQ199*AT199*VLOOKUP('Données projet'!$B$10,Paramètres!$A$1:$I$89,3,0)*0.475*44/12</f>
        <v>#N/A</v>
      </c>
      <c r="AX199" s="21" t="e">
        <f t="shared" si="166"/>
        <v>#N/A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1">
        <f t="shared" si="202"/>
        <v>44.246440622057428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67">
        <f t="shared" si="192"/>
        <v>638.82114741674945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-5.6843418860808015E-14</v>
      </c>
      <c r="O200" s="13">
        <f>N200*VLOOKUP('Données projet'!$B$9,Paramètres!$A$1:$I$89,3,0)*VLOOKUP('Données projet'!$B$9,Paramètres!$A$1:$I$89,5,0)</f>
        <v>-3.3992364478763198E-14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161.92866721009744</v>
      </c>
      <c r="T200" s="59">
        <f t="shared" si="204"/>
        <v>327.23695023676987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4.2507254090061517</v>
      </c>
      <c r="AA200" s="21">
        <f>EXP(-LN(2)/25)*AA199+(1-EXP(-LN(2)/25))/(LN(2)/25)*Calculateur!V200*Calculateur!X200*VLOOKUP('Données projet'!$B$9,Paramètres!$A$1:$I$89,3,0)*0.475*44/12</f>
        <v>0.23227113840893376</v>
      </c>
      <c r="AB200" s="21">
        <f>EXP(-LN(2)/2)*AB199+(1-EXP(-LN(2)/2))/(LN(2)/2)*V200*Y200*VLOOKUP('Données projet'!$B$9,Paramètres!$A$1:$I$89,3,0)*0.475*44/12</f>
        <v>5.8421974191072714E-24</v>
      </c>
      <c r="AC200" s="22">
        <f t="shared" si="163"/>
        <v>4.4829965474150857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 t="e">
        <f>AI200*VLOOKUP('Données projet'!$B$10,Paramètres!$A$1:$I$89,3,0)*VLOOKUP('Données projet'!$B$10,Paramètres!$A$1:$I$89,5,0)</f>
        <v>#N/A</v>
      </c>
      <c r="AK200" s="13" t="e">
        <f t="shared" si="164"/>
        <v>#N/A</v>
      </c>
      <c r="AL200" s="20" t="e">
        <f t="shared" si="165"/>
        <v>#N/A</v>
      </c>
      <c r="AM200" s="59" t="e">
        <f t="shared" si="193"/>
        <v>#N/A</v>
      </c>
      <c r="AN200" s="59" t="e">
        <f ca="1">AVERAGE(OFFSET($AM$3,0,0,'Données projet'!$E$10+1,1))-AVERAGE(OFFSET($H$3,0,0,'Données projet'!$E$10+1,1))</f>
        <v>#N/A</v>
      </c>
      <c r="AO200" s="59" t="e">
        <f t="shared" si="205"/>
        <v>#N/A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 t="e">
        <f>EXP(-LN(2)/35)*AU199+(1-EXP(-LN(2)/35))/(LN(2)/35)*AQ200*AR200*VLOOKUP('Données projet'!$B$10,Paramètres!$A$1:$I$89,3,0)*0.475*44/12</f>
        <v>#N/A</v>
      </c>
      <c r="AV200" s="21" t="e">
        <f>EXP(-LN(2)/25)*AV199+(1-EXP(-LN(2)/25))/(LN(2)/25)*Calculateur!AQ200*Calculateur!AS200*VLOOKUP('Données projet'!$B$10,Paramètres!$A$1:$I$89,3,0)*0.475*44/12</f>
        <v>#N/A</v>
      </c>
      <c r="AW200" s="21" t="e">
        <f>EXP(-LN(2)/2)*AW199+(1-EXP(-LN(2)/2))/(LN(2)/2)*AQ200*AT200*VLOOKUP('Données projet'!$B$10,Paramètres!$A$1:$I$89,3,0)*0.475*44/12</f>
        <v>#N/A</v>
      </c>
      <c r="AX200" s="21" t="e">
        <f t="shared" si="166"/>
        <v>#N/A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1">
        <f t="shared" si="202"/>
        <v>44.44483974113885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67">
        <f t="shared" si="192"/>
        <v>640.71538254914947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-5.6843418860808015E-14</v>
      </c>
      <c r="O201" s="13">
        <f>N201*VLOOKUP('Données projet'!$B$9,Paramètres!$A$1:$I$89,3,0)*VLOOKUP('Données projet'!$B$9,Paramètres!$A$1:$I$89,5,0)</f>
        <v>-3.3992364478763198E-14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161.92866721009744</v>
      </c>
      <c r="T201" s="59">
        <f t="shared" si="204"/>
        <v>327.23695023676987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4.1673712764220339</v>
      </c>
      <c r="AA201" s="21">
        <f>EXP(-LN(2)/25)*AA200+(1-EXP(-LN(2)/25))/(LN(2)/25)*Calculateur!V201*Calculateur!X201*VLOOKUP('Données projet'!$B$9,Paramètres!$A$1:$I$89,3,0)*0.475*44/12</f>
        <v>0.22591967191453316</v>
      </c>
      <c r="AB201" s="21">
        <f>EXP(-LN(2)/2)*AB200+(1-EXP(-LN(2)/2))/(LN(2)/2)*V201*Y201*VLOOKUP('Données projet'!$B$9,Paramètres!$A$1:$I$89,3,0)*0.475*44/12</f>
        <v>4.131057412081298E-24</v>
      </c>
      <c r="AC201" s="22">
        <f t="shared" si="163"/>
        <v>4.393290948336567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 t="e">
        <f>AI201*VLOOKUP('Données projet'!$B$10,Paramètres!$A$1:$I$89,3,0)*VLOOKUP('Données projet'!$B$10,Paramètres!$A$1:$I$89,5,0)</f>
        <v>#N/A</v>
      </c>
      <c r="AK201" s="13" t="e">
        <f t="shared" si="164"/>
        <v>#N/A</v>
      </c>
      <c r="AL201" s="20" t="e">
        <f t="shared" si="165"/>
        <v>#N/A</v>
      </c>
      <c r="AM201" s="59" t="e">
        <f t="shared" si="193"/>
        <v>#N/A</v>
      </c>
      <c r="AN201" s="59" t="e">
        <f ca="1">AVERAGE(OFFSET($AM$3,0,0,'Données projet'!$E$10+1,1))-AVERAGE(OFFSET($H$3,0,0,'Données projet'!$E$10+1,1))</f>
        <v>#N/A</v>
      </c>
      <c r="AO201" s="59" t="e">
        <f t="shared" si="205"/>
        <v>#N/A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 t="e">
        <f>EXP(-LN(2)/35)*AU200+(1-EXP(-LN(2)/35))/(LN(2)/35)*AQ201*AR201*VLOOKUP('Données projet'!$B$10,Paramètres!$A$1:$I$89,3,0)*0.475*44/12</f>
        <v>#N/A</v>
      </c>
      <c r="AV201" s="21" t="e">
        <f>EXP(-LN(2)/25)*AV200+(1-EXP(-LN(2)/25))/(LN(2)/25)*Calculateur!AQ201*Calculateur!AS201*VLOOKUP('Données projet'!$B$10,Paramètres!$A$1:$I$89,3,0)*0.475*44/12</f>
        <v>#N/A</v>
      </c>
      <c r="AW201" s="21" t="e">
        <f>EXP(-LN(2)/2)*AW200+(1-EXP(-LN(2)/2))/(LN(2)/2)*AQ201*AT201*VLOOKUP('Données projet'!$B$10,Paramètres!$A$1:$I$89,3,0)*0.475*44/12</f>
        <v>#N/A</v>
      </c>
      <c r="AX201" s="21" t="e">
        <f t="shared" si="166"/>
        <v>#N/A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1">
        <f t="shared" si="202"/>
        <v>44.643122259339037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67">
        <f t="shared" si="192"/>
        <v>642.60941460168146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-5.6843418860808015E-14</v>
      </c>
      <c r="O202" s="13">
        <f>N202*VLOOKUP('Données projet'!$B$9,Paramètres!$A$1:$I$89,3,0)*VLOOKUP('Données projet'!$B$9,Paramètres!$A$1:$I$89,5,0)</f>
        <v>-3.3992364478763198E-14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161.92866721009744</v>
      </c>
      <c r="T202" s="59">
        <f t="shared" si="204"/>
        <v>327.23695023676987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4.0856516675368901</v>
      </c>
      <c r="AA202" s="21">
        <f>EXP(-LN(2)/25)*AA201+(1-EXP(-LN(2)/25))/(LN(2)/25)*Calculateur!V202*Calculateur!X202*VLOOKUP('Données projet'!$B$9,Paramètres!$A$1:$I$89,3,0)*0.475*44/12</f>
        <v>0.21974188660543106</v>
      </c>
      <c r="AB202" s="21">
        <f>EXP(-LN(2)/2)*AB201+(1-EXP(-LN(2)/2))/(LN(2)/2)*V202*Y202*VLOOKUP('Données projet'!$B$9,Paramètres!$A$1:$I$89,3,0)*0.475*44/12</f>
        <v>2.9210987095536357E-24</v>
      </c>
      <c r="AC202" s="22">
        <f t="shared" si="163"/>
        <v>4.3053935541423209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 t="e">
        <f>AI202*VLOOKUP('Données projet'!$B$10,Paramètres!$A$1:$I$89,3,0)*VLOOKUP('Données projet'!$B$10,Paramètres!$A$1:$I$89,5,0)</f>
        <v>#N/A</v>
      </c>
      <c r="AK202" s="13" t="e">
        <f t="shared" si="164"/>
        <v>#N/A</v>
      </c>
      <c r="AL202" s="20" t="e">
        <f t="shared" si="165"/>
        <v>#N/A</v>
      </c>
      <c r="AM202" s="59" t="e">
        <f t="shared" si="193"/>
        <v>#N/A</v>
      </c>
      <c r="AN202" s="59" t="e">
        <f ca="1">AVERAGE(OFFSET($AM$3,0,0,'Données projet'!$E$10+1,1))-AVERAGE(OFFSET($H$3,0,0,'Données projet'!$E$10+1,1))</f>
        <v>#N/A</v>
      </c>
      <c r="AO202" s="59" t="e">
        <f t="shared" si="205"/>
        <v>#N/A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 t="e">
        <f>EXP(-LN(2)/35)*AU201+(1-EXP(-LN(2)/35))/(LN(2)/35)*AQ202*AR202*VLOOKUP('Données projet'!$B$10,Paramètres!$A$1:$I$89,3,0)*0.475*44/12</f>
        <v>#N/A</v>
      </c>
      <c r="AV202" s="21" t="e">
        <f>EXP(-LN(2)/25)*AV201+(1-EXP(-LN(2)/25))/(LN(2)/25)*Calculateur!AQ202*Calculateur!AS202*VLOOKUP('Données projet'!$B$10,Paramètres!$A$1:$I$89,3,0)*0.475*44/12</f>
        <v>#N/A</v>
      </c>
      <c r="AW202" s="21" t="e">
        <f>EXP(-LN(2)/2)*AW201+(1-EXP(-LN(2)/2))/(LN(2)/2)*AQ202*AT202*VLOOKUP('Données projet'!$B$10,Paramètres!$A$1:$I$89,3,0)*0.475*44/12</f>
        <v>#N/A</v>
      </c>
      <c r="AX202" s="21" t="e">
        <f t="shared" si="166"/>
        <v>#N/A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1">
        <f t="shared" si="202"/>
        <v>44.841288830609059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67">
        <f t="shared" si="192"/>
        <v>644.5032447133101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-5.6843418860808015E-14</v>
      </c>
      <c r="O203" s="13">
        <f>N203*VLOOKUP('Données projet'!$B$9,Paramètres!$A$1:$I$89,3,0)*VLOOKUP('Données projet'!$B$9,Paramètres!$A$1:$I$89,5,0)</f>
        <v>-3.3992364478763198E-14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161.92866721009744</v>
      </c>
      <c r="T203" s="59">
        <f t="shared" si="204"/>
        <v>327.23695023676987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4.0055345303379442</v>
      </c>
      <c r="AA203" s="21">
        <f>EXP(-LN(2)/25)*AA202+(1-EXP(-LN(2)/25))/(LN(2)/25)*Calculateur!V203*Calculateur!X203*VLOOKUP('Données projet'!$B$9,Paramètres!$A$1:$I$89,3,0)*0.475*44/12</f>
        <v>0.21373303316048195</v>
      </c>
      <c r="AB203" s="21">
        <f>EXP(-LN(2)/2)*AB202+(1-EXP(-LN(2)/2))/(LN(2)/2)*V203*Y203*VLOOKUP('Données projet'!$B$9,Paramètres!$A$1:$I$89,3,0)*0.475*44/12</f>
        <v>2.065528706040649E-24</v>
      </c>
      <c r="AC203" s="22">
        <f t="shared" si="163"/>
        <v>4.219267563498426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 t="e">
        <f>AI203*VLOOKUP('Données projet'!$B$10,Paramètres!$A$1:$I$89,3,0)*VLOOKUP('Données projet'!$B$10,Paramètres!$A$1:$I$89,5,0)</f>
        <v>#N/A</v>
      </c>
      <c r="AK203" s="13" t="e">
        <f t="shared" si="164"/>
        <v>#N/A</v>
      </c>
      <c r="AL203" s="20" t="e">
        <f t="shared" si="165"/>
        <v>#N/A</v>
      </c>
      <c r="AM203" s="59" t="e">
        <f t="shared" si="193"/>
        <v>#N/A</v>
      </c>
      <c r="AN203" s="59" t="e">
        <f ca="1">AVERAGE(OFFSET($AM$3,0,0,'Données projet'!$E$10+1,1))-AVERAGE(OFFSET($H$3,0,0,'Données projet'!$E$10+1,1))</f>
        <v>#N/A</v>
      </c>
      <c r="AO203" s="59" t="e">
        <f t="shared" si="205"/>
        <v>#N/A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 t="e">
        <f>EXP(-LN(2)/35)*AU202+(1-EXP(-LN(2)/35))/(LN(2)/35)*AQ203*AR203*VLOOKUP('Données projet'!$B$10,Paramètres!$A$1:$I$89,3,0)*0.475*44/12</f>
        <v>#N/A</v>
      </c>
      <c r="AV203" s="21" t="e">
        <f>EXP(-LN(2)/25)*AV202+(1-EXP(-LN(2)/25))/(LN(2)/25)*Calculateur!AQ203*Calculateur!AS203*VLOOKUP('Données projet'!$B$10,Paramètres!$A$1:$I$89,3,0)*0.475*44/12</f>
        <v>#N/A</v>
      </c>
      <c r="AW203" s="21" t="e">
        <f>EXP(-LN(2)/2)*AW202+(1-EXP(-LN(2)/2))/(LN(2)/2)*AQ203*AT203*VLOOKUP('Données projet'!$B$10,Paramètres!$A$1:$I$89,3,0)*0.475*44/12</f>
        <v>#N/A</v>
      </c>
      <c r="AX203" s="21" t="e">
        <f t="shared" si="166"/>
        <v>#N/A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1.4552737612749826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 t="e">
        <f>EXP(LN('Données projet'!B62)/'Données projet'!A62)</f>
        <v>#NUM!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0" t="s">
        <v>238</v>
      </c>
      <c r="P2" s="121">
        <v>0</v>
      </c>
    </row>
    <row r="3" spans="1:16" ht="15.7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1"/>
      <c r="P3" s="128">
        <v>0.2</v>
      </c>
    </row>
    <row r="4" spans="1:16" ht="15.7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0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2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2"/>
      <c r="P7" s="129">
        <v>0.1</v>
      </c>
    </row>
    <row r="8" spans="1:16" ht="15.7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1"/>
      <c r="P8" s="128">
        <v>0.15</v>
      </c>
    </row>
    <row r="9" spans="1:16" ht="15.7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0" t="s">
        <v>236</v>
      </c>
      <c r="P10" s="121">
        <v>0</v>
      </c>
    </row>
    <row r="11" spans="1:16" ht="15.7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1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0" t="s">
        <v>321</v>
      </c>
      <c r="B87" s="251" t="s">
        <v>322</v>
      </c>
      <c r="C87" s="252">
        <v>0.41</v>
      </c>
      <c r="D87" s="252" t="s">
        <v>323</v>
      </c>
      <c r="E87" s="252">
        <v>1.56</v>
      </c>
      <c r="F87" s="253" t="s">
        <v>274</v>
      </c>
      <c r="G87" s="254">
        <v>0.43</v>
      </c>
      <c r="H87" s="252" t="s">
        <v>278</v>
      </c>
      <c r="I87" s="255">
        <v>0.25</v>
      </c>
      <c r="J87" s="78"/>
      <c r="K87" s="78"/>
      <c r="L87" s="78"/>
      <c r="M87" s="78"/>
      <c r="N87" s="78"/>
    </row>
    <row r="88" spans="1:14" x14ac:dyDescent="0.2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.75" thickBot="1" x14ac:dyDescent="0.3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5">
      <c r="A93" s="122" t="s">
        <v>208</v>
      </c>
    </row>
    <row r="94" spans="1:14" x14ac:dyDescent="0.25">
      <c r="A94" s="122" t="s">
        <v>209</v>
      </c>
    </row>
    <row r="95" spans="1:14" x14ac:dyDescent="0.2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I8" sqref="I8"/>
    </sheetView>
  </sheetViews>
  <sheetFormatPr baseColWidth="10" defaultColWidth="11.42578125" defaultRowHeight="15" x14ac:dyDescent="0.25"/>
  <cols>
    <col min="1" max="1" width="22.85546875" style="1" bestFit="1" customWidth="1"/>
    <col min="2" max="2" width="10.42578125" style="1" bestFit="1" customWidth="1"/>
    <col min="3" max="3" width="15.42578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1" t="s">
        <v>271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Pin maritime</v>
      </c>
      <c r="B6" s="146">
        <f>'Données projet'!D9</f>
        <v>12.55</v>
      </c>
      <c r="C6" s="147">
        <f ca="1">IF(OR('Données projet'!B9="",'Données projet'!C9="",'Données projet'!C9=0%),0,Calculateur!S3)</f>
        <v>161.92866721009744</v>
      </c>
      <c r="D6" s="147">
        <f>IF(OR('Données projet'!B9="",'Données projet'!C9="",'Données projet'!C9=0%),0,Calculateur!T3)</f>
        <v>327.23695023676987</v>
      </c>
      <c r="E6" s="147">
        <f ca="1">MIN(C6,D6)</f>
        <v>161.92866721009744</v>
      </c>
      <c r="F6" s="147">
        <f ca="1">E6*B6</f>
        <v>2032.2047734867231</v>
      </c>
      <c r="G6" s="147">
        <f ca="1">F6*(100%-'Données projet'!$C$24)*(100%-'Données projet'!$C$25)*(100%-'Données projet'!$C$26)*(100%-'Données projet'!$C$27)</f>
        <v>1243.7093213738747</v>
      </c>
      <c r="H6" s="148">
        <f>IF(OR('Données projet'!B9="",'Données projet'!C9="",'Données projet'!C9=0%),0,AVERAGE(Calculateur!$AC$3:$AC$33)*B6)</f>
        <v>159.52985375433354</v>
      </c>
      <c r="I6" s="149">
        <f>H6*(100%-'Données projet'!$C$24)*(100%-'Données projet'!$C$25)*(100%-'Données projet'!$C$26)*(100%-'Données projet'!$C$27)</f>
        <v>97.632270497652129</v>
      </c>
      <c r="J6" s="150">
        <f>IF(OR('Données projet'!B9="",'Données projet'!C9="",'Données projet'!C9=0%),0,SUM(Calculateur!$V$3:$V$33)*VLOOKUP('Données projet'!$B$9,Paramètres!$A$1:$I$89,9,0)*B6)</f>
        <v>888.54</v>
      </c>
      <c r="K6" s="151">
        <f>J6*(100%-'Données projet'!$C$24)*(100%-'Données projet'!$C$25)*(100%-'Données projet'!$C$26)*(100%-'Données projet'!$C$27)</f>
        <v>543.78647999999998</v>
      </c>
      <c r="L6" s="152">
        <f ca="1">G6+I6+K6</f>
        <v>1885.1280718715268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/>
      </c>
      <c r="B7" s="154">
        <f>'Données projet'!D10</f>
        <v>0</v>
      </c>
      <c r="C7" s="147">
        <f>IF(OR('Données projet'!B10="",'Données projet'!C10="",'Données projet'!C10=0%),0,Calculateur!AN3)</f>
        <v>0</v>
      </c>
      <c r="D7" s="147">
        <f>IF(OR('Données projet'!B10="",'Données projet'!C10="",'Données projet'!C10=0%),0,Calculateur!AO3)</f>
        <v>0</v>
      </c>
      <c r="E7" s="147">
        <f t="shared" ref="E7:E15" si="0">MIN(C7,D7)</f>
        <v>0</v>
      </c>
      <c r="F7" s="147">
        <f t="shared" ref="F7:F15" si="1">E7*B7</f>
        <v>0</v>
      </c>
      <c r="G7" s="147">
        <f>F7*(100%-'Données projet'!$C$24)*(100%-'Données projet'!$C$25)*(100%-'Données projet'!$C$26)*(100%-'Données projet'!$C$27)</f>
        <v>0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si="2">G7+I7+K7</f>
        <v>0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8"/>
      <c r="B16" s="212"/>
      <c r="C16" s="213"/>
      <c r="D16" s="23"/>
      <c r="E16" s="23"/>
      <c r="F16" s="165">
        <f t="shared" ref="F16:L16" ca="1" si="3">SUM(F6:F15)</f>
        <v>2032.2047734867231</v>
      </c>
      <c r="G16" s="166">
        <f t="shared" ca="1" si="3"/>
        <v>1243.7093213738747</v>
      </c>
      <c r="H16" s="167">
        <f t="shared" si="3"/>
        <v>159.52985375433354</v>
      </c>
      <c r="I16" s="167">
        <f t="shared" si="3"/>
        <v>97.632270497652129</v>
      </c>
      <c r="J16" s="168">
        <f t="shared" si="3"/>
        <v>888.54</v>
      </c>
      <c r="K16" s="168">
        <f t="shared" si="3"/>
        <v>543.78647999999998</v>
      </c>
      <c r="L16" s="169">
        <f t="shared" ca="1" si="3"/>
        <v>1885.1280718715268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8"/>
      <c r="B17" s="212"/>
      <c r="C17" s="213"/>
      <c r="D17" s="23"/>
      <c r="E17" s="23"/>
      <c r="F17" s="283" t="s">
        <v>246</v>
      </c>
      <c r="G17" s="284"/>
      <c r="H17" s="284"/>
      <c r="I17" s="284"/>
      <c r="J17" s="284"/>
      <c r="K17" s="284"/>
      <c r="L17" s="28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8"/>
      <c r="B18" s="212"/>
      <c r="C18" s="213"/>
      <c r="D18" s="23"/>
      <c r="E18" s="23"/>
      <c r="F18" s="270"/>
      <c r="G18" s="270"/>
      <c r="H18" s="270"/>
      <c r="I18" s="270"/>
      <c r="J18" s="270"/>
      <c r="K18" s="270"/>
      <c r="L18" s="27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/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L1" zoomScale="87" zoomScaleNormal="87" workbookViewId="0">
      <selection activeCell="O13" sqref="O13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42578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1" t="s">
        <v>272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57" t="s">
        <v>315</v>
      </c>
      <c r="I4" s="257"/>
      <c r="K4" s="299" t="s">
        <v>253</v>
      </c>
      <c r="L4" s="300"/>
      <c r="M4" s="236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1"/>
      <c r="B7" s="242"/>
      <c r="C7" s="242"/>
      <c r="D7" s="242"/>
      <c r="E7" s="243"/>
      <c r="F7" s="243" t="s">
        <v>192</v>
      </c>
      <c r="G7" s="244"/>
      <c r="H7" s="242"/>
      <c r="I7" s="242"/>
      <c r="J7" s="245"/>
      <c r="K7" s="239"/>
      <c r="L7" s="240"/>
      <c r="M7" s="240"/>
      <c r="N7" s="246" t="s">
        <v>191</v>
      </c>
      <c r="O7" s="246"/>
      <c r="P7" s="247"/>
      <c r="Q7" s="248"/>
      <c r="R7" s="291" t="s">
        <v>310</v>
      </c>
      <c r="S7" s="292"/>
      <c r="T7" s="292"/>
      <c r="U7" s="292"/>
      <c r="V7" s="293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199"/>
      <c r="K8" s="207"/>
      <c r="L8" s="23"/>
      <c r="M8" s="23"/>
      <c r="N8" s="23"/>
      <c r="O8" s="23"/>
      <c r="P8" s="23"/>
      <c r="Q8" s="233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311</v>
      </c>
      <c r="C9" s="23"/>
      <c r="D9" s="23"/>
      <c r="E9" s="23"/>
      <c r="F9" s="229"/>
      <c r="G9" s="93" t="s">
        <v>314</v>
      </c>
      <c r="J9" s="199"/>
      <c r="K9" s="207"/>
      <c r="O9" s="23"/>
      <c r="P9" s="23"/>
      <c r="Q9" s="233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317</v>
      </c>
      <c r="C10" s="23"/>
      <c r="D10" s="23"/>
      <c r="E10" s="23"/>
      <c r="F10" s="229"/>
      <c r="G10" s="93" t="s">
        <v>316</v>
      </c>
      <c r="J10" s="199"/>
      <c r="K10" s="207"/>
      <c r="O10" s="23"/>
      <c r="P10" s="23"/>
      <c r="Q10" s="233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8">
        <f>'Données projet'!D9</f>
        <v>12.55</v>
      </c>
      <c r="V10" s="177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312</v>
      </c>
      <c r="B11" s="23"/>
      <c r="C11" s="23"/>
      <c r="D11" s="23"/>
      <c r="E11" s="23"/>
      <c r="F11" s="229"/>
      <c r="G11" s="93" t="s">
        <v>313</v>
      </c>
      <c r="J11" s="199"/>
      <c r="K11" s="207"/>
      <c r="M11" s="4"/>
      <c r="N11" s="4"/>
      <c r="O11" s="23"/>
      <c r="P11" s="23"/>
      <c r="Q11" s="233"/>
      <c r="R11" s="23"/>
      <c r="S11" s="36" t="str">
        <f>B45</f>
        <v/>
      </c>
      <c r="T11" s="238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8">
        <f>'Données projet'!D10</f>
        <v>0</v>
      </c>
      <c r="V11" s="177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29"/>
      <c r="J12" s="199"/>
      <c r="K12" s="207"/>
      <c r="L12" s="201"/>
      <c r="M12" s="23"/>
      <c r="N12" s="23"/>
      <c r="O12" s="23"/>
      <c r="P12" s="23"/>
      <c r="Q12" s="233"/>
      <c r="R12" s="23"/>
      <c r="S12" s="36" t="str">
        <f>B76</f>
        <v/>
      </c>
      <c r="T12" s="238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29"/>
      <c r="J13" s="23"/>
      <c r="K13" s="207"/>
      <c r="L13" s="93" t="s">
        <v>257</v>
      </c>
      <c r="M13" s="23"/>
      <c r="N13" s="23"/>
      <c r="O13" s="23"/>
      <c r="P13" s="23"/>
      <c r="Q13" s="233"/>
      <c r="R13" s="23"/>
      <c r="S13" s="36" t="str">
        <f>B107</f>
        <v/>
      </c>
      <c r="T13" s="238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Pin maritime</v>
      </c>
      <c r="C14" s="4"/>
      <c r="D14" s="4"/>
      <c r="E14" s="4"/>
      <c r="F14" s="229"/>
      <c r="G14" s="23"/>
      <c r="H14" s="36" t="s">
        <v>178</v>
      </c>
      <c r="I14" s="36" t="s">
        <v>290</v>
      </c>
      <c r="J14" s="200"/>
      <c r="K14" s="173"/>
      <c r="L14" s="201"/>
      <c r="M14" s="23"/>
      <c r="N14" s="23"/>
      <c r="O14" s="4"/>
      <c r="P14" s="4"/>
      <c r="Q14" s="234"/>
      <c r="R14" s="4"/>
      <c r="S14" s="36" t="str">
        <f>B138</f>
        <v/>
      </c>
      <c r="T14" s="238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29"/>
      <c r="G15" s="302" t="s">
        <v>318</v>
      </c>
      <c r="H15" s="190">
        <v>1</v>
      </c>
      <c r="I15" s="191"/>
      <c r="J15" s="201"/>
      <c r="K15" s="207"/>
      <c r="L15" s="201"/>
      <c r="M15" s="23"/>
      <c r="N15" s="23"/>
      <c r="O15" s="23"/>
      <c r="P15" s="23"/>
      <c r="Q15" s="233"/>
      <c r="R15" s="23"/>
      <c r="S15" s="36" t="str">
        <f>B169</f>
        <v/>
      </c>
      <c r="T15" s="238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9"/>
      <c r="G16" s="302"/>
      <c r="H16" s="190"/>
      <c r="I16" s="191"/>
      <c r="J16" s="201"/>
      <c r="K16" s="207"/>
      <c r="L16" s="299" t="s">
        <v>254</v>
      </c>
      <c r="M16" s="300"/>
      <c r="N16" s="2">
        <v>0</v>
      </c>
      <c r="O16" s="23"/>
      <c r="P16" s="23"/>
      <c r="Q16" s="233"/>
      <c r="R16" s="23"/>
      <c r="S16" s="36" t="str">
        <f>B200</f>
        <v/>
      </c>
      <c r="T16" s="238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8" t="s">
        <v>132</v>
      </c>
      <c r="C17" s="197"/>
      <c r="D17" s="196" t="s">
        <v>132</v>
      </c>
      <c r="E17" s="193"/>
      <c r="F17" s="229"/>
      <c r="G17" s="302"/>
      <c r="J17" s="201"/>
      <c r="K17" s="207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3"/>
      <c r="R17" s="23"/>
      <c r="S17" s="36" t="str">
        <f>B231</f>
        <v/>
      </c>
      <c r="T17" s="238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8" t="s">
        <v>132</v>
      </c>
      <c r="C18" s="197"/>
      <c r="D18" s="196" t="s">
        <v>132</v>
      </c>
      <c r="E18" s="193"/>
      <c r="F18" s="229"/>
      <c r="G18" s="302"/>
      <c r="J18" s="201"/>
      <c r="K18" s="207"/>
      <c r="L18" s="259" t="s">
        <v>255</v>
      </c>
      <c r="M18" s="261"/>
      <c r="N18" s="192">
        <v>0</v>
      </c>
      <c r="O18" s="23"/>
      <c r="P18" s="23"/>
      <c r="Q18" s="233"/>
      <c r="R18" s="23"/>
      <c r="S18" s="36" t="str">
        <f>B262</f>
        <v/>
      </c>
      <c r="T18" s="238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8" t="s">
        <v>132</v>
      </c>
      <c r="C19" s="197"/>
      <c r="D19" s="196" t="s">
        <v>132</v>
      </c>
      <c r="E19" s="193"/>
      <c r="F19" s="229"/>
      <c r="G19" s="302"/>
      <c r="H19" s="211" t="s">
        <v>178</v>
      </c>
      <c r="I19" s="211" t="s">
        <v>287</v>
      </c>
      <c r="J19" s="93"/>
      <c r="K19" s="173"/>
      <c r="L19" s="299" t="s">
        <v>288</v>
      </c>
      <c r="M19" s="300"/>
      <c r="N19" s="179">
        <f>N17*N18</f>
        <v>0</v>
      </c>
      <c r="O19" s="23"/>
      <c r="P19" s="4"/>
      <c r="Q19" s="234"/>
      <c r="R19" s="4"/>
      <c r="S19" s="36" t="str">
        <f>B293</f>
        <v/>
      </c>
      <c r="T19" s="238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8" t="s">
        <v>132</v>
      </c>
      <c r="C20" s="197"/>
      <c r="D20" s="196" t="s">
        <v>132</v>
      </c>
      <c r="E20" s="193"/>
      <c r="F20" s="229"/>
      <c r="G20" s="302"/>
      <c r="H20" s="190">
        <v>0</v>
      </c>
      <c r="I20" s="191"/>
      <c r="J20" s="4"/>
      <c r="K20" s="173"/>
      <c r="O20" s="23"/>
      <c r="P20" s="4"/>
      <c r="Q20" s="234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8" t="s">
        <v>132</v>
      </c>
      <c r="C21" s="197"/>
      <c r="D21" s="196" t="s">
        <v>132</v>
      </c>
      <c r="E21" s="193"/>
      <c r="F21" s="229"/>
      <c r="H21" s="190">
        <v>1</v>
      </c>
      <c r="I21" s="191"/>
      <c r="K21" s="173"/>
      <c r="O21" s="23"/>
      <c r="P21" s="4"/>
      <c r="Q21" s="234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8" t="s">
        <v>132</v>
      </c>
      <c r="C22" s="197"/>
      <c r="D22" s="196" t="s">
        <v>132</v>
      </c>
      <c r="E22" s="193"/>
      <c r="F22" s="229"/>
      <c r="H22" s="190">
        <v>2</v>
      </c>
      <c r="I22" s="191"/>
      <c r="K22" s="173"/>
      <c r="O22" s="23"/>
      <c r="P22" s="4"/>
      <c r="Q22" s="234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11</v>
      </c>
      <c r="B23" s="181">
        <f>'Données projet'!D36</f>
        <v>0</v>
      </c>
      <c r="C23" s="193"/>
      <c r="D23" s="182">
        <f>B23*C23</f>
        <v>0</v>
      </c>
      <c r="E23" s="193"/>
      <c r="F23" s="229"/>
      <c r="H23" s="190">
        <v>3</v>
      </c>
      <c r="I23" s="191"/>
      <c r="K23" s="207"/>
      <c r="L23" s="301" t="s">
        <v>260</v>
      </c>
      <c r="M23" s="301"/>
      <c r="N23" s="301"/>
      <c r="O23" s="23"/>
      <c r="P23" s="23"/>
      <c r="Q23" s="233"/>
      <c r="R23" s="23"/>
      <c r="S23" s="36" t="s">
        <v>264</v>
      </c>
      <c r="T23" s="29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296"/>
      <c r="V23" s="296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12</v>
      </c>
      <c r="B24" s="181">
        <f>'Données projet'!D37</f>
        <v>0</v>
      </c>
      <c r="C24" s="193"/>
      <c r="D24" s="182">
        <f t="shared" ref="D24:D42" si="2">B24*C24</f>
        <v>0</v>
      </c>
      <c r="E24" s="193"/>
      <c r="F24" s="232"/>
      <c r="H24" s="190">
        <v>4</v>
      </c>
      <c r="I24" s="191"/>
      <c r="K24" s="207"/>
      <c r="O24" s="23"/>
      <c r="P24" s="23"/>
      <c r="Q24" s="233"/>
      <c r="R24" s="23"/>
      <c r="S24" s="36" t="s">
        <v>261</v>
      </c>
      <c r="T24" s="297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297"/>
      <c r="V24" s="297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13</v>
      </c>
      <c r="B25" s="181">
        <f>'Données projet'!D38</f>
        <v>28</v>
      </c>
      <c r="C25" s="193"/>
      <c r="D25" s="182">
        <f t="shared" si="2"/>
        <v>0</v>
      </c>
      <c r="E25" s="193"/>
      <c r="F25" s="232"/>
      <c r="H25" s="190">
        <v>5</v>
      </c>
      <c r="I25" s="191"/>
      <c r="K25" s="207"/>
      <c r="L25" s="130" t="s">
        <v>285</v>
      </c>
      <c r="M25" s="130"/>
      <c r="N25" s="130"/>
      <c r="O25" s="130"/>
      <c r="P25" s="192">
        <v>0</v>
      </c>
      <c r="Q25" s="233"/>
      <c r="R25" s="23"/>
      <c r="S25" s="186" t="s">
        <v>266</v>
      </c>
      <c r="T25" s="298">
        <f ca="1">T23-T24</f>
        <v>0</v>
      </c>
      <c r="U25" s="298"/>
      <c r="V25" s="298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14</v>
      </c>
      <c r="B26" s="181">
        <f>'Données projet'!D39</f>
        <v>0</v>
      </c>
      <c r="C26" s="193"/>
      <c r="D26" s="182">
        <f t="shared" si="2"/>
        <v>0</v>
      </c>
      <c r="E26" s="193"/>
      <c r="F26" s="232"/>
      <c r="G26" s="228"/>
      <c r="H26" s="190"/>
      <c r="I26" s="191"/>
      <c r="K26" s="207"/>
      <c r="L26" s="285" t="s">
        <v>258</v>
      </c>
      <c r="M26" s="286"/>
      <c r="N26" s="286"/>
      <c r="O26" s="286"/>
      <c r="P26" s="287"/>
      <c r="Q26" s="233"/>
      <c r="R26" s="23"/>
      <c r="S26" s="186" t="s">
        <v>265</v>
      </c>
      <c r="T26" s="295" t="str">
        <f ca="1">IF(T25&lt;0,"Votre projet est additionnel","Votre projet n'est pas additionnel")</f>
        <v>Votre projet n'est pas additionnel</v>
      </c>
      <c r="U26" s="295"/>
      <c r="V26" s="295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17</v>
      </c>
      <c r="B27" s="181">
        <f>'Données projet'!D40</f>
        <v>0</v>
      </c>
      <c r="C27" s="193"/>
      <c r="D27" s="182">
        <f t="shared" si="2"/>
        <v>0</v>
      </c>
      <c r="E27" s="193"/>
      <c r="F27" s="232"/>
      <c r="G27" s="228"/>
      <c r="H27" s="190"/>
      <c r="I27" s="191"/>
      <c r="K27" s="207"/>
      <c r="L27" s="288"/>
      <c r="M27" s="289"/>
      <c r="N27" s="289"/>
      <c r="O27" s="289"/>
      <c r="P27" s="290"/>
      <c r="Q27" s="233"/>
      <c r="R27" s="23"/>
      <c r="S27" s="294" t="s">
        <v>267</v>
      </c>
      <c r="T27" s="294"/>
      <c r="U27" s="294"/>
      <c r="V27" s="29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18</v>
      </c>
      <c r="B28" s="181">
        <f>'Données projet'!D41</f>
        <v>40</v>
      </c>
      <c r="C28" s="193"/>
      <c r="D28" s="182">
        <f t="shared" si="2"/>
        <v>0</v>
      </c>
      <c r="E28" s="193"/>
      <c r="F28" s="232"/>
      <c r="G28" s="204"/>
      <c r="H28" s="190"/>
      <c r="I28" s="191"/>
      <c r="K28" s="207"/>
      <c r="Q28" s="233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19</v>
      </c>
      <c r="B29" s="181">
        <f>'Données projet'!D42</f>
        <v>0</v>
      </c>
      <c r="C29" s="193"/>
      <c r="D29" s="182">
        <f t="shared" si="2"/>
        <v>0</v>
      </c>
      <c r="E29" s="193"/>
      <c r="F29" s="232"/>
      <c r="G29" s="202"/>
      <c r="H29" s="190"/>
      <c r="I29" s="191"/>
      <c r="K29" s="207"/>
      <c r="O29" s="23"/>
      <c r="P29" s="23"/>
      <c r="Q29" s="233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22</v>
      </c>
      <c r="B30" s="181">
        <f>'Données projet'!D43</f>
        <v>0</v>
      </c>
      <c r="C30" s="193"/>
      <c r="D30" s="182">
        <f t="shared" si="2"/>
        <v>0</v>
      </c>
      <c r="E30" s="193"/>
      <c r="F30" s="232"/>
      <c r="G30" s="202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4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23</v>
      </c>
      <c r="B31" s="181">
        <f>'Données projet'!D44</f>
        <v>52</v>
      </c>
      <c r="C31" s="193"/>
      <c r="D31" s="182">
        <f t="shared" si="2"/>
        <v>0</v>
      </c>
      <c r="E31" s="193"/>
      <c r="F31" s="232"/>
      <c r="G31" s="202"/>
      <c r="H31" s="190"/>
      <c r="I31" s="191"/>
      <c r="K31" s="173"/>
      <c r="Q31" s="233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24</v>
      </c>
      <c r="B32" s="181">
        <f>'Données projet'!D45</f>
        <v>0</v>
      </c>
      <c r="C32" s="193"/>
      <c r="D32" s="182">
        <f t="shared" si="2"/>
        <v>0</v>
      </c>
      <c r="E32" s="193"/>
      <c r="F32" s="232"/>
      <c r="G32" s="202"/>
      <c r="H32" s="190"/>
      <c r="I32" s="191"/>
      <c r="K32" s="173"/>
      <c r="N32" s="4"/>
      <c r="O32" s="85" t="s">
        <v>178</v>
      </c>
      <c r="P32" s="85" t="s">
        <v>252</v>
      </c>
      <c r="Q32" s="233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27</v>
      </c>
      <c r="B33" s="181">
        <f>'Données projet'!D46</f>
        <v>0</v>
      </c>
      <c r="C33" s="193"/>
      <c r="D33" s="182">
        <f t="shared" si="2"/>
        <v>0</v>
      </c>
      <c r="E33" s="193"/>
      <c r="F33" s="232"/>
      <c r="G33" s="202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3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30</v>
      </c>
      <c r="B34" s="181">
        <f>'Données projet'!D47</f>
        <v>0</v>
      </c>
      <c r="C34" s="193"/>
      <c r="D34" s="182">
        <f t="shared" si="2"/>
        <v>0</v>
      </c>
      <c r="E34" s="193"/>
      <c r="F34" s="232"/>
      <c r="G34" s="202"/>
      <c r="H34" s="190"/>
      <c r="I34" s="191"/>
      <c r="K34" s="173"/>
      <c r="L34" s="98"/>
      <c r="M34" s="98"/>
      <c r="N34" s="249"/>
      <c r="O34" s="194">
        <f>IF(O33+1&lt;=MIN('Données projet'!$E$9:$E$18),O33+1,"STOP")</f>
        <v>1</v>
      </c>
      <c r="P34" s="185">
        <f t="shared" si="3"/>
        <v>0</v>
      </c>
      <c r="Q34" s="233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33</v>
      </c>
      <c r="B35" s="181">
        <f>'Données projet'!D48</f>
        <v>0</v>
      </c>
      <c r="C35" s="193"/>
      <c r="D35" s="182">
        <f t="shared" si="2"/>
        <v>0</v>
      </c>
      <c r="E35" s="193"/>
      <c r="F35" s="232"/>
      <c r="G35" s="202"/>
      <c r="H35" s="190"/>
      <c r="I35" s="191"/>
      <c r="K35" s="173"/>
      <c r="L35" s="98"/>
      <c r="M35" s="98"/>
      <c r="N35" s="249"/>
      <c r="O35" s="194">
        <f>IF(O34+1&lt;=MIN('Données projet'!$E$9:$E$18),O34+1,"STOP")</f>
        <v>2</v>
      </c>
      <c r="P35" s="185">
        <f t="shared" si="3"/>
        <v>0</v>
      </c>
      <c r="Q35" s="233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34</v>
      </c>
      <c r="B36" s="181">
        <f>'Données projet'!D49</f>
        <v>325</v>
      </c>
      <c r="C36" s="193"/>
      <c r="D36" s="182">
        <f t="shared" si="2"/>
        <v>0</v>
      </c>
      <c r="E36" s="193"/>
      <c r="F36" s="232"/>
      <c r="G36" s="202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3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2"/>
      <c r="G37" s="202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3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2"/>
      <c r="G38" s="202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3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2"/>
      <c r="G39" s="202"/>
      <c r="H39" s="190"/>
      <c r="I39" s="191"/>
      <c r="K39" s="207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3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2"/>
      <c r="G40" s="202"/>
      <c r="H40" s="190"/>
      <c r="I40" s="191"/>
      <c r="K40" s="207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3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2"/>
      <c r="G41" s="202"/>
      <c r="H41" s="190"/>
      <c r="I41" s="191"/>
      <c r="K41" s="207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3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2"/>
      <c r="G42" s="202"/>
      <c r="H42" s="190"/>
      <c r="I42" s="191"/>
      <c r="K42" s="207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3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6"/>
      <c r="E43" s="226"/>
      <c r="F43" s="237"/>
      <c r="G43" s="202"/>
      <c r="H43" s="190"/>
      <c r="I43" s="191"/>
      <c r="K43" s="207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29"/>
      <c r="G44" s="202"/>
      <c r="H44" s="190"/>
      <c r="I44" s="191"/>
      <c r="K44" s="207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/>
      </c>
      <c r="C45" s="4"/>
      <c r="D45" s="4"/>
      <c r="E45" s="4"/>
      <c r="F45" s="229"/>
      <c r="G45" s="202"/>
      <c r="H45" s="190"/>
      <c r="I45" s="191"/>
      <c r="J45" s="23"/>
      <c r="K45" s="207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29"/>
      <c r="G46" s="202"/>
      <c r="H46" s="190"/>
      <c r="I46" s="191"/>
      <c r="J46" s="23"/>
      <c r="K46" s="207"/>
      <c r="L46" s="203"/>
      <c r="M46" s="203"/>
      <c r="N46" s="203"/>
      <c r="O46" s="194">
        <f>IF(O45+1&lt;=MIN('Données projet'!$E$9:$E$18),O45+1,"STOP")</f>
        <v>13</v>
      </c>
      <c r="P46" s="188">
        <f t="shared" si="3"/>
        <v>0</v>
      </c>
      <c r="Q46" s="23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0"/>
      <c r="G47" s="202"/>
      <c r="H47" s="190"/>
      <c r="I47" s="191"/>
      <c r="J47" s="23"/>
      <c r="K47" s="207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8" t="s">
        <v>132</v>
      </c>
      <c r="C48" s="197" t="s">
        <v>132</v>
      </c>
      <c r="D48" s="196" t="s">
        <v>132</v>
      </c>
      <c r="E48" s="193"/>
      <c r="F48" s="230"/>
      <c r="G48" s="202"/>
      <c r="H48" s="190"/>
      <c r="I48" s="191"/>
      <c r="J48" s="23"/>
      <c r="K48" s="207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8" t="s">
        <v>132</v>
      </c>
      <c r="C49" s="197"/>
      <c r="D49" s="196" t="s">
        <v>132</v>
      </c>
      <c r="E49" s="193"/>
      <c r="F49" s="230"/>
      <c r="G49" s="203"/>
      <c r="H49" s="190"/>
      <c r="I49" s="191"/>
      <c r="J49" s="203"/>
      <c r="K49" s="209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5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8" t="s">
        <v>132</v>
      </c>
      <c r="C50" s="197"/>
      <c r="D50" s="196" t="s">
        <v>132</v>
      </c>
      <c r="E50" s="193"/>
      <c r="F50" s="230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8" t="s">
        <v>132</v>
      </c>
      <c r="C51" s="197"/>
      <c r="D51" s="196" t="s">
        <v>132</v>
      </c>
      <c r="E51" s="193"/>
      <c r="F51" s="230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8" t="s">
        <v>132</v>
      </c>
      <c r="C52" s="197"/>
      <c r="D52" s="196" t="s">
        <v>132</v>
      </c>
      <c r="E52" s="193"/>
      <c r="F52" s="230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8" t="s">
        <v>132</v>
      </c>
      <c r="C53" s="197"/>
      <c r="D53" s="196" t="s">
        <v>132</v>
      </c>
      <c r="E53" s="193"/>
      <c r="F53" s="230"/>
      <c r="G53" s="204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0</v>
      </c>
      <c r="B54" s="181">
        <f>'Données projet'!D62</f>
        <v>0</v>
      </c>
      <c r="C54" s="191"/>
      <c r="D54" s="179">
        <f>B54*C54</f>
        <v>0</v>
      </c>
      <c r="E54" s="193"/>
      <c r="F54" s="231"/>
      <c r="G54" s="204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0</v>
      </c>
      <c r="B55" s="181">
        <f>'Données projet'!D63</f>
        <v>0</v>
      </c>
      <c r="C55" s="191"/>
      <c r="D55" s="179">
        <f t="shared" ref="D55:D73" si="4">B55*C55</f>
        <v>0</v>
      </c>
      <c r="E55" s="193"/>
      <c r="F55" s="231"/>
      <c r="G55" s="204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0</v>
      </c>
      <c r="B56" s="181">
        <f>'Données projet'!D64</f>
        <v>0</v>
      </c>
      <c r="C56" s="191"/>
      <c r="D56" s="179">
        <f t="shared" si="4"/>
        <v>0</v>
      </c>
      <c r="E56" s="193"/>
      <c r="F56" s="231"/>
      <c r="G56" s="204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0</v>
      </c>
      <c r="B57" s="181">
        <f>'Données projet'!D65</f>
        <v>0</v>
      </c>
      <c r="C57" s="191"/>
      <c r="D57" s="179">
        <f t="shared" si="4"/>
        <v>0</v>
      </c>
      <c r="E57" s="193"/>
      <c r="F57" s="231"/>
      <c r="G57" s="204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0</v>
      </c>
      <c r="B58" s="181">
        <f>'Données projet'!D66</f>
        <v>0</v>
      </c>
      <c r="C58" s="191"/>
      <c r="D58" s="179">
        <f t="shared" si="4"/>
        <v>0</v>
      </c>
      <c r="E58" s="193"/>
      <c r="F58" s="231"/>
      <c r="G58" s="204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0</v>
      </c>
      <c r="B59" s="181">
        <f>'Données projet'!D67</f>
        <v>0</v>
      </c>
      <c r="C59" s="191"/>
      <c r="D59" s="179">
        <f t="shared" si="4"/>
        <v>0</v>
      </c>
      <c r="E59" s="193"/>
      <c r="F59" s="231"/>
      <c r="G59" s="204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0</v>
      </c>
      <c r="B60" s="181">
        <f>'Données projet'!D68</f>
        <v>0</v>
      </c>
      <c r="C60" s="191"/>
      <c r="D60" s="179">
        <f t="shared" si="4"/>
        <v>0</v>
      </c>
      <c r="E60" s="193"/>
      <c r="F60" s="231"/>
      <c r="G60" s="205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1"/>
      <c r="G61" s="205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1"/>
      <c r="G62" s="205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1"/>
      <c r="G63" s="205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1"/>
      <c r="G64" s="205"/>
      <c r="H64" s="190"/>
      <c r="I64" s="191"/>
      <c r="J64" s="206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1"/>
      <c r="G65" s="205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1"/>
      <c r="G66" s="205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1"/>
      <c r="G67" s="205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1"/>
      <c r="G68" s="205"/>
      <c r="H68" s="190"/>
      <c r="I68" s="191"/>
      <c r="J68" s="189"/>
      <c r="K68" s="173"/>
      <c r="L68" s="4"/>
      <c r="M68" s="4"/>
      <c r="N68" s="4"/>
      <c r="O68" s="194" t="str">
        <f>IF(O67+1&lt;=MIN('Données projet'!$E$9:$E$18),O67+1,"STOP")</f>
        <v>STOP</v>
      </c>
      <c r="P68" s="185" t="e">
        <f t="shared" si="5"/>
        <v>#VALUE!</v>
      </c>
      <c r="Q68" s="23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1"/>
      <c r="G69" s="205"/>
      <c r="H69" s="190"/>
      <c r="I69" s="191"/>
      <c r="J69" s="189"/>
      <c r="K69" s="173"/>
      <c r="L69" s="4"/>
      <c r="M69" s="4"/>
      <c r="N69" s="4"/>
      <c r="O69" s="194" t="e">
        <f>IF(O68+1&lt;=MIN('Données projet'!$E$9:$E$18),O68+1,"STOP")</f>
        <v>#VALUE!</v>
      </c>
      <c r="P69" s="185" t="e">
        <f t="shared" si="5"/>
        <v>#VALUE!</v>
      </c>
      <c r="Q69" s="23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1"/>
      <c r="G70" s="205"/>
      <c r="H70" s="190"/>
      <c r="I70" s="191"/>
      <c r="J70" s="189"/>
      <c r="K70" s="173"/>
      <c r="L70" s="4"/>
      <c r="M70" s="4"/>
      <c r="N70" s="4"/>
      <c r="O70" s="194" t="e">
        <f>IF(O69+1&lt;=MIN('Données projet'!$E$9:$E$18),O69+1,"STOP")</f>
        <v>#VALUE!</v>
      </c>
      <c r="P70" s="185" t="e">
        <f t="shared" si="5"/>
        <v>#VALUE!</v>
      </c>
      <c r="Q70" s="23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1"/>
      <c r="G71" s="205"/>
      <c r="H71" s="190"/>
      <c r="I71" s="191"/>
      <c r="J71" s="189"/>
      <c r="K71" s="173"/>
      <c r="L71" s="4"/>
      <c r="M71" s="4"/>
      <c r="N71" s="4"/>
      <c r="O71" s="194" t="e">
        <f>IF(O70+1&lt;=MIN('Données projet'!$E$9:$E$18),O70+1,"STOP")</f>
        <v>#VALUE!</v>
      </c>
      <c r="P71" s="185" t="e">
        <f t="shared" si="5"/>
        <v>#VALUE!</v>
      </c>
      <c r="Q71" s="23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1"/>
      <c r="G72" s="205"/>
      <c r="H72" s="190"/>
      <c r="I72" s="191"/>
      <c r="J72" s="4"/>
      <c r="K72" s="173"/>
      <c r="L72" s="4"/>
      <c r="M72" s="4"/>
      <c r="N72" s="4"/>
      <c r="O72" s="194" t="e">
        <f>IF(O71+1&lt;=MIN('Données projet'!$E$9:$E$18),O71+1,"STOP")</f>
        <v>#VALUE!</v>
      </c>
      <c r="P72" s="185" t="e">
        <f t="shared" si="5"/>
        <v>#VALUE!</v>
      </c>
      <c r="Q72" s="23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1"/>
      <c r="G73" s="205"/>
      <c r="H73" s="190"/>
      <c r="I73" s="191"/>
      <c r="J73" s="4"/>
      <c r="K73" s="173"/>
      <c r="L73" s="4"/>
      <c r="M73" s="4"/>
      <c r="N73" s="4"/>
      <c r="O73" s="194" t="e">
        <f>IF(O72+1&lt;=MIN('Données projet'!$E$9:$E$18),O72+1,"STOP")</f>
        <v>#VALUE!</v>
      </c>
      <c r="P73" s="185" t="e">
        <f t="shared" si="5"/>
        <v>#VALUE!</v>
      </c>
      <c r="Q73" s="23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29"/>
      <c r="G74" s="205"/>
      <c r="H74" s="190"/>
      <c r="I74" s="191"/>
      <c r="J74" s="4"/>
      <c r="K74" s="173"/>
      <c r="L74" s="4"/>
      <c r="M74" s="4"/>
      <c r="N74" s="4"/>
      <c r="O74" s="194" t="e">
        <f>IF(O73+1&lt;=MIN('Données projet'!$E$9:$E$18),O73+1,"STOP")</f>
        <v>#VALUE!</v>
      </c>
      <c r="P74" s="185" t="e">
        <f t="shared" si="5"/>
        <v>#VALUE!</v>
      </c>
      <c r="Q74" s="23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29"/>
      <c r="G75" s="205"/>
      <c r="H75" s="190"/>
      <c r="I75" s="191"/>
      <c r="J75" s="4"/>
      <c r="K75" s="173"/>
      <c r="L75" s="4"/>
      <c r="M75" s="4"/>
      <c r="N75" s="4"/>
      <c r="O75" s="194" t="e">
        <f>IF(O74+1&lt;=MIN('Données projet'!$E$9:$E$18),O74+1,"STOP")</f>
        <v>#VALUE!</v>
      </c>
      <c r="P75" s="185" t="e">
        <f t="shared" si="5"/>
        <v>#VALUE!</v>
      </c>
      <c r="Q75" s="23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29"/>
      <c r="G76" s="205"/>
      <c r="H76" s="190"/>
      <c r="I76" s="191"/>
      <c r="J76" s="4"/>
      <c r="K76" s="173"/>
      <c r="L76" s="4"/>
      <c r="M76" s="4"/>
      <c r="N76" s="4"/>
      <c r="O76" s="194" t="e">
        <f>IF(O75+1&lt;=MIN('Données projet'!$E$9:$E$18),O75+1,"STOP")</f>
        <v>#VALUE!</v>
      </c>
      <c r="P76" s="185" t="e">
        <f t="shared" si="5"/>
        <v>#VALUE!</v>
      </c>
      <c r="Q76" s="23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29"/>
      <c r="G77" s="205"/>
      <c r="H77" s="190"/>
      <c r="I77" s="191"/>
      <c r="J77" s="4"/>
      <c r="K77" s="173"/>
      <c r="L77" s="4"/>
      <c r="M77" s="4"/>
      <c r="N77" s="4"/>
      <c r="O77" s="194" t="e">
        <f>IF(O76+1&lt;=MIN('Données projet'!$E$9:$E$18),O76+1,"STOP")</f>
        <v>#VALUE!</v>
      </c>
      <c r="P77" s="185" t="e">
        <f t="shared" si="5"/>
        <v>#VALUE!</v>
      </c>
      <c r="Q77" s="23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0"/>
      <c r="G78" s="205"/>
      <c r="H78" s="190"/>
      <c r="I78" s="191"/>
      <c r="J78" s="4"/>
      <c r="K78" s="173"/>
      <c r="L78" s="4"/>
      <c r="M78" s="4"/>
      <c r="N78" s="4"/>
      <c r="O78" s="194" t="e">
        <f>IF(O77+1&lt;=MIN('Données projet'!$E$9:$E$18),O77+1,"STOP")</f>
        <v>#VALUE!</v>
      </c>
      <c r="P78" s="185" t="e">
        <f t="shared" si="5"/>
        <v>#VALUE!</v>
      </c>
      <c r="Q78" s="23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8" t="s">
        <v>132</v>
      </c>
      <c r="C79" s="197"/>
      <c r="D79" s="196" t="s">
        <v>132</v>
      </c>
      <c r="E79" s="193"/>
      <c r="F79" s="230"/>
      <c r="G79" s="205"/>
      <c r="H79" s="190"/>
      <c r="I79" s="191"/>
      <c r="J79" s="4"/>
      <c r="K79" s="173"/>
      <c r="L79" s="4"/>
      <c r="M79" s="4"/>
      <c r="N79" s="4"/>
      <c r="O79" s="194" t="e">
        <f>IF(O78+1&lt;=MIN('Données projet'!$E$9:$E$18),O78+1,"STOP")</f>
        <v>#VALUE!</v>
      </c>
      <c r="P79" s="185" t="e">
        <f t="shared" si="5"/>
        <v>#VALUE!</v>
      </c>
      <c r="Q79" s="23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8" t="s">
        <v>132</v>
      </c>
      <c r="C80" s="197"/>
      <c r="D80" s="196" t="s">
        <v>132</v>
      </c>
      <c r="E80" s="193"/>
      <c r="F80" s="230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8" t="s">
        <v>132</v>
      </c>
      <c r="C81" s="197"/>
      <c r="D81" s="196" t="s">
        <v>132</v>
      </c>
      <c r="E81" s="193"/>
      <c r="F81" s="230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8" t="s">
        <v>132</v>
      </c>
      <c r="C82" s="197"/>
      <c r="D82" s="196" t="s">
        <v>132</v>
      </c>
      <c r="E82" s="193"/>
      <c r="F82" s="230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8" t="s">
        <v>132</v>
      </c>
      <c r="C83" s="197"/>
      <c r="D83" s="196" t="s">
        <v>132</v>
      </c>
      <c r="E83" s="193"/>
      <c r="F83" s="230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8" t="s">
        <v>132</v>
      </c>
      <c r="C84" s="197"/>
      <c r="D84" s="196" t="s">
        <v>132</v>
      </c>
      <c r="E84" s="193"/>
      <c r="F84" s="230"/>
      <c r="G84" s="204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1"/>
      <c r="G85" s="204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1"/>
      <c r="G86" s="204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1"/>
      <c r="G87" s="204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1"/>
      <c r="G88" s="204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1"/>
      <c r="G89" s="204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1"/>
      <c r="G90" s="204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1"/>
      <c r="G91" s="205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1"/>
      <c r="G92" s="205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1"/>
      <c r="G93" s="205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1"/>
      <c r="G94" s="205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1"/>
      <c r="G95" s="205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1"/>
      <c r="G96" s="205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1"/>
      <c r="G97" s="205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1"/>
      <c r="G98" s="205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1"/>
      <c r="G99" s="205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1"/>
      <c r="G100" s="205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1"/>
      <c r="G101" s="205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1"/>
      <c r="G102" s="205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1"/>
      <c r="G103" s="205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1"/>
      <c r="G104" s="205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29"/>
      <c r="G105" s="205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29"/>
      <c r="G106" s="205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29"/>
      <c r="G107" s="205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29"/>
      <c r="G108" s="205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0"/>
      <c r="G109" s="205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8" t="s">
        <v>132</v>
      </c>
      <c r="C110" s="197"/>
      <c r="D110" s="196" t="s">
        <v>132</v>
      </c>
      <c r="E110" s="193"/>
      <c r="F110" s="230"/>
      <c r="G110" s="205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8" t="s">
        <v>132</v>
      </c>
      <c r="C111" s="197"/>
      <c r="D111" s="196" t="s">
        <v>132</v>
      </c>
      <c r="E111" s="193"/>
      <c r="F111" s="230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8" t="s">
        <v>132</v>
      </c>
      <c r="C112" s="197"/>
      <c r="D112" s="196" t="s">
        <v>132</v>
      </c>
      <c r="E112" s="193"/>
      <c r="F112" s="230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8" t="s">
        <v>132</v>
      </c>
      <c r="C113" s="197"/>
      <c r="D113" s="196" t="s">
        <v>132</v>
      </c>
      <c r="E113" s="193"/>
      <c r="F113" s="230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8" t="s">
        <v>132</v>
      </c>
      <c r="C114" s="197"/>
      <c r="D114" s="196" t="s">
        <v>132</v>
      </c>
      <c r="E114" s="193"/>
      <c r="F114" s="230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8" t="s">
        <v>132</v>
      </c>
      <c r="C115" s="197"/>
      <c r="D115" s="196" t="s">
        <v>132</v>
      </c>
      <c r="E115" s="193"/>
      <c r="F115" s="230"/>
      <c r="G115" s="204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1"/>
      <c r="G116" s="204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1"/>
      <c r="G117" s="204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1"/>
      <c r="G118" s="204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1"/>
      <c r="G119" s="204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1"/>
      <c r="G120" s="204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1"/>
      <c r="G121" s="204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1"/>
      <c r="G122" s="205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1"/>
      <c r="G123" s="205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1"/>
      <c r="G124" s="205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1"/>
      <c r="G125" s="205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1"/>
      <c r="G126" s="205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1"/>
      <c r="G127" s="205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1"/>
      <c r="G128" s="205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1"/>
      <c r="G129" s="205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1"/>
      <c r="G130" s="205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1"/>
      <c r="G131" s="205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1"/>
      <c r="G132" s="205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1"/>
      <c r="G133" s="205"/>
      <c r="H133" s="190"/>
      <c r="I133" s="191"/>
      <c r="J133" s="4"/>
      <c r="K133" s="173"/>
      <c r="Q133" s="23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1"/>
      <c r="G134" s="205"/>
      <c r="H134" s="190"/>
      <c r="I134" s="191"/>
      <c r="J134" s="4"/>
      <c r="K134" s="173"/>
      <c r="Q134" s="23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1"/>
      <c r="G135" s="205"/>
      <c r="H135" s="190"/>
      <c r="I135" s="191"/>
      <c r="J135" s="4"/>
      <c r="K135" s="173"/>
      <c r="Q135" s="23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29"/>
      <c r="G136" s="205"/>
      <c r="H136" s="190"/>
      <c r="I136" s="191"/>
      <c r="J136" s="4"/>
      <c r="K136" s="173"/>
      <c r="L136" s="4"/>
      <c r="M136" s="4"/>
      <c r="N136" s="4"/>
      <c r="Q136" s="23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29"/>
      <c r="G137" s="205"/>
      <c r="H137" s="190"/>
      <c r="I137" s="191"/>
      <c r="J137" s="4"/>
      <c r="K137" s="173"/>
      <c r="L137" s="4"/>
      <c r="M137" s="4"/>
      <c r="N137" s="4"/>
      <c r="Q137" s="23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29"/>
      <c r="G138" s="205"/>
      <c r="H138" s="190"/>
      <c r="I138" s="191"/>
      <c r="J138" s="4"/>
      <c r="K138" s="173"/>
      <c r="L138" s="4"/>
      <c r="M138" s="4"/>
      <c r="N138" s="4"/>
      <c r="Q138" s="23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29"/>
      <c r="G139" s="205"/>
      <c r="H139" s="190"/>
      <c r="I139" s="191"/>
      <c r="J139" s="4"/>
      <c r="K139" s="173"/>
      <c r="L139" s="4"/>
      <c r="M139" s="4"/>
      <c r="N139" s="4"/>
      <c r="Q139" s="23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0"/>
      <c r="G140" s="205"/>
      <c r="H140" s="190"/>
      <c r="I140" s="191"/>
      <c r="J140" s="4"/>
      <c r="K140" s="173"/>
      <c r="L140" s="4"/>
      <c r="M140" s="4"/>
      <c r="N140" s="4"/>
      <c r="Q140" s="23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8" t="s">
        <v>132</v>
      </c>
      <c r="C141" s="197"/>
      <c r="D141" s="196" t="s">
        <v>132</v>
      </c>
      <c r="E141" s="193"/>
      <c r="F141" s="230"/>
      <c r="G141" s="205"/>
      <c r="H141" s="190"/>
      <c r="I141" s="191"/>
      <c r="J141" s="4"/>
      <c r="K141" s="173"/>
      <c r="L141" s="4"/>
      <c r="M141" s="4"/>
      <c r="N141" s="4"/>
      <c r="Q141" s="23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8" t="s">
        <v>132</v>
      </c>
      <c r="C142" s="197"/>
      <c r="D142" s="196" t="s">
        <v>132</v>
      </c>
      <c r="E142" s="193"/>
      <c r="F142" s="230"/>
      <c r="G142" s="23"/>
      <c r="H142" s="190"/>
      <c r="I142" s="191"/>
      <c r="J142" s="4"/>
      <c r="K142" s="173"/>
      <c r="L142" s="4"/>
      <c r="M142" s="4"/>
      <c r="N142" s="4"/>
      <c r="Q142" s="23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8" t="s">
        <v>132</v>
      </c>
      <c r="C143" s="197"/>
      <c r="D143" s="196" t="s">
        <v>132</v>
      </c>
      <c r="E143" s="193"/>
      <c r="F143" s="230"/>
      <c r="G143" s="23"/>
      <c r="H143" s="190"/>
      <c r="I143" s="191"/>
      <c r="J143" s="4"/>
      <c r="K143" s="173"/>
      <c r="L143" s="4"/>
      <c r="M143" s="4"/>
      <c r="N143" s="4"/>
      <c r="Q143" s="23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8" t="s">
        <v>132</v>
      </c>
      <c r="C144" s="197"/>
      <c r="D144" s="196" t="s">
        <v>132</v>
      </c>
      <c r="E144" s="193"/>
      <c r="F144" s="230"/>
      <c r="G144" s="23"/>
      <c r="H144" s="190"/>
      <c r="I144" s="191"/>
      <c r="J144" s="4"/>
      <c r="K144" s="173"/>
      <c r="L144" s="4"/>
      <c r="M144" s="4"/>
      <c r="N144" s="4"/>
      <c r="Q144" s="23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8" t="s">
        <v>132</v>
      </c>
      <c r="C145" s="197"/>
      <c r="D145" s="196" t="s">
        <v>132</v>
      </c>
      <c r="E145" s="193"/>
      <c r="F145" s="230"/>
      <c r="G145" s="23"/>
      <c r="H145" s="190"/>
      <c r="I145" s="191"/>
      <c r="J145" s="4"/>
      <c r="K145" s="173"/>
      <c r="L145" s="4"/>
      <c r="M145" s="4"/>
      <c r="N145" s="4"/>
      <c r="Q145" s="23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8" t="s">
        <v>132</v>
      </c>
      <c r="C146" s="197"/>
      <c r="D146" s="196" t="s">
        <v>132</v>
      </c>
      <c r="E146" s="193"/>
      <c r="F146" s="230"/>
      <c r="G146" s="204"/>
      <c r="H146" s="190"/>
      <c r="I146" s="191"/>
      <c r="J146" s="4"/>
      <c r="K146" s="173"/>
      <c r="L146" s="4"/>
      <c r="M146" s="4"/>
      <c r="N146" s="4"/>
      <c r="Q146" s="23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2"/>
      <c r="G147" s="204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2"/>
      <c r="G148" s="204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2"/>
      <c r="G149" s="204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2"/>
      <c r="G150" s="204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2"/>
      <c r="G151" s="204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2"/>
      <c r="G152" s="204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2"/>
      <c r="G153" s="202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2"/>
      <c r="G154" s="202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2"/>
      <c r="G155" s="202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2"/>
      <c r="G156" s="202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2"/>
      <c r="G157" s="202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2"/>
      <c r="G158" s="202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2"/>
      <c r="G159" s="202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2"/>
      <c r="G160" s="202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2"/>
      <c r="G161" s="202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2"/>
      <c r="G162" s="202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2"/>
      <c r="G163" s="202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2"/>
      <c r="G164" s="202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2"/>
      <c r="G165" s="202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2"/>
      <c r="G166" s="202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29"/>
      <c r="G167" s="202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29"/>
      <c r="G168" s="202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29"/>
      <c r="G169" s="202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29"/>
      <c r="G170" s="202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0"/>
      <c r="G171" s="202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8" t="s">
        <v>132</v>
      </c>
      <c r="C172" s="197"/>
      <c r="D172" s="196" t="s">
        <v>132</v>
      </c>
      <c r="E172" s="193"/>
      <c r="F172" s="230"/>
      <c r="G172" s="202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8" t="s">
        <v>132</v>
      </c>
      <c r="C173" s="197"/>
      <c r="D173" s="196" t="s">
        <v>132</v>
      </c>
      <c r="E173" s="193"/>
      <c r="F173" s="230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8" t="s">
        <v>132</v>
      </c>
      <c r="C174" s="197"/>
      <c r="D174" s="196" t="s">
        <v>132</v>
      </c>
      <c r="E174" s="193"/>
      <c r="F174" s="230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8" t="s">
        <v>132</v>
      </c>
      <c r="C175" s="197"/>
      <c r="D175" s="196" t="s">
        <v>132</v>
      </c>
      <c r="E175" s="193"/>
      <c r="F175" s="230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8" t="s">
        <v>132</v>
      </c>
      <c r="C176" s="197"/>
      <c r="D176" s="196" t="s">
        <v>132</v>
      </c>
      <c r="E176" s="193"/>
      <c r="F176" s="230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8" t="s">
        <v>132</v>
      </c>
      <c r="C177" s="197"/>
      <c r="D177" s="196" t="s">
        <v>132</v>
      </c>
      <c r="E177" s="193"/>
      <c r="F177" s="230"/>
      <c r="G177" s="204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1"/>
      <c r="G178" s="204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1"/>
      <c r="G179" s="204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1"/>
      <c r="G180" s="204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1"/>
      <c r="G181" s="204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1"/>
      <c r="G182" s="204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1"/>
      <c r="G183" s="204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1"/>
      <c r="G184" s="205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1"/>
      <c r="G185" s="205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1"/>
      <c r="G186" s="205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1"/>
      <c r="G187" s="205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1"/>
      <c r="G188" s="205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1"/>
      <c r="G189" s="205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1"/>
      <c r="G190" s="205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1"/>
      <c r="G191" s="205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1"/>
      <c r="G192" s="205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1"/>
      <c r="G193" s="205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1"/>
      <c r="G194" s="205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1"/>
      <c r="G195" s="205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1"/>
      <c r="G196" s="205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1"/>
      <c r="G197" s="205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29"/>
      <c r="G198" s="205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29"/>
      <c r="G199" s="205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29"/>
      <c r="G200" s="205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29"/>
      <c r="G201" s="205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0"/>
      <c r="G202" s="205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8" t="s">
        <v>132</v>
      </c>
      <c r="C203" s="197"/>
      <c r="D203" s="196" t="s">
        <v>132</v>
      </c>
      <c r="E203" s="193"/>
      <c r="F203" s="230"/>
      <c r="G203" s="205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8" t="s">
        <v>132</v>
      </c>
      <c r="C204" s="197"/>
      <c r="D204" s="196" t="s">
        <v>132</v>
      </c>
      <c r="E204" s="193"/>
      <c r="F204" s="230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8" t="s">
        <v>132</v>
      </c>
      <c r="C205" s="197"/>
      <c r="D205" s="196" t="s">
        <v>132</v>
      </c>
      <c r="E205" s="193"/>
      <c r="F205" s="230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8" t="s">
        <v>132</v>
      </c>
      <c r="C206" s="197"/>
      <c r="D206" s="196" t="s">
        <v>132</v>
      </c>
      <c r="E206" s="193"/>
      <c r="F206" s="230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8" t="s">
        <v>132</v>
      </c>
      <c r="C207" s="197"/>
      <c r="D207" s="196" t="s">
        <v>132</v>
      </c>
      <c r="E207" s="193"/>
      <c r="F207" s="230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8" t="s">
        <v>132</v>
      </c>
      <c r="C208" s="197"/>
      <c r="D208" s="196" t="s">
        <v>132</v>
      </c>
      <c r="E208" s="193"/>
      <c r="F208" s="230"/>
      <c r="G208" s="204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1"/>
      <c r="G209" s="204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1"/>
      <c r="G210" s="204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1"/>
      <c r="G211" s="204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1"/>
      <c r="G212" s="204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1"/>
      <c r="G213" s="204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1"/>
      <c r="G214" s="204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1"/>
      <c r="G215" s="205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1"/>
      <c r="G216" s="205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1"/>
      <c r="G217" s="205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1"/>
      <c r="G218" s="205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1"/>
      <c r="G219" s="205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1"/>
      <c r="G220" s="205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1"/>
      <c r="G221" s="205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1"/>
      <c r="G222" s="205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1"/>
      <c r="G223" s="205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1"/>
      <c r="G224" s="205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1"/>
      <c r="G225" s="205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1"/>
      <c r="G226" s="205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1"/>
      <c r="G227" s="205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1"/>
      <c r="G228" s="205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29"/>
      <c r="G229" s="205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29"/>
      <c r="G230" s="205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29"/>
      <c r="G231" s="205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29"/>
      <c r="G232" s="205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0"/>
      <c r="G233" s="205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8" t="s">
        <v>132</v>
      </c>
      <c r="C234" s="197"/>
      <c r="D234" s="196" t="s">
        <v>132</v>
      </c>
      <c r="E234" s="193"/>
      <c r="F234" s="230"/>
      <c r="G234" s="205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8" t="s">
        <v>132</v>
      </c>
      <c r="C235" s="197"/>
      <c r="D235" s="196" t="s">
        <v>132</v>
      </c>
      <c r="E235" s="193"/>
      <c r="F235" s="230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8" t="s">
        <v>132</v>
      </c>
      <c r="C236" s="197"/>
      <c r="D236" s="196" t="s">
        <v>132</v>
      </c>
      <c r="E236" s="193"/>
      <c r="F236" s="230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8" t="s">
        <v>132</v>
      </c>
      <c r="C237" s="197"/>
      <c r="D237" s="196" t="s">
        <v>132</v>
      </c>
      <c r="E237" s="193"/>
      <c r="F237" s="230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8" t="s">
        <v>132</v>
      </c>
      <c r="C238" s="197"/>
      <c r="D238" s="196" t="s">
        <v>132</v>
      </c>
      <c r="E238" s="193"/>
      <c r="F238" s="230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8" t="s">
        <v>132</v>
      </c>
      <c r="C239" s="197"/>
      <c r="D239" s="196" t="s">
        <v>132</v>
      </c>
      <c r="E239" s="193"/>
      <c r="F239" s="230"/>
      <c r="G239" s="204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1"/>
      <c r="G240" s="204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1"/>
      <c r="G241" s="204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1"/>
      <c r="G242" s="204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1"/>
      <c r="G243" s="204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1"/>
      <c r="G244" s="204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1"/>
      <c r="G245" s="204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1"/>
      <c r="G246" s="205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1"/>
      <c r="G247" s="205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1"/>
      <c r="G248" s="205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1"/>
      <c r="G249" s="205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1"/>
      <c r="G250" s="205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1"/>
      <c r="G251" s="205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1"/>
      <c r="G252" s="205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1"/>
      <c r="G253" s="205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1"/>
      <c r="G254" s="205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1"/>
      <c r="G255" s="205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1"/>
      <c r="G256" s="205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1"/>
      <c r="G257" s="205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1"/>
      <c r="G258" s="205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1"/>
      <c r="G259" s="205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29"/>
      <c r="G260" s="205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29"/>
      <c r="G261" s="205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29"/>
      <c r="G262" s="205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29"/>
      <c r="G263" s="205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0"/>
      <c r="G264" s="205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8" t="s">
        <v>132</v>
      </c>
      <c r="C265" s="197"/>
      <c r="D265" s="196" t="s">
        <v>132</v>
      </c>
      <c r="E265" s="193"/>
      <c r="F265" s="230"/>
      <c r="G265" s="205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8" t="s">
        <v>132</v>
      </c>
      <c r="C266" s="197"/>
      <c r="D266" s="196" t="s">
        <v>132</v>
      </c>
      <c r="E266" s="193"/>
      <c r="F266" s="230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8" t="s">
        <v>132</v>
      </c>
      <c r="C267" s="197"/>
      <c r="D267" s="196" t="s">
        <v>132</v>
      </c>
      <c r="E267" s="193"/>
      <c r="F267" s="230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8" t="s">
        <v>132</v>
      </c>
      <c r="C268" s="197"/>
      <c r="D268" s="196" t="s">
        <v>132</v>
      </c>
      <c r="E268" s="193"/>
      <c r="F268" s="230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8" t="s">
        <v>132</v>
      </c>
      <c r="C269" s="197"/>
      <c r="D269" s="196" t="s">
        <v>132</v>
      </c>
      <c r="E269" s="193"/>
      <c r="F269" s="230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8" t="s">
        <v>132</v>
      </c>
      <c r="C270" s="197"/>
      <c r="D270" s="196" t="s">
        <v>132</v>
      </c>
      <c r="E270" s="193"/>
      <c r="F270" s="230"/>
      <c r="G270" s="204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1"/>
      <c r="G271" s="204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1"/>
      <c r="G272" s="204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1"/>
      <c r="G273" s="204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1"/>
      <c r="G274" s="204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1"/>
      <c r="G275" s="204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1"/>
      <c r="G276" s="204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1"/>
      <c r="G277" s="205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1"/>
      <c r="G278" s="205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1"/>
      <c r="G279" s="205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1"/>
      <c r="G280" s="205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1"/>
      <c r="G281" s="205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1"/>
      <c r="G282" s="205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1"/>
      <c r="G283" s="205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1"/>
      <c r="G284" s="205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1"/>
      <c r="G285" s="205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1"/>
      <c r="G286" s="205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1"/>
      <c r="G287" s="205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1"/>
      <c r="G288" s="205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1"/>
      <c r="G289" s="205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1"/>
      <c r="G290" s="205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29"/>
      <c r="G291" s="205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29"/>
      <c r="G292" s="205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29"/>
      <c r="G293" s="205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29"/>
      <c r="G294" s="205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0"/>
      <c r="G295" s="205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8" t="s">
        <v>132</v>
      </c>
      <c r="C296" s="197"/>
      <c r="D296" s="196" t="s">
        <v>132</v>
      </c>
      <c r="E296" s="193"/>
      <c r="F296" s="230"/>
      <c r="G296" s="205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8" t="s">
        <v>132</v>
      </c>
      <c r="C297" s="197"/>
      <c r="D297" s="196" t="s">
        <v>132</v>
      </c>
      <c r="E297" s="193"/>
      <c r="F297" s="230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8" t="s">
        <v>132</v>
      </c>
      <c r="C298" s="197"/>
      <c r="D298" s="196" t="s">
        <v>132</v>
      </c>
      <c r="E298" s="193"/>
      <c r="F298" s="230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8" t="s">
        <v>132</v>
      </c>
      <c r="C299" s="197"/>
      <c r="D299" s="196" t="s">
        <v>132</v>
      </c>
      <c r="E299" s="193"/>
      <c r="F299" s="230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8" t="s">
        <v>132</v>
      </c>
      <c r="C300" s="197"/>
      <c r="D300" s="196" t="s">
        <v>132</v>
      </c>
      <c r="E300" s="193"/>
      <c r="F300" s="230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8" t="s">
        <v>132</v>
      </c>
      <c r="C301" s="197"/>
      <c r="D301" s="196" t="s">
        <v>132</v>
      </c>
      <c r="E301" s="193"/>
      <c r="F301" s="230"/>
      <c r="G301" s="204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2"/>
      <c r="G302" s="204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2"/>
      <c r="G303" s="204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2"/>
      <c r="G304" s="204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2"/>
      <c r="G305" s="204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2"/>
      <c r="G306" s="204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2"/>
      <c r="G307" s="204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2"/>
      <c r="G308" s="202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2"/>
      <c r="G309" s="202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2"/>
      <c r="G310" s="202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2"/>
      <c r="G311" s="202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2"/>
      <c r="G312" s="202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2"/>
      <c r="G313" s="202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2"/>
      <c r="G314" s="202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2"/>
      <c r="G315" s="202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2"/>
      <c r="G316" s="202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/>
      <c r="D317" s="182">
        <f>B317*C317</f>
        <v>0</v>
      </c>
      <c r="E317" s="193"/>
      <c r="F317" s="232"/>
      <c r="G317" s="202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2"/>
      <c r="G318" s="202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2"/>
      <c r="G319" s="202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2"/>
      <c r="G320" s="202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1"/>
      <c r="D321" s="182">
        <f t="shared" si="15"/>
        <v>0</v>
      </c>
      <c r="E321" s="193"/>
      <c r="F321" s="232"/>
      <c r="G321" s="202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2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2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2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2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2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2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Lou StockCo2</cp:lastModifiedBy>
  <dcterms:created xsi:type="dcterms:W3CDTF">2021-02-01T08:22:39Z</dcterms:created>
  <dcterms:modified xsi:type="dcterms:W3CDTF">2023-10-24T15:21:07Z</dcterms:modified>
</cp:coreProperties>
</file>