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zeauguillaume\Downloads\"/>
    </mc:Choice>
  </mc:AlternateContent>
  <xr:revisionPtr revIDLastSave="0" documentId="13_ncr:1_{D804D1E4-26B8-44AB-89C0-819FF1FBEFD8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GL4" i="2"/>
  <c r="FR4" i="2"/>
  <c r="EC4" i="2"/>
  <c r="BR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A7" i="2"/>
  <c r="EV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HG38" i="2"/>
  <c r="EW38" i="2"/>
  <c r="HI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H57" i="2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W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HH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I113" i="2"/>
  <c r="EB113" i="2"/>
  <c r="EX113" i="2"/>
  <c r="FS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HH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I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FS128" i="2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HH130" i="2"/>
  <c r="HG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G140" i="2"/>
  <c r="EC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G155" i="2"/>
  <c r="EX155" i="2"/>
  <c r="AC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HG156" i="2"/>
  <c r="AB156" i="2"/>
  <c r="FS156" i="2"/>
  <c r="DH156" i="2"/>
  <c r="EX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H157" i="2"/>
  <c r="EA157" i="2"/>
  <c r="ED157" i="2" s="1"/>
  <c r="EB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B161" i="2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A163" i="2"/>
  <c r="HI163" i="2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EA164" i="2"/>
  <c r="HH164" i="2"/>
  <c r="HG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EB165" i="2"/>
  <c r="EA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DG167" i="2"/>
  <c r="HH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B168" i="2"/>
  <c r="EC168" i="2"/>
  <c r="HH168" i="2"/>
  <c r="HI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FS175" i="2"/>
  <c r="EB175" i="2"/>
  <c r="E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A178" i="2"/>
  <c r="ED178" i="2" s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HG179" i="2"/>
  <c r="HI179" i="2"/>
  <c r="EV179" i="2"/>
  <c r="EY179" i="2" s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HG180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I185" i="2"/>
  <c r="EW185" i="2"/>
  <c r="HH185" i="2"/>
  <c r="EA185" i="2"/>
  <c r="EB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B186" i="2"/>
  <c r="HH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HG190" i="2"/>
  <c r="HH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I192" i="2"/>
  <c r="EB192" i="2"/>
  <c r="EC192" i="2"/>
  <c r="EW192" i="2"/>
  <c r="EV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Q193" i="2"/>
  <c r="EB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HI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HG195" i="2"/>
  <c r="DH195" i="2"/>
  <c r="EX195" i="2"/>
  <c r="EB195" i="2"/>
  <c r="AA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EC197" i="2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B199" i="2"/>
  <c r="EW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A201" i="2" l="1"/>
  <c r="FS201" i="2"/>
  <c r="HG201" i="2"/>
  <c r="HH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HH202" i="2" l="1"/>
  <c r="HG202" i="2"/>
  <c r="EW202" i="2"/>
  <c r="FS202" i="2"/>
  <c r="FZ6" i="2"/>
  <c r="HI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4" i="2" a="1"/>
  <c r="FY54" i="2" s="1"/>
  <c r="FY186" i="2" a="1"/>
  <c r="FY186" i="2" s="1"/>
  <c r="FY152" i="2" a="1"/>
  <c r="FY152" i="2" s="1"/>
  <c r="FY178" i="2" a="1"/>
  <c r="FY178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FY182" i="2" a="1"/>
  <c r="FY182" i="2" s="1"/>
  <c r="FD160" i="2" a="1"/>
  <c r="FD160" i="2" s="1"/>
  <c r="FD19" i="2" a="1"/>
  <c r="FD19" i="2" s="1"/>
  <c r="GT189" i="2" a="1"/>
  <c r="GT189" i="2" s="1"/>
  <c r="GT178" i="2" a="1"/>
  <c r="GT178" i="2" s="1"/>
  <c r="GT126" i="2" a="1"/>
  <c r="GT126" i="2" s="1"/>
  <c r="GT38" i="2" a="1"/>
  <c r="GT38" i="2" s="1"/>
  <c r="DN6" i="2" a="1"/>
  <c r="DN6" i="2" s="1"/>
  <c r="DO6" i="2" s="1"/>
  <c r="HJ202" i="2"/>
  <c r="AX200" i="2"/>
  <c r="FD107" i="2" l="1" a="1"/>
  <c r="FD107" i="2" s="1"/>
  <c r="GT184" i="2" a="1"/>
  <c r="GT184" i="2" s="1"/>
  <c r="FD137" i="2" a="1"/>
  <c r="FD137" i="2" s="1"/>
  <c r="FD159" i="2" a="1"/>
  <c r="FD159" i="2" s="1"/>
  <c r="FD167" i="2" a="1"/>
  <c r="FD167" i="2" s="1"/>
  <c r="GT181" i="2" a="1"/>
  <c r="GT181" i="2" s="1"/>
  <c r="GT107" i="2" a="1"/>
  <c r="GT107" i="2" s="1"/>
  <c r="GT190" i="2" a="1"/>
  <c r="GT190" i="2" s="1"/>
  <c r="FD131" i="2" a="1"/>
  <c r="FD131" i="2" s="1"/>
  <c r="GT138" i="2" a="1"/>
  <c r="GT138" i="2" s="1"/>
  <c r="GT174" i="2" a="1"/>
  <c r="GT174" i="2" s="1"/>
  <c r="GT191" i="2" a="1"/>
  <c r="GT191" i="2" s="1"/>
  <c r="FD44" i="2" a="1"/>
  <c r="FD44" i="2" s="1"/>
  <c r="FD188" i="2" a="1"/>
  <c r="FD188" i="2" s="1"/>
  <c r="FD60" i="2" a="1"/>
  <c r="FD60" i="2" s="1"/>
  <c r="EI57" i="2" a="1"/>
  <c r="EI57" i="2" s="1"/>
  <c r="GT21" i="2" a="1"/>
  <c r="GT21" i="2" s="1"/>
  <c r="FD21" i="2" a="1"/>
  <c r="FD21" i="2" s="1"/>
  <c r="FD82" i="2" a="1"/>
  <c r="FD82" i="2" s="1"/>
  <c r="FD59" i="2" a="1"/>
  <c r="FD59" i="2" s="1"/>
  <c r="GT198" i="2" a="1"/>
  <c r="GT198" i="2" s="1"/>
  <c r="FD144" i="2" a="1"/>
  <c r="FD144" i="2" s="1"/>
  <c r="GT15" i="2" a="1"/>
  <c r="GT15" i="2" s="1"/>
  <c r="GT12" i="2" a="1"/>
  <c r="GT12" i="2" s="1"/>
  <c r="GT152" i="2" a="1"/>
  <c r="GT152" i="2" s="1"/>
  <c r="BC34" i="2" a="1"/>
  <c r="BC34" i="2" s="1"/>
  <c r="DN168" i="2" a="1"/>
  <c r="DN168" i="2" s="1"/>
  <c r="EI37" i="2" a="1"/>
  <c r="EI37" i="2" s="1"/>
  <c r="EI67" i="2" a="1"/>
  <c r="EI67" i="2" s="1"/>
  <c r="EI87" i="2" a="1"/>
  <c r="EI87" i="2" s="1"/>
  <c r="DN152" i="2" a="1"/>
  <c r="DN152" i="2" s="1"/>
  <c r="EI35" i="2" a="1"/>
  <c r="EI35" i="2" s="1"/>
  <c r="EI166" i="2" a="1"/>
  <c r="EI166" i="2" s="1"/>
  <c r="EI139" i="2" a="1"/>
  <c r="EI139" i="2" s="1"/>
  <c r="FY172" i="2" a="1"/>
  <c r="FY172" i="2" s="1"/>
  <c r="EI36" i="2" a="1"/>
  <c r="EI36" i="2" s="1"/>
  <c r="DN66" i="2" a="1"/>
  <c r="DN66" i="2" s="1"/>
  <c r="FY50" i="2" a="1"/>
  <c r="FY50" i="2" s="1"/>
  <c r="EI150" i="2" a="1"/>
  <c r="EI150" i="2" s="1"/>
  <c r="EI198" i="2" a="1"/>
  <c r="EI198" i="2" s="1"/>
  <c r="EI128" i="2" a="1"/>
  <c r="EI128" i="2" s="1"/>
  <c r="EI71" i="2" a="1"/>
  <c r="EI71" i="2" s="1"/>
  <c r="FY104" i="2" a="1"/>
  <c r="FY104" i="2" s="1"/>
  <c r="EI195" i="2" a="1"/>
  <c r="EI195" i="2" s="1"/>
  <c r="FY71" i="2" a="1"/>
  <c r="FY71" i="2" s="1"/>
  <c r="BC7" i="2" a="1"/>
  <c r="BC7" i="2" s="1"/>
  <c r="BP203" i="2"/>
  <c r="BC185" i="2" a="1"/>
  <c r="BC185" i="2" s="1"/>
  <c r="EI109" i="2" a="1"/>
  <c r="EI109" i="2" s="1"/>
  <c r="EI142" i="2" a="1"/>
  <c r="EI142" i="2" s="1"/>
  <c r="EI170" i="2" a="1"/>
  <c r="EI170" i="2" s="1"/>
  <c r="EI38" i="2" a="1"/>
  <c r="EI38" i="2" s="1"/>
  <c r="EI178" i="2" a="1"/>
  <c r="EI178" i="2" s="1"/>
  <c r="EI16" i="2" a="1"/>
  <c r="EI16" i="2" s="1"/>
  <c r="EI145" i="2" a="1"/>
  <c r="EI145" i="2" s="1"/>
  <c r="EI113" i="2" a="1"/>
  <c r="EI113" i="2" s="1"/>
  <c r="BC151" i="2" a="1"/>
  <c r="BC151" i="2" s="1"/>
  <c r="FD48" i="2" a="1"/>
  <c r="FD48" i="2" s="1"/>
  <c r="EI162" i="2" a="1"/>
  <c r="EI162" i="2" s="1"/>
  <c r="FY55" i="2" a="1"/>
  <c r="FY55" i="2" s="1"/>
  <c r="EI20" i="2" a="1"/>
  <c r="EI20" i="2" s="1"/>
  <c r="EI29" i="2" a="1"/>
  <c r="EI29" i="2" s="1"/>
  <c r="EI34" i="2" a="1"/>
  <c r="EI34" i="2" s="1"/>
  <c r="BC143" i="2" a="1"/>
  <c r="BC143" i="2" s="1"/>
  <c r="EI106" i="2" a="1"/>
  <c r="EI106" i="2" s="1"/>
  <c r="DN31" i="2" a="1"/>
  <c r="DN31" i="2" s="1"/>
  <c r="EI165" i="2" a="1"/>
  <c r="EI165" i="2" s="1"/>
  <c r="FD194" i="2" a="1"/>
  <c r="FD194" i="2" s="1"/>
  <c r="FY82" i="2" a="1"/>
  <c r="FY82" i="2" s="1"/>
  <c r="EI153" i="2" a="1"/>
  <c r="EI153" i="2" s="1"/>
  <c r="BC58" i="2" a="1"/>
  <c r="BC58" i="2" s="1"/>
  <c r="FY18" i="2" a="1"/>
  <c r="FY18" i="2" s="1"/>
  <c r="CS24" i="2" a="1"/>
  <c r="CS24" i="2" s="1"/>
  <c r="BC31" i="2" a="1"/>
  <c r="BC31" i="2" s="1"/>
  <c r="BC84" i="2" a="1"/>
  <c r="BC84" i="2" s="1"/>
  <c r="GT74" i="2" a="1"/>
  <c r="GT74" i="2" s="1"/>
  <c r="BC32" i="2" a="1"/>
  <c r="BC32" i="2" s="1"/>
  <c r="FD64" i="2" a="1"/>
  <c r="FD64" i="2" s="1"/>
  <c r="GT11" i="2" a="1"/>
  <c r="GT11" i="2" s="1"/>
  <c r="GT115" i="2" a="1"/>
  <c r="GT115" i="2" s="1"/>
  <c r="FD43" i="2" a="1"/>
  <c r="FD43" i="2" s="1"/>
  <c r="BC164" i="2" a="1"/>
  <c r="BC164" i="2" s="1"/>
  <c r="FD189" i="2" a="1"/>
  <c r="FD189" i="2" s="1"/>
  <c r="GT102" i="2" a="1"/>
  <c r="GT102" i="2" s="1"/>
  <c r="BC47" i="2" a="1"/>
  <c r="BC47" i="2" s="1"/>
  <c r="CS38" i="2" a="1"/>
  <c r="CS38" i="2" s="1"/>
  <c r="CS77" i="2" a="1"/>
  <c r="CS77" i="2" s="1"/>
  <c r="FD187" i="2" a="1"/>
  <c r="FD187" i="2" s="1"/>
  <c r="FD14" i="2" a="1"/>
  <c r="FD14" i="2" s="1"/>
  <c r="GT147" i="2" a="1"/>
  <c r="GT147" i="2" s="1"/>
  <c r="BC68" i="2" a="1"/>
  <c r="BC68" i="2" s="1"/>
  <c r="BC181" i="2" a="1"/>
  <c r="BC181" i="2" s="1"/>
  <c r="BC65" i="2" a="1"/>
  <c r="BC65" i="2" s="1"/>
  <c r="BC114" i="2" a="1"/>
  <c r="BC114" i="2" s="1"/>
  <c r="BC126" i="2" a="1"/>
  <c r="BC126" i="2" s="1"/>
  <c r="BC83" i="2" a="1"/>
  <c r="BC83" i="2" s="1"/>
  <c r="BC82" i="2" a="1"/>
  <c r="BC82" i="2" s="1"/>
  <c r="AH19" i="2" a="1"/>
  <c r="AH19" i="2" s="1"/>
  <c r="AH151" i="2" a="1"/>
  <c r="AH151" i="2" s="1"/>
  <c r="AH90" i="2" a="1"/>
  <c r="AH90" i="2" s="1"/>
  <c r="DN167" i="2" a="1"/>
  <c r="DN167" i="2" s="1"/>
  <c r="DN30" i="2" a="1"/>
  <c r="DN30" i="2" s="1"/>
  <c r="FY34" i="2" a="1"/>
  <c r="FY34" i="2" s="1"/>
  <c r="FY109" i="2" a="1"/>
  <c r="FY109" i="2" s="1"/>
  <c r="DN46" i="2" a="1"/>
  <c r="DN46" i="2" s="1"/>
  <c r="DN114" i="2" a="1"/>
  <c r="DN114" i="2" s="1"/>
  <c r="FY164" i="2" a="1"/>
  <c r="FY164" i="2" s="1"/>
  <c r="FY79" i="2" a="1"/>
  <c r="FY79" i="2" s="1"/>
  <c r="DN103" i="2" a="1"/>
  <c r="DN103" i="2" s="1"/>
  <c r="FY149" i="2" a="1"/>
  <c r="FY149" i="2" s="1"/>
  <c r="FY29" i="2" a="1"/>
  <c r="FY29" i="2" s="1"/>
  <c r="DN176" i="2" a="1"/>
  <c r="DN176" i="2" s="1"/>
  <c r="DN137" i="2" a="1"/>
  <c r="DN137" i="2" s="1"/>
  <c r="FY191" i="2" a="1"/>
  <c r="FY191" i="2" s="1"/>
  <c r="DN187" i="2" a="1"/>
  <c r="DN187" i="2" s="1"/>
  <c r="CS105" i="2" a="1"/>
  <c r="CS105" i="2" s="1"/>
  <c r="CS129" i="2" a="1"/>
  <c r="CS129" i="2" s="1"/>
  <c r="DN133" i="2" a="1"/>
  <c r="DN133" i="2" s="1"/>
  <c r="DN123" i="2" a="1"/>
  <c r="DN123" i="2" s="1"/>
  <c r="FY99" i="2" a="1"/>
  <c r="FY99" i="2" s="1"/>
  <c r="DN65" i="2" a="1"/>
  <c r="DN65" i="2" s="1"/>
  <c r="AH163" i="2" a="1"/>
  <c r="AH163" i="2" s="1"/>
  <c r="DN124" i="2" a="1"/>
  <c r="DN124" i="2" s="1"/>
  <c r="FY32" i="2" a="1"/>
  <c r="FY32" i="2" s="1"/>
  <c r="CS72" i="2" a="1"/>
  <c r="CS72" i="2" s="1"/>
  <c r="DN70" i="2" a="1"/>
  <c r="DN70" i="2" s="1"/>
  <c r="CS56" i="2" a="1"/>
  <c r="CS56" i="2" s="1"/>
  <c r="DN63" i="2" a="1"/>
  <c r="DN63" i="2" s="1"/>
  <c r="BC192" i="2" a="1"/>
  <c r="BC19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29" i="2" a="1"/>
  <c r="DN29" i="2" s="1"/>
  <c r="FY115" i="2" a="1"/>
  <c r="FY115" i="2" s="1"/>
  <c r="DN41" i="2" a="1"/>
  <c r="DN41" i="2" s="1"/>
  <c r="FY173" i="2" a="1"/>
  <c r="FY173" i="2" s="1"/>
  <c r="DN162" i="2" a="1"/>
  <c r="DN162" i="2" s="1"/>
  <c r="DN43" i="2" a="1"/>
  <c r="DN43" i="2" s="1"/>
  <c r="FY159" i="2" a="1"/>
  <c r="FY159" i="2" s="1"/>
  <c r="DN49" i="2" a="1"/>
  <c r="DN49" i="2" s="1"/>
  <c r="DN115" i="2" a="1"/>
  <c r="DN115" i="2" s="1"/>
  <c r="FY28" i="2" a="1"/>
  <c r="FY28" i="2" s="1"/>
  <c r="FY47" i="2" a="1"/>
  <c r="FY47" i="2" s="1"/>
  <c r="FY121" i="2" a="1"/>
  <c r="FY121" i="2" s="1"/>
  <c r="DN153" i="2" a="1"/>
  <c r="DN153" i="2" s="1"/>
  <c r="FY78" i="2" a="1"/>
  <c r="FY78" i="2" s="1"/>
  <c r="DN190" i="2" a="1"/>
  <c r="DN190" i="2" s="1"/>
  <c r="CS137" i="2" a="1"/>
  <c r="CS137" i="2" s="1"/>
  <c r="FY174" i="2" a="1"/>
  <c r="FY174" i="2" s="1"/>
  <c r="FY165" i="2" a="1"/>
  <c r="FY165" i="2" s="1"/>
  <c r="CS161" i="2" a="1"/>
  <c r="CS161" i="2" s="1"/>
  <c r="CS52" i="2" a="1"/>
  <c r="CS52" i="2" s="1"/>
  <c r="FY146" i="2" a="1"/>
  <c r="FY146" i="2" s="1"/>
  <c r="CS114" i="2" a="1"/>
  <c r="CS114" i="2" s="1"/>
  <c r="CS120" i="2" a="1"/>
  <c r="CS120" i="2" s="1"/>
  <c r="FY80" i="2" a="1"/>
  <c r="FY80" i="2" s="1"/>
  <c r="DN50" i="2" a="1"/>
  <c r="DN50" i="2" s="1"/>
  <c r="FY116" i="2" a="1"/>
  <c r="FY116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188" i="2" a="1"/>
  <c r="DN188" i="2" s="1"/>
  <c r="DN16" i="2" a="1"/>
  <c r="DN16" i="2" s="1"/>
  <c r="DN86" i="2" a="1"/>
  <c r="DN86" i="2" s="1"/>
  <c r="FY126" i="2" a="1"/>
  <c r="FY126" i="2" s="1"/>
  <c r="FY133" i="2" a="1"/>
  <c r="FY133" i="2" s="1"/>
  <c r="FY86" i="2" a="1"/>
  <c r="FY86" i="2" s="1"/>
  <c r="DN177" i="2" a="1"/>
  <c r="DN177" i="2" s="1"/>
  <c r="FY188" i="2" a="1"/>
  <c r="FY188" i="2" s="1"/>
  <c r="FY140" i="2" a="1"/>
  <c r="FY140" i="2" s="1"/>
  <c r="FY58" i="2" a="1"/>
  <c r="FY58" i="2" s="1"/>
  <c r="DN186" i="2" a="1"/>
  <c r="DN186" i="2" s="1"/>
  <c r="FY143" i="2" a="1"/>
  <c r="FY143" i="2" s="1"/>
  <c r="DN164" i="2" a="1"/>
  <c r="DN164" i="2" s="1"/>
  <c r="FY24" i="2" a="1"/>
  <c r="FY24" i="2" s="1"/>
  <c r="FY35" i="2" a="1"/>
  <c r="FY35" i="2" s="1"/>
  <c r="DN135" i="2" a="1"/>
  <c r="DN135" i="2" s="1"/>
  <c r="FY167" i="2" a="1"/>
  <c r="FY167" i="2" s="1"/>
  <c r="DN170" i="2" a="1"/>
  <c r="DN170" i="2" s="1"/>
  <c r="FY124" i="2" a="1"/>
  <c r="FY124" i="2" s="1"/>
  <c r="FY110" i="2" a="1"/>
  <c r="FY110" i="2" s="1"/>
  <c r="DN38" i="2" a="1"/>
  <c r="DN38" i="2" s="1"/>
  <c r="FY142" i="2" a="1"/>
  <c r="FY142" i="2" s="1"/>
  <c r="DN129" i="2" a="1"/>
  <c r="DN129" i="2" s="1"/>
  <c r="FY169" i="2" a="1"/>
  <c r="FY169" i="2" s="1"/>
  <c r="FY153" i="2" a="1"/>
  <c r="FY153" i="2" s="1"/>
  <c r="BX107" i="2" a="1"/>
  <c r="BX107" i="2" s="1"/>
  <c r="FY62" i="2" a="1"/>
  <c r="FY62" i="2" s="1"/>
  <c r="FY102" i="2" a="1"/>
  <c r="FY102" i="2" s="1"/>
  <c r="FS203" i="2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182" i="2" l="1"/>
  <c r="BI147" i="2"/>
  <c r="BI135" i="2"/>
  <c r="BI191" i="2"/>
  <c r="BI122" i="2"/>
  <c r="BI94" i="2"/>
  <c r="BI29" i="2"/>
  <c r="BI9" i="2"/>
  <c r="BI33" i="2"/>
  <c r="BI106" i="2"/>
  <c r="BI65" i="2"/>
  <c r="BI176" i="2"/>
  <c r="BI50" i="2"/>
  <c r="BI145" i="2"/>
  <c r="BI154" i="2"/>
  <c r="BI134" i="2"/>
  <c r="BI111" i="2"/>
  <c r="BI47" i="2"/>
  <c r="BI174" i="2"/>
  <c r="BI107" i="2"/>
  <c r="BI190" i="2"/>
  <c r="BI8" i="2"/>
  <c r="BI31" i="2"/>
  <c r="BI141" i="2"/>
  <c r="BI159" i="2"/>
  <c r="BI68" i="2"/>
  <c r="BI130" i="2"/>
  <c r="BI185" i="2"/>
  <c r="BI161" i="2"/>
  <c r="BI199" i="2"/>
  <c r="BI39" i="2"/>
  <c r="BI17" i="2"/>
  <c r="BI146" i="2"/>
  <c r="BI105" i="2"/>
  <c r="BI183" i="2"/>
  <c r="BI115" i="2"/>
  <c r="BI42" i="2"/>
  <c r="BI170" i="2"/>
  <c r="BI7" i="2"/>
  <c r="BI12" i="2"/>
  <c r="BI89" i="2"/>
  <c r="BI143" i="2"/>
  <c r="BI166" i="2"/>
  <c r="BI187" i="2"/>
  <c r="BI132" i="2"/>
  <c r="BI14" i="2"/>
  <c r="BI6" i="2"/>
  <c r="BI37" i="2"/>
  <c r="BI52" i="2"/>
  <c r="BI54" i="2"/>
  <c r="BI5" i="2"/>
  <c r="BI123" i="2"/>
  <c r="BI64" i="2"/>
  <c r="BI73" i="2"/>
  <c r="BI83" i="2"/>
  <c r="BI86" i="2"/>
  <c r="BI152" i="2"/>
  <c r="BI158" i="2"/>
  <c r="BI156" i="2"/>
  <c r="BI197" i="2"/>
  <c r="BI66" i="2"/>
  <c r="BI163" i="2"/>
  <c r="BI164" i="2"/>
  <c r="BI173" i="2"/>
  <c r="BI63" i="2"/>
  <c r="BI133" i="2"/>
  <c r="BI140" i="2"/>
  <c r="BI177" i="2"/>
  <c r="BI67" i="2"/>
  <c r="BI196" i="2"/>
  <c r="BI108" i="2"/>
  <c r="BI193" i="2"/>
  <c r="BI70" i="2"/>
  <c r="BI49" i="2"/>
  <c r="BI53" i="2"/>
  <c r="BI121" i="2"/>
  <c r="BI102" i="2"/>
  <c r="BI98" i="2"/>
  <c r="BI103" i="2"/>
  <c r="BI195" i="2"/>
  <c r="BI142" i="2"/>
  <c r="BI34" i="2"/>
  <c r="BI71" i="2"/>
  <c r="BI32" i="2"/>
  <c r="BI99" i="2"/>
  <c r="BI90" i="2"/>
  <c r="BI62" i="2"/>
  <c r="BI28" i="2"/>
  <c r="BI19" i="2"/>
  <c r="BI139" i="2"/>
  <c r="BI82" i="2"/>
  <c r="BI184" i="2"/>
  <c r="BI20" i="2"/>
  <c r="BI25" i="2"/>
  <c r="BI13" i="2"/>
  <c r="BI75" i="2"/>
  <c r="BI189" i="2"/>
  <c r="BI160" i="2"/>
  <c r="BI172" i="2"/>
  <c r="BI101" i="2"/>
  <c r="BI194" i="2"/>
  <c r="BI60" i="2"/>
  <c r="BI78" i="2"/>
  <c r="BI162" i="2"/>
  <c r="BI80" i="2"/>
  <c r="BI56" i="2"/>
  <c r="BI59" i="2"/>
  <c r="BI51" i="2"/>
  <c r="BI87" i="2"/>
  <c r="BI30" i="2"/>
  <c r="BI186" i="2"/>
  <c r="BI118" i="2"/>
  <c r="BI44" i="2"/>
  <c r="BI46" i="2"/>
  <c r="BI198" i="2"/>
  <c r="BI119" i="2"/>
  <c r="BI104" i="2"/>
  <c r="BI91" i="2"/>
  <c r="BI188" i="2"/>
  <c r="BI35" i="2"/>
  <c r="BI178" i="2"/>
  <c r="BI128" i="2"/>
  <c r="BI23" i="2"/>
  <c r="BI40" i="2"/>
  <c r="BI26" i="2"/>
  <c r="BI27" i="2"/>
  <c r="BI202" i="2"/>
  <c r="BI79" i="2"/>
  <c r="BI100" i="2"/>
  <c r="BI127" i="2"/>
  <c r="BI97" i="2"/>
  <c r="BI109" i="2"/>
  <c r="BI150" i="2"/>
  <c r="BI77" i="2"/>
  <c r="BI43" i="2"/>
  <c r="BI201" i="2"/>
  <c r="BI138" i="2"/>
  <c r="BI92" i="2"/>
  <c r="BI129" i="2"/>
  <c r="BI117" i="2"/>
  <c r="BI203" i="2"/>
  <c r="BI48" i="2"/>
  <c r="BI153" i="2"/>
  <c r="BI168" i="2"/>
  <c r="BI85" i="2"/>
  <c r="BI180" i="2"/>
  <c r="BI22" i="2"/>
  <c r="BI112" i="2"/>
  <c r="BI137" i="2"/>
  <c r="BI200" i="2"/>
  <c r="BI131" i="2"/>
  <c r="BI95" i="2"/>
  <c r="BI21" i="2"/>
  <c r="BI113" i="2"/>
  <c r="BI69" i="2"/>
  <c r="BI157" i="2"/>
  <c r="BI124" i="2"/>
  <c r="BI61" i="2"/>
  <c r="BI136" i="2"/>
  <c r="BI55" i="2"/>
  <c r="BI148" i="2"/>
  <c r="BI24" i="2"/>
  <c r="BI4" i="2"/>
  <c r="BI88" i="2"/>
  <c r="BI155" i="2"/>
  <c r="BI167" i="2"/>
  <c r="BI76" i="2"/>
  <c r="BI93" i="2"/>
  <c r="BI171" i="2"/>
  <c r="BI84" i="2"/>
  <c r="BI149" i="2"/>
  <c r="BI120" i="2"/>
  <c r="BI18" i="2"/>
  <c r="BI10" i="2"/>
  <c r="BI16" i="2"/>
  <c r="BI126" i="2"/>
  <c r="BI41" i="2"/>
  <c r="BI110" i="2"/>
  <c r="BI175" i="2"/>
  <c r="BI15" i="2"/>
  <c r="BI151" i="2"/>
  <c r="BI144" i="2"/>
  <c r="BI192" i="2"/>
  <c r="BI114" i="2"/>
  <c r="BI125" i="2"/>
  <c r="BI179" i="2"/>
  <c r="BI3" i="2"/>
  <c r="C8" i="4" s="1"/>
  <c r="E8" i="4" s="1"/>
  <c r="F8" i="4" s="1"/>
  <c r="G8" i="4" s="1"/>
  <c r="L8" i="4" s="1"/>
  <c r="BI38" i="2"/>
  <c r="BI165" i="2"/>
  <c r="BI36" i="2"/>
  <c r="BI96" i="2"/>
  <c r="BI11" i="2"/>
  <c r="BI72" i="2"/>
  <c r="BI74" i="2"/>
  <c r="BI169" i="2"/>
  <c r="BI81" i="2"/>
  <c r="BI116" i="2"/>
  <c r="BI45" i="2"/>
  <c r="BI181" i="2"/>
  <c r="BI57" i="2"/>
  <c r="BI58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<sst xmlns="http://schemas.openxmlformats.org/spreadsheetml/2006/main" count="1173" uniqueCount="325">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</sst>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6" fontId="0" fillId="14" borderId="1" xfId="0" applyNumberForma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Normal 2" xfId="3" xr:uid="{20F08DD1-EE85-413B-9E45-AA60DC3104CF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233.44601670164332</c:v>
                </c:pt>
                <c:pt idx="31">
                  <c:v>251.84750489279975</c:v>
                </c:pt>
                <c:pt idx="32">
                  <c:v>270.21853173148173</c:v>
                </c:pt>
                <c:pt idx="33">
                  <c:v>288.56145921228261</c:v>
                </c:pt>
                <c:pt idx="34">
                  <c:v>306.87832445859306</c:v>
                </c:pt>
                <c:pt idx="35">
                  <c:v>325.17090153957975</c:v>
                </c:pt>
                <c:pt idx="36">
                  <c:v>343.4407486365871</c:v>
                </c:pt>
                <c:pt idx="37">
                  <c:v>277.64048097463598</c:v>
                </c:pt>
                <c:pt idx="38">
                  <c:v>294.48954064418047</c:v>
                </c:pt>
                <c:pt idx="39">
                  <c:v>311.31709656199939</c:v>
                </c:pt>
                <c:pt idx="40">
                  <c:v>328.12447448680598</c:v>
                </c:pt>
                <c:pt idx="41">
                  <c:v>344.91285327297737</c:v>
                </c:pt>
                <c:pt idx="42">
                  <c:v>361.68328765643633</c:v>
                </c:pt>
                <c:pt idx="43">
                  <c:v>378.43672659197046</c:v>
                </c:pt>
                <c:pt idx="44">
                  <c:v>395.17402817293191</c:v>
                </c:pt>
                <c:pt idx="45">
                  <c:v>327.78033103831336</c:v>
                </c:pt>
                <c:pt idx="46">
                  <c:v>342.65491462622498</c:v>
                </c:pt>
                <c:pt idx="47">
                  <c:v>357.5153094120638</c:v>
                </c:pt>
                <c:pt idx="48">
                  <c:v>372.36218817857565</c:v>
                </c:pt>
                <c:pt idx="49">
                  <c:v>387.19616568146989</c:v>
                </c:pt>
                <c:pt idx="50">
                  <c:v>402.01780573211067</c:v>
                </c:pt>
                <c:pt idx="51">
                  <c:v>416.82762718109433</c:v>
                </c:pt>
                <c:pt idx="52">
                  <c:v>431.62610900705425</c:v>
                </c:pt>
                <c:pt idx="53">
                  <c:v>366.26587035197628</c:v>
                </c:pt>
                <c:pt idx="54">
                  <c:v>379.56512783201532</c:v>
                </c:pt>
                <c:pt idx="55">
                  <c:v>392.85424896262816</c:v>
                </c:pt>
                <c:pt idx="56">
                  <c:v>406.13362493988217</c:v>
                </c:pt>
                <c:pt idx="57">
                  <c:v>419.40361929031616</c:v>
                </c:pt>
                <c:pt idx="58">
                  <c:v>432.66457066000584</c:v>
                </c:pt>
                <c:pt idx="59">
                  <c:v>445.91679524386319</c:v>
                </c:pt>
                <c:pt idx="60">
                  <c:v>459.16058891110259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283.45438999358527</c:v>
                </c:pt>
                <c:pt idx="66">
                  <c:v>293.80226750956672</c:v>
                </c:pt>
                <c:pt idx="67">
                  <c:v>304.14201262042326</c:v>
                </c:pt>
                <c:pt idx="68">
                  <c:v>314.47394093474514</c:v>
                </c:pt>
                <c:pt idx="69">
                  <c:v>324.79834561750624</c:v>
                </c:pt>
                <c:pt idx="70">
                  <c:v>335.11549966417408</c:v>
                </c:pt>
                <c:pt idx="71">
                  <c:v>345.42565787999462</c:v>
                </c:pt>
                <c:pt idx="72">
                  <c:v>355.72905861051368</c:v>
                </c:pt>
                <c:pt idx="73">
                  <c:v>366.02592526105212</c:v>
                </c:pt>
                <c:pt idx="74">
                  <c:v>281.90576500782794</c:v>
                </c:pt>
                <c:pt idx="75">
                  <c:v>291.46151941530667</c:v>
                </c:pt>
                <c:pt idx="76">
                  <c:v>301.0102774284689</c:v>
                </c:pt>
                <c:pt idx="77">
                  <c:v>310.55229243957859</c:v>
                </c:pt>
                <c:pt idx="78">
                  <c:v>320.08780098731637</c:v>
                </c:pt>
                <c:pt idx="79">
                  <c:v>329.6170243573369</c:v>
                </c:pt>
                <c:pt idx="80">
                  <c:v>339.14016998796109</c:v>
                </c:pt>
                <c:pt idx="81">
                  <c:v>348.65743270964526</c:v>
                </c:pt>
                <c:pt idx="82">
                  <c:v>358.16899584197989</c:v>
                </c:pt>
                <c:pt idx="83">
                  <c:v>367.67503216802317</c:v>
                </c:pt>
                <c:pt idx="84">
                  <c:v>377.17570480256546</c:v>
                </c:pt>
                <c:pt idx="85">
                  <c:v>386.67116796831215</c:v>
                </c:pt>
                <c:pt idx="86">
                  <c:v>310.25502677283174</c:v>
                </c:pt>
                <c:pt idx="87">
                  <c:v>318.98740593712301</c:v>
                </c:pt>
                <c:pt idx="88">
                  <c:v>327.71449394580162</c:v>
                </c:pt>
                <c:pt idx="89">
                  <c:v>336.4364516795992</c:v>
                </c:pt>
                <c:pt idx="90">
                  <c:v>345.15343099079388</c:v>
                </c:pt>
                <c:pt idx="91">
                  <c:v>353.86557543008075</c:v>
                </c:pt>
                <c:pt idx="92">
                  <c:v>362.57302089808604</c:v>
                </c:pt>
                <c:pt idx="93">
                  <c:v>371.27589623099493</c:v>
                </c:pt>
                <c:pt idx="94">
                  <c:v>379.97432372837642</c:v>
                </c:pt>
                <c:pt idx="95">
                  <c:v>388.66841963013439</c:v>
                </c:pt>
                <c:pt idx="96">
                  <c:v>397.35829454853587</c:v>
                </c:pt>
                <c:pt idx="97">
                  <c:v>406.04405386046182</c:v>
                </c:pt>
                <c:pt idx="98">
                  <c:v>334.41940603910456</c:v>
                </c:pt>
                <c:pt idx="99">
                  <c:v>342.29956794326159</c:v>
                </c:pt>
                <c:pt idx="100">
                  <c:v>350.17574235487018</c:v>
                </c:pt>
                <c:pt idx="101">
                  <c:v>358.04803168316045</c:v>
                </c:pt>
                <c:pt idx="102">
                  <c:v>365.91653346305492</c:v>
                </c:pt>
                <c:pt idx="103">
                  <c:v>373.78134068929762</c:v>
                </c:pt>
                <c:pt idx="104">
                  <c:v>381.64254212098064</c:v>
                </c:pt>
                <c:pt idx="105">
                  <c:v>389.50022255965672</c:v>
                </c:pt>
                <c:pt idx="106">
                  <c:v>397.35446310382684</c:v>
                </c:pt>
                <c:pt idx="107">
                  <c:v>405.20534138224889</c:v>
                </c:pt>
                <c:pt idx="108">
                  <c:v>413.05293176821243</c:v>
                </c:pt>
                <c:pt idx="109">
                  <c:v>420.89730557667417</c:v>
                </c:pt>
                <c:pt idx="110">
                  <c:v>347.55719193287587</c:v>
                </c:pt>
                <c:pt idx="111">
                  <c:v>354.63762505887615</c:v>
                </c:pt>
                <c:pt idx="112">
                  <c:v>361.71496177810815</c:v>
                </c:pt>
                <c:pt idx="113">
                  <c:v>368.78927127529045</c:v>
                </c:pt>
                <c:pt idx="114">
                  <c:v>375.86061986197745</c:v>
                </c:pt>
                <c:pt idx="115">
                  <c:v>382.92907114888618</c:v>
                </c:pt>
                <c:pt idx="116">
                  <c:v>389.99468620482725</c:v>
                </c:pt>
                <c:pt idx="117">
                  <c:v>397.05752370351092</c:v>
                </c:pt>
                <c:pt idx="118">
                  <c:v>404.11764005935697</c:v>
                </c:pt>
                <c:pt idx="119">
                  <c:v>411.17508955331436</c:v>
                </c:pt>
                <c:pt idx="120">
                  <c:v>418.2299244495868</c:v>
                </c:pt>
                <c:pt idx="121">
                  <c:v>425.28219510406871</c:v>
                </c:pt>
                <c:pt idx="122">
                  <c:v>222.90571332852667</c:v>
                </c:pt>
                <c:pt idx="123">
                  <c:v>227.8575926467731</c:v>
                </c:pt>
                <c:pt idx="124">
                  <c:v>232.80700909260065</c:v>
                </c:pt>
                <c:pt idx="125">
                  <c:v>237.75402251395406</c:v>
                </c:pt>
                <c:pt idx="126">
                  <c:v>242.69869006033142</c:v>
                </c:pt>
                <c:pt idx="127">
                  <c:v>247.64106635821645</c:v>
                </c:pt>
                <c:pt idx="128">
                  <c:v>252.58120367175192</c:v>
                </c:pt>
                <c:pt idx="129">
                  <c:v>257.51915205016786</c:v>
                </c:pt>
                <c:pt idx="130">
                  <c:v>262.4549594632943</c:v>
                </c:pt>
                <c:pt idx="131">
                  <c:v>267.3886719263333</c:v>
                </c:pt>
                <c:pt idx="132">
                  <c:v>1.2386324814023317E-11</c:v>
                </c:pt>
                <c:pt idx="133">
                  <c:v>1.2386324814023317E-11</c:v>
                </c:pt>
                <c:pt idx="134">
                  <c:v>1.2386324814023317E-11</c:v>
                </c:pt>
                <c:pt idx="135">
                  <c:v>1.2386324814023317E-11</c:v>
                </c:pt>
                <c:pt idx="136">
                  <c:v>1.2386324814023317E-11</c:v>
                </c:pt>
                <c:pt idx="137">
                  <c:v>1.2386324814023317E-11</c:v>
                </c:pt>
                <c:pt idx="138">
                  <c:v>1.2386324814023317E-11</c:v>
                </c:pt>
                <c:pt idx="139">
                  <c:v>1.2386324814023317E-11</c:v>
                </c:pt>
                <c:pt idx="140">
                  <c:v>1.2386324814023317E-11</c:v>
                </c:pt>
                <c:pt idx="141">
                  <c:v>1.2386324814023317E-11</c:v>
                </c:pt>
                <c:pt idx="142">
                  <c:v>1.2386324814023317E-11</c:v>
                </c:pt>
                <c:pt idx="143">
                  <c:v>1.2386324814023317E-11</c:v>
                </c:pt>
                <c:pt idx="144">
                  <c:v>1.2386324814023317E-11</c:v>
                </c:pt>
                <c:pt idx="145">
                  <c:v>1.2386324814023317E-11</c:v>
                </c:pt>
                <c:pt idx="146">
                  <c:v>1.2386324814023317E-11</c:v>
                </c:pt>
                <c:pt idx="147">
                  <c:v>1.2386324814023317E-11</c:v>
                </c:pt>
                <c:pt idx="148">
                  <c:v>1.2386324814023317E-11</c:v>
                </c:pt>
                <c:pt idx="149">
                  <c:v>1.2386324814023317E-11</c:v>
                </c:pt>
                <c:pt idx="150">
                  <c:v>1.2386324814023317E-11</c:v>
                </c:pt>
                <c:pt idx="151">
                  <c:v>1.2386324814023317E-11</c:v>
                </c:pt>
                <c:pt idx="152">
                  <c:v>1.2386324814023317E-11</c:v>
                </c:pt>
                <c:pt idx="153">
                  <c:v>1.2386324814023317E-11</c:v>
                </c:pt>
                <c:pt idx="154">
                  <c:v>1.2386324814023317E-11</c:v>
                </c:pt>
                <c:pt idx="155">
                  <c:v>1.2386324814023317E-11</c:v>
                </c:pt>
                <c:pt idx="156">
                  <c:v>1.2386324814023317E-11</c:v>
                </c:pt>
                <c:pt idx="157">
                  <c:v>1.2386324814023317E-11</c:v>
                </c:pt>
                <c:pt idx="158">
                  <c:v>1.2386324814023317E-11</c:v>
                </c:pt>
                <c:pt idx="159">
                  <c:v>1.2386324814023317E-11</c:v>
                </c:pt>
                <c:pt idx="160">
                  <c:v>1.2386324814023317E-11</c:v>
                </c:pt>
                <c:pt idx="161">
                  <c:v>1.2386324814023317E-11</c:v>
                </c:pt>
                <c:pt idx="162">
                  <c:v>1.2386324814023317E-11</c:v>
                </c:pt>
                <c:pt idx="163">
                  <c:v>1.2386324814023317E-11</c:v>
                </c:pt>
                <c:pt idx="164">
                  <c:v>1.2386324814023317E-11</c:v>
                </c:pt>
                <c:pt idx="165">
                  <c:v>1.2386324814023317E-11</c:v>
                </c:pt>
                <c:pt idx="166">
                  <c:v>1.2386324814023317E-11</c:v>
                </c:pt>
                <c:pt idx="167">
                  <c:v>1.2386324814023317E-11</c:v>
                </c:pt>
                <c:pt idx="168">
                  <c:v>1.2386324814023317E-11</c:v>
                </c:pt>
                <c:pt idx="169">
                  <c:v>1.2386324814023317E-11</c:v>
                </c:pt>
                <c:pt idx="170">
                  <c:v>1.2386324814023317E-11</c:v>
                </c:pt>
                <c:pt idx="171">
                  <c:v>1.2386324814023317E-11</c:v>
                </c:pt>
                <c:pt idx="172">
                  <c:v>1.2386324814023317E-11</c:v>
                </c:pt>
                <c:pt idx="173">
                  <c:v>1.2386324814023317E-11</c:v>
                </c:pt>
                <c:pt idx="174">
                  <c:v>1.2386324814023317E-11</c:v>
                </c:pt>
                <c:pt idx="175">
                  <c:v>1.2386324814023317E-11</c:v>
                </c:pt>
                <c:pt idx="176">
                  <c:v>1.2386324814023317E-11</c:v>
                </c:pt>
                <c:pt idx="177">
                  <c:v>1.2386324814023317E-11</c:v>
                </c:pt>
                <c:pt idx="178">
                  <c:v>1.2386324814023317E-11</c:v>
                </c:pt>
                <c:pt idx="179">
                  <c:v>1.2386324814023317E-11</c:v>
                </c:pt>
                <c:pt idx="180">
                  <c:v>1.2386324814023317E-11</c:v>
                </c:pt>
                <c:pt idx="181">
                  <c:v>1.2386324814023317E-11</c:v>
                </c:pt>
                <c:pt idx="182">
                  <c:v>1.2386324814023317E-11</c:v>
                </c:pt>
                <c:pt idx="183">
                  <c:v>1.2386324814023317E-11</c:v>
                </c:pt>
                <c:pt idx="184">
                  <c:v>1.2386324814023317E-11</c:v>
                </c:pt>
                <c:pt idx="185">
                  <c:v>1.2386324814023317E-11</c:v>
                </c:pt>
                <c:pt idx="186">
                  <c:v>1.2386324814023317E-11</c:v>
                </c:pt>
                <c:pt idx="187">
                  <c:v>1.2386324814023317E-11</c:v>
                </c:pt>
                <c:pt idx="188">
                  <c:v>1.2386324814023317E-11</c:v>
                </c:pt>
                <c:pt idx="189">
                  <c:v>1.2386324814023317E-11</c:v>
                </c:pt>
                <c:pt idx="190">
                  <c:v>1.2386324814023317E-11</c:v>
                </c:pt>
                <c:pt idx="191">
                  <c:v>1.2386324814023317E-11</c:v>
                </c:pt>
                <c:pt idx="192">
                  <c:v>1.2386324814023317E-11</c:v>
                </c:pt>
                <c:pt idx="193">
                  <c:v>1.2386324814023317E-11</c:v>
                </c:pt>
                <c:pt idx="194">
                  <c:v>1.2386324814023317E-11</c:v>
                </c:pt>
                <c:pt idx="195">
                  <c:v>1.2386324814023317E-11</c:v>
                </c:pt>
                <c:pt idx="196">
                  <c:v>1.2386324814023317E-11</c:v>
                </c:pt>
                <c:pt idx="197">
                  <c:v>1.2386324814023317E-11</c:v>
                </c:pt>
                <c:pt idx="198">
                  <c:v>1.2386324814023317E-11</c:v>
                </c:pt>
                <c:pt idx="199">
                  <c:v>1.2386324814023317E-11</c:v>
                </c:pt>
                <c:pt idx="200">
                  <c:v>1.2386324814023317E-11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D66" sqref="D6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9" t="s">
        <v>231</v>
      </c>
      <c r="B5" s="269"/>
      <c r="C5" s="24">
        <v>5.4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35</v>
      </c>
      <c r="C9" s="32">
        <v>0.75</v>
      </c>
      <c r="D9" s="33">
        <f t="shared" ref="D9:D18" si="0">C9*$C$5</f>
        <v>4.0500000000000007</v>
      </c>
      <c r="E9" s="34">
        <v>76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36</v>
      </c>
      <c r="C10" s="32">
        <v>0.125</v>
      </c>
      <c r="D10" s="33">
        <f t="shared" si="0"/>
        <v>0.67500000000000004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164</v>
      </c>
      <c r="C11" s="32">
        <v>0.125</v>
      </c>
      <c r="D11" s="33">
        <f t="shared" si="0"/>
        <v>0.67500000000000004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5.4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19</v>
      </c>
      <c r="B36" s="60">
        <v>127.98461538461538</v>
      </c>
      <c r="C36" s="60">
        <v>1</v>
      </c>
      <c r="D36" s="60">
        <v>46.53846153846154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6.7360323886639675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159.94615384615383</v>
      </c>
      <c r="C37" s="60">
        <v>2</v>
      </c>
      <c r="D37" s="60">
        <v>40.41538461538461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15.7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215.65384615384616</v>
      </c>
      <c r="C38" s="60">
        <v>3</v>
      </c>
      <c r="D38" s="60">
        <v>55.869230769230761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16.020512820512824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37</v>
      </c>
      <c r="B39" s="60">
        <v>268.16923076923075</v>
      </c>
      <c r="C39" s="60">
        <v>4</v>
      </c>
      <c r="D39" s="60">
        <v>43.623076923076923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15.48351648351648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46</v>
      </c>
      <c r="B40" s="60">
        <v>362.82307692307688</v>
      </c>
      <c r="C40" s="60">
        <v>5</v>
      </c>
      <c r="D40" s="60">
        <v>72.561538461538461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15.364102564102561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56</v>
      </c>
      <c r="B41" s="60">
        <v>428.20000000000005</v>
      </c>
      <c r="C41" s="60">
        <v>6</v>
      </c>
      <c r="D41" s="60">
        <v>60.092307692307692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13.793846153846165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66</v>
      </c>
      <c r="B42" s="60">
        <v>488.65384615384613</v>
      </c>
      <c r="C42" s="60">
        <v>7</v>
      </c>
      <c r="D42" s="60">
        <v>68.146153846153851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12.05461538461538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76</v>
      </c>
      <c r="B43" s="60">
        <v>520.22307692307686</v>
      </c>
      <c r="C43" s="60">
        <v>8</v>
      </c>
      <c r="D43" s="60">
        <v>520.22307692307686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9.9715384615384544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maritime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17</v>
      </c>
      <c r="B62" s="60">
        <v>126.33076923076922</v>
      </c>
      <c r="C62" s="60">
        <v>1</v>
      </c>
      <c r="D62" s="60">
        <v>42.084615384615383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7.4312217194570129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23</v>
      </c>
      <c r="B63" s="60">
        <v>173.80769230769229</v>
      </c>
      <c r="C63" s="60">
        <v>2</v>
      </c>
      <c r="D63" s="60">
        <v>54.099999999999994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 t="shared" ref="I63:I64" si="2">IF(A63&lt;&gt;0,(B63-(B62-D62))/(A63-A62),"")</f>
        <v>14.926923076923075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29</v>
      </c>
      <c r="B64" s="60">
        <v>210.14615384615385</v>
      </c>
      <c r="C64" s="60">
        <v>3</v>
      </c>
      <c r="D64" s="60">
        <v>47.661538461538463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 t="shared" si="2"/>
        <v>15.073076923076925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36</v>
      </c>
      <c r="B65" s="60">
        <v>262.57692309999999</v>
      </c>
      <c r="C65" s="60">
        <v>4</v>
      </c>
      <c r="D65" s="60">
        <v>64.553846149999998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 t="shared" ref="I65:I70" si="3">IF(A65&lt;&gt;0,(B65-(B64-D64))/(A65-A64),"")</f>
        <v>14.298901102197801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44</v>
      </c>
      <c r="B66" s="60">
        <v>303.15384619999998</v>
      </c>
      <c r="C66" s="60">
        <v>5</v>
      </c>
      <c r="D66" s="60">
        <v>64.476923080000006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si="3"/>
        <v>13.141346156249998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52</v>
      </c>
      <c r="B67" s="60">
        <v>331.81538460000002</v>
      </c>
      <c r="C67" s="60">
        <v>6</v>
      </c>
      <c r="D67" s="60">
        <v>61.784615379999998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3"/>
        <v>11.642307685000006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60</v>
      </c>
      <c r="B68" s="60">
        <v>353.5</v>
      </c>
      <c r="C68" s="60">
        <v>7</v>
      </c>
      <c r="D68" s="60">
        <v>353.5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3"/>
        <v>10.433653847499997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3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ref="I71:I81" si="4">IF(A71&lt;&gt;0,(B71-(B70-D70))/(A71-A70),"")</f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4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4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4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4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4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4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4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4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4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4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147.25384615384615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4.9084615384615384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51</v>
      </c>
      <c r="B89" s="60">
        <v>387.56923076923078</v>
      </c>
      <c r="C89" s="60">
        <v>1</v>
      </c>
      <c r="D89" s="60">
        <v>170.16153846153847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5">IF(A89&lt;&gt;0,(B89-(B88-D88))/(A89-A88),"")</f>
        <v>11.443589743589744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61</v>
      </c>
      <c r="B90" s="60">
        <v>329.11538461538464</v>
      </c>
      <c r="C90" s="60">
        <v>2</v>
      </c>
      <c r="D90" s="60">
        <v>94.76153846153845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5"/>
        <v>11.170769230769233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73</v>
      </c>
      <c r="B91" s="60">
        <v>358.13076923076926</v>
      </c>
      <c r="C91" s="60">
        <v>3</v>
      </c>
      <c r="D91" s="60">
        <v>93.584615384615375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5"/>
        <v>10.314743589743591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85</v>
      </c>
      <c r="B92" s="60">
        <v>378.83076923076919</v>
      </c>
      <c r="C92" s="60">
        <v>4</v>
      </c>
      <c r="D92" s="60">
        <v>85.207692307692298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5"/>
        <v>9.5237179487179446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97</v>
      </c>
      <c r="B93" s="60">
        <v>398.27692307692308</v>
      </c>
      <c r="C93" s="60">
        <v>5</v>
      </c>
      <c r="D93" s="60">
        <v>79.669230769230765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5"/>
        <v>8.7211538461538485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109</v>
      </c>
      <c r="B94" s="60">
        <v>413.2</v>
      </c>
      <c r="C94" s="60">
        <v>6</v>
      </c>
      <c r="D94" s="60">
        <v>80.653846153846146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5"/>
        <v>7.882692307692305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121</v>
      </c>
      <c r="B95" s="60">
        <v>417.60769230769228</v>
      </c>
      <c r="C95" s="60">
        <v>7</v>
      </c>
      <c r="D95" s="60">
        <v>207.07692307692307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5"/>
        <v>7.0884615384615346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131</v>
      </c>
      <c r="B96" s="60">
        <v>259.61538461538458</v>
      </c>
      <c r="C96" s="60">
        <v>8</v>
      </c>
      <c r="D96" s="60">
        <v>259.61538461538458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5"/>
        <v>4.9084615384615375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5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5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5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5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5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6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6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6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6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6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6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6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6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0.62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0.38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laricio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maritime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Cèdre de l'Atlas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3.1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11.366666666666667</v>
      </c>
      <c r="H3" s="67">
        <f>(B3+E3+F3)*44/12+(C3+D3)*0.475*44/12</f>
        <v>211.20000000000002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199.83333333333334</v>
      </c>
      <c r="S3" s="59">
        <f ca="1">AVERAGE(OFFSET($R$3,0,0,'Données projet'!$E$9+1,1))-AVERAGE(OFFSET($H$3,0,0,'Données projet'!$E$9+1,1))</f>
        <v>369.06880001017635</v>
      </c>
      <c r="T3" s="59">
        <f>IF('Données projet'!E9&gt;30,$R$33-$H$33,LOOKUP('Données projet'!$E$9,$A$3:$A$203,R3:R203)-LOOKUP('Données projet'!$E$9,$A$3:$A$203,$H$3:$H$203))</f>
        <v>331.91233237772281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199.83333333333334</v>
      </c>
      <c r="AN3" s="59">
        <f ca="1">AVERAGE(OFFSET($AM$3,0,0,'Données projet'!$E$10+1,1))-AVERAGE(OFFSET($H$3,0,0,'Données projet'!$E$10+1,1))</f>
        <v>270.29397440778314</v>
      </c>
      <c r="AO3" s="59">
        <f>IF('Données projet'!E10&gt;30,$AM$33-$H$33,LOOKUP('Données projet'!$E$10,$A$3:$A$203,AM3:AM203)-LOOKUP('Données projet'!$E$10,$A$3:$A$203,$H$3:$H$203))</f>
        <v>281.95928682679596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199.83333333333334</v>
      </c>
      <c r="BI3" s="59">
        <f ca="1">AVERAGE(OFFSET($BH$3,0,0,'Données projet'!$E$11+1,1))-AVERAGE(OFFSET($H$3,0,0,'Données projet'!$E$11+1,1))</f>
        <v>308.70979446846718</v>
      </c>
      <c r="BJ3" s="59">
        <f>IF('Données projet'!E11&gt;30,$BH$33-$H$33,LOOKUP('Données projet'!$E$11,$A$3:$A$203,BH3:BH203)-LOOKUP('Données projet'!$E$11,$A$3:$A$203,$H$3:$H$203))</f>
        <v>202.33469175293314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3.1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11.366666666666667</v>
      </c>
      <c r="H4" s="67">
        <f t="shared" ref="H4:H67" si="1">(B4+E4+F4)*44/12+(C4+D4)*0.475*44/12</f>
        <v>211.20000000000002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54.768890347191366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6.7360323886639675</v>
      </c>
      <c r="N4" s="13">
        <f>IF('Données projet'!$A$36&gt;35,N3+M4-V3,IF(A4&lt;'Données projet'!$A$36,$K$205^A4,IF(A4='Données projet'!$A$36,'Données projet'!$B$36,N3+M4-V3)))</f>
        <v>1.2909310311160476</v>
      </c>
      <c r="O4" s="13">
        <f>N4*VLOOKUP('Données projet'!$B$9,Paramètres!$A$1:$I$89,3,0)*VLOOKUP('Données projet'!$B$9,Paramètres!$A$1:$I$89,5,0)</f>
        <v>0.77197675660739651</v>
      </c>
      <c r="P4" s="13">
        <f>EXP(-1.0587+0.8836*LN(O4)+0.284)</f>
        <v>0.36663942027891244</v>
      </c>
      <c r="Q4" s="20">
        <f t="shared" ref="Q4:Q34" si="2">(O4+P4)*0.475*44/12</f>
        <v>1.9830898414103215</v>
      </c>
      <c r="R4" s="59">
        <f t="shared" si="0"/>
        <v>204.0245766700009</v>
      </c>
      <c r="S4" s="59">
        <f ca="1">AVERAGE(OFFSET($R$3,0,0,'Données projet'!$E$9+1,1))-AVERAGE(OFFSET($H$3,0,0,'Données projet'!$E$9+1,1))</f>
        <v>369.06880001017635</v>
      </c>
      <c r="T4" s="59">
        <f>$T$3</f>
        <v>331.91233237772281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54.768890347191366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7.4312217194570129</v>
      </c>
      <c r="AI4" s="13">
        <f>IF('Données projet'!$A$62&gt;35,AI3+AH4-AQ3,IF(A4&lt;'Données projet'!$A$62,$AF$205^A4,IF(A4='Données projet'!$A$62,'Données projet'!$B$62,AI3+AH4-AQ3)))</f>
        <v>1.3292852468636394</v>
      </c>
      <c r="AJ4" s="13">
        <f>AI4*VLOOKUP('Données projet'!$B$10,Paramètres!$A$1:$I$89,3,0)*VLOOKUP('Données projet'!$B$10,Paramètres!$A$1:$I$89,5,0)</f>
        <v>0.79491257762445644</v>
      </c>
      <c r="AK4" s="13">
        <f>EXP(-1.0587+0.8836*LN(AJ4)+0.284)</f>
        <v>0.37624805113513943</v>
      </c>
      <c r="AL4" s="20">
        <f t="shared" ref="AL4:AL67" si="4">(AJ4+AK4)*0.475*44/12</f>
        <v>2.0397714284229629</v>
      </c>
      <c r="AM4" s="59">
        <f t="shared" ref="AM4:AM67" si="5">AL4+(AD4+AE4)*44/12</f>
        <v>204.08125825701353</v>
      </c>
      <c r="AN4" s="59">
        <f ca="1">AVERAGE(OFFSET($AM$3,0,0,'Données projet'!$E$10+1,1))-AVERAGE(OFFSET($H$3,0,0,'Données projet'!$E$10+1,1))</f>
        <v>270.29397440778314</v>
      </c>
      <c r="AO4" s="59">
        <f>$AO$3</f>
        <v>281.95928682679596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54.768890347191366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4.9084615384615384</v>
      </c>
      <c r="BD4" s="12">
        <f>IF('Données projet'!$A$88&gt;35,BD3+BC4-BL3,IF(A4&lt;'Données projet'!$A$88,$BA$205^A4,IF(A4='Données projet'!$A$88,'Données projet'!$B$88,BD3+BC4-BL3)))</f>
        <v>1.1810516433311786</v>
      </c>
      <c r="BE4" s="13">
        <f>BD4*VLOOKUP('Données projet'!$B$11,Paramètres!$A$1:$I$89,3,0)*VLOOKUP('Données projet'!$B$11,Paramètres!$A$1:$I$89,5,0)</f>
        <v>0.55273216907899159</v>
      </c>
      <c r="BF4" s="13">
        <f>EXP(-1.0587+0.8836*LN(BE4)+0.284)</f>
        <v>0.27292171413945432</v>
      </c>
      <c r="BG4" s="20">
        <f t="shared" ref="BG4:BG67" si="7">(BE4+BF4)*0.475*44/12</f>
        <v>1.4380138466054599</v>
      </c>
      <c r="BH4" s="59">
        <f t="shared" ref="BH4:BH67" si="8">BG4+(AY4+AZ4)*44/12</f>
        <v>203.47950067519602</v>
      </c>
      <c r="BI4" s="59">
        <f ca="1">AVERAGE(OFFSET($BH$3,0,0,'Données projet'!$E$11+1,1))-AVERAGE(OFFSET($H$3,0,0,'Données projet'!$E$11+1,1))</f>
        <v>308.70979446846718</v>
      </c>
      <c r="BJ4" s="59">
        <f>$BJ$3</f>
        <v>202.33469175293314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54.768890347191366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54.768890347191366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54.768890347191366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54.768890347191366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54.768890347191366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54.768890347191366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54.768890347191366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3.1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11.366666666666667</v>
      </c>
      <c r="H5" s="67">
        <f t="shared" si="1"/>
        <v>211.20000000000002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55.03311604800772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6.7360323886639675</v>
      </c>
      <c r="N5" s="13">
        <f>IF('Données projet'!$A$36&gt;35,N4+M5-V4,IF(A5&lt;'Données projet'!$A$36,$K$205^A5,IF(A5='Données projet'!$A$36,'Données projet'!$B$36,N4+M5-V4)))</f>
        <v>1.6665029270983418</v>
      </c>
      <c r="O5" s="13">
        <f>N5*VLOOKUP('Données projet'!$B$9,Paramètres!$A$1:$I$89,3,0)*VLOOKUP('Données projet'!$B$9,Paramètres!$A$1:$I$89,5,0)</f>
        <v>0.99656875040480852</v>
      </c>
      <c r="P5" s="13">
        <f t="shared" ref="P5:P68" si="33">EXP(-1.0587+0.8836*LN(O5)+0.284)</f>
        <v>0.45944452864607926</v>
      </c>
      <c r="Q5" s="20">
        <f t="shared" si="2"/>
        <v>2.5358897943469625</v>
      </c>
      <c r="R5" s="59">
        <f t="shared" si="0"/>
        <v>206.76842641481969</v>
      </c>
      <c r="S5" s="59">
        <f ca="1">AVERAGE(OFFSET($R$3,0,0,'Données projet'!$E$9+1,1))-AVERAGE(OFFSET($H$3,0,0,'Données projet'!$E$9+1,1))</f>
        <v>369.06880001017635</v>
      </c>
      <c r="T5" s="59">
        <f t="shared" ref="T5:T68" si="34">$T$3</f>
        <v>331.91233237772281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55.03311604800772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7.4312217194570129</v>
      </c>
      <c r="AI5" s="13">
        <f>IF('Données projet'!$A$62&gt;35,AI4+AH5-AQ4,IF(A5&lt;'Données projet'!$A$62,$AF$205^A5,IF(A5='Données projet'!$A$62,'Données projet'!$B$62,AI4+AH5-AQ4)))</f>
        <v>1.7669992675293267</v>
      </c>
      <c r="AJ5" s="13">
        <f>AI5*VLOOKUP('Données projet'!$B$10,Paramètres!$A$1:$I$89,3,0)*VLOOKUP('Données projet'!$B$10,Paramètres!$A$1:$I$89,5,0)</f>
        <v>1.0566655619825374</v>
      </c>
      <c r="AK5" s="13">
        <f t="shared" ref="AK5:AK68" si="35">EXP(-1.0587+0.8836*LN(AJ5)+0.284)</f>
        <v>0.48384169076702271</v>
      </c>
      <c r="AL5" s="20">
        <f t="shared" si="4"/>
        <v>2.6830501318721502</v>
      </c>
      <c r="AM5" s="59">
        <f t="shared" si="5"/>
        <v>206.91558675234489</v>
      </c>
      <c r="AN5" s="59">
        <f ca="1">AVERAGE(OFFSET($AM$3,0,0,'Données projet'!$E$10+1,1))-AVERAGE(OFFSET($H$3,0,0,'Données projet'!$E$10+1,1))</f>
        <v>270.29397440778314</v>
      </c>
      <c r="AO5" s="59">
        <f t="shared" ref="AO5:AO68" si="36">$AO$3</f>
        <v>281.95928682679596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55.03311604800772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4.9084615384615384</v>
      </c>
      <c r="BD5" s="12">
        <f>IF('Données projet'!$A$88&gt;35,BD4+BC5-BL4,IF(A5&lt;'Données projet'!$A$88,$BA$205^A5,IF(A5='Données projet'!$A$88,'Données projet'!$B$88,BD4+BC5-BL4)))</f>
        <v>1.3948829842152777</v>
      </c>
      <c r="BE5" s="13">
        <f>BD5*VLOOKUP('Données projet'!$B$11,Paramètres!$A$1:$I$89,3,0)*VLOOKUP('Données projet'!$B$11,Paramètres!$A$1:$I$89,5,0)</f>
        <v>0.65280523661274992</v>
      </c>
      <c r="BF5" s="13">
        <f t="shared" ref="BF5:BF68" si="37">EXP(-1.0587+0.8836*LN(BE5)+0.284)</f>
        <v>0.31615123301372139</v>
      </c>
      <c r="BG5" s="20">
        <f t="shared" si="7"/>
        <v>1.6875991845994376</v>
      </c>
      <c r="BH5" s="59">
        <f t="shared" si="8"/>
        <v>205.92013580507216</v>
      </c>
      <c r="BI5" s="59">
        <f ca="1">AVERAGE(OFFSET($BH$3,0,0,'Données projet'!$E$11+1,1))-AVERAGE(OFFSET($H$3,0,0,'Données projet'!$E$11+1,1))</f>
        <v>308.70979446846718</v>
      </c>
      <c r="BJ5" s="59">
        <f t="shared" ref="BJ5:BJ68" si="38">$BJ$3</f>
        <v>202.33469175293314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55.03311604800772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55.03311604800772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55.03311604800772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55.03311604800772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55.03311604800772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55.03311604800772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55.03311604800772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3.1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11.366666666666667</v>
      </c>
      <c r="H6" s="67">
        <f t="shared" si="1"/>
        <v>211.20000000000002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55.292758023635081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6.7360323886639675</v>
      </c>
      <c r="N6" s="13">
        <f>IF('Données projet'!$A$36&gt;35,N5+M6-V5,IF(A6&lt;'Données projet'!$A$36,$K$205^A6,IF(A6='Données projet'!$A$36,'Données projet'!$B$36,N5+M6-V5)))</f>
        <v>2.1513403420369737</v>
      </c>
      <c r="O6" s="13">
        <f>N6*VLOOKUP('Données projet'!$B$9,Paramètres!$A$1:$I$89,3,0)*VLOOKUP('Données projet'!$B$9,Paramètres!$A$1:$I$89,5,0)</f>
        <v>1.2865015245381104</v>
      </c>
      <c r="P6" s="13">
        <f t="shared" si="33"/>
        <v>0.57574080480008571</v>
      </c>
      <c r="Q6" s="20">
        <f t="shared" si="2"/>
        <v>3.2434053902640243</v>
      </c>
      <c r="R6" s="59">
        <f t="shared" si="0"/>
        <v>209.6501848102593</v>
      </c>
      <c r="S6" s="59">
        <f ca="1">AVERAGE(OFFSET($R$3,0,0,'Données projet'!$E$9+1,1))-AVERAGE(OFFSET($H$3,0,0,'Données projet'!$E$9+1,1))</f>
        <v>369.06880001017635</v>
      </c>
      <c r="T6" s="59">
        <f t="shared" si="34"/>
        <v>331.91233237772281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55.292758023635081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7.4312217194570129</v>
      </c>
      <c r="AI6" s="13">
        <f>IF('Données projet'!$A$62&gt;35,AI5+AH6-AQ5,IF(A6&lt;'Données projet'!$A$62,$AF$205^A6,IF(A6='Données projet'!$A$62,'Données projet'!$B$62,AI5+AH6-AQ5)))</f>
        <v>2.3488460575455909</v>
      </c>
      <c r="AJ6" s="13">
        <f>AI6*VLOOKUP('Données projet'!$B$10,Paramètres!$A$1:$I$89,3,0)*VLOOKUP('Données projet'!$B$10,Paramètres!$A$1:$I$89,5,0)</f>
        <v>1.4046099424122636</v>
      </c>
      <c r="AK6" s="13">
        <f t="shared" si="35"/>
        <v>0.62220330714804695</v>
      </c>
      <c r="AL6" s="20">
        <f t="shared" si="4"/>
        <v>3.5300330763175403</v>
      </c>
      <c r="AM6" s="59">
        <f t="shared" si="5"/>
        <v>209.93681249631283</v>
      </c>
      <c r="AN6" s="59">
        <f ca="1">AVERAGE(OFFSET($AM$3,0,0,'Données projet'!$E$10+1,1))-AVERAGE(OFFSET($H$3,0,0,'Données projet'!$E$10+1,1))</f>
        <v>270.29397440778314</v>
      </c>
      <c r="AO6" s="59">
        <f t="shared" si="36"/>
        <v>281.95928682679596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55.292758023635081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4.9084615384615384</v>
      </c>
      <c r="BD6" s="12">
        <f>IF('Données projet'!$A$88&gt;35,BD5+BC6-BL5,IF(A6&lt;'Données projet'!$A$88,$BA$205^A6,IF(A6='Données projet'!$A$88,'Données projet'!$B$88,BD5+BC6-BL5)))</f>
        <v>1.6474288407621522</v>
      </c>
      <c r="BE6" s="13">
        <f>BD6*VLOOKUP('Données projet'!$B$11,Paramètres!$A$1:$I$89,3,0)*VLOOKUP('Données projet'!$B$11,Paramètres!$A$1:$I$89,5,0)</f>
        <v>0.7709966974766872</v>
      </c>
      <c r="BF6" s="13">
        <f t="shared" si="37"/>
        <v>0.36622810482944673</v>
      </c>
      <c r="BG6" s="20">
        <f t="shared" si="7"/>
        <v>1.9806665306831832</v>
      </c>
      <c r="BH6" s="59">
        <f t="shared" si="8"/>
        <v>208.38744595067845</v>
      </c>
      <c r="BI6" s="59">
        <f ca="1">AVERAGE(OFFSET($BH$3,0,0,'Données projet'!$E$11+1,1))-AVERAGE(OFFSET($H$3,0,0,'Données projet'!$E$11+1,1))</f>
        <v>308.70979446846718</v>
      </c>
      <c r="BJ6" s="59">
        <f t="shared" si="38"/>
        <v>202.33469175293314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55.292758023635081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55.292758023635081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55.292758023635081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55.292758023635081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55.292758023635081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55.292758023635081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55.292758023635081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3.1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11.366666666666667</v>
      </c>
      <c r="H7" s="67">
        <f t="shared" si="1"/>
        <v>211.20000000000002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55.547895791457805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6.7360323886639675</v>
      </c>
      <c r="N7" s="13">
        <f>IF('Données projet'!$A$36&gt;35,N6+M7-V6,IF(A7&lt;'Données projet'!$A$36,$K$205^A7,IF(A7='Données projet'!$A$36,'Données projet'!$B$36,N6+M7-V6)))</f>
        <v>2.777232006027341</v>
      </c>
      <c r="O7" s="13">
        <f>N7*VLOOKUP('Données projet'!$B$9,Paramètres!$A$1:$I$89,3,0)*VLOOKUP('Données projet'!$B$9,Paramètres!$A$1:$I$89,5,0)</f>
        <v>1.66078473960435</v>
      </c>
      <c r="P7" s="13">
        <f t="shared" si="33"/>
        <v>0.7214744188785307</v>
      </c>
      <c r="Q7" s="20">
        <f t="shared" si="2"/>
        <v>4.1491013676910162</v>
      </c>
      <c r="R7" s="59">
        <f t="shared" si="0"/>
        <v>212.71360815859185</v>
      </c>
      <c r="S7" s="59">
        <f ca="1">AVERAGE(OFFSET($R$3,0,0,'Données projet'!$E$9+1,1))-AVERAGE(OFFSET($H$3,0,0,'Données projet'!$E$9+1,1))</f>
        <v>369.06880001017635</v>
      </c>
      <c r="T7" s="59">
        <f t="shared" si="34"/>
        <v>331.91233237772281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55.547895791457805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7.4312217194570129</v>
      </c>
      <c r="AI7" s="13">
        <f>IF('Données projet'!$A$62&gt;35,AI6+AH7-AQ6,IF(A7&lt;'Données projet'!$A$62,$AF$205^A7,IF(A7='Données projet'!$A$62,'Données projet'!$B$62,AI6+AH7-AQ6)))</f>
        <v>3.1222864114491768</v>
      </c>
      <c r="AJ7" s="13">
        <f>AI7*VLOOKUP('Données projet'!$B$10,Paramètres!$A$1:$I$89,3,0)*VLOOKUP('Données projet'!$B$10,Paramètres!$A$1:$I$89,5,0)</f>
        <v>1.8671272740466078</v>
      </c>
      <c r="AK7" s="13">
        <f t="shared" si="35"/>
        <v>0.80013145376589556</v>
      </c>
      <c r="AL7" s="20">
        <f t="shared" si="4"/>
        <v>4.6454756176067766</v>
      </c>
      <c r="AM7" s="59">
        <f t="shared" si="5"/>
        <v>213.20998240850761</v>
      </c>
      <c r="AN7" s="59">
        <f ca="1">AVERAGE(OFFSET($AM$3,0,0,'Données projet'!$E$10+1,1))-AVERAGE(OFFSET($H$3,0,0,'Données projet'!$E$10+1,1))</f>
        <v>270.29397440778314</v>
      </c>
      <c r="AO7" s="59">
        <f t="shared" si="36"/>
        <v>281.95928682679596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55.547895791457805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4.9084615384615384</v>
      </c>
      <c r="BD7" s="12">
        <f>IF('Données projet'!$A$88&gt;35,BD6+BC7-BL6,IF(A7&lt;'Données projet'!$A$88,$BA$205^A7,IF(A7='Données projet'!$A$88,'Données projet'!$B$88,BD6+BC7-BL6)))</f>
        <v>1.9456985396533186</v>
      </c>
      <c r="BE7" s="13">
        <f>BD7*VLOOKUP('Données projet'!$B$11,Paramètres!$A$1:$I$89,3,0)*VLOOKUP('Données projet'!$B$11,Paramètres!$A$1:$I$89,5,0)</f>
        <v>0.91058691655775315</v>
      </c>
      <c r="BF7" s="13">
        <f t="shared" si="37"/>
        <v>0.42423691816235021</v>
      </c>
      <c r="BG7" s="20">
        <f t="shared" si="7"/>
        <v>2.32481817880418</v>
      </c>
      <c r="BH7" s="59">
        <f t="shared" si="8"/>
        <v>210.88932496970503</v>
      </c>
      <c r="BI7" s="59">
        <f ca="1">AVERAGE(OFFSET($BH$3,0,0,'Données projet'!$E$11+1,1))-AVERAGE(OFFSET($H$3,0,0,'Données projet'!$E$11+1,1))</f>
        <v>308.70979446846718</v>
      </c>
      <c r="BJ7" s="59">
        <f t="shared" si="38"/>
        <v>202.33469175293314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55.547895791457805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55.547895791457805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55.547895791457805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55.547895791457805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55.547895791457805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55.547895791457805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55.547895791457805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3.1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11.366666666666667</v>
      </c>
      <c r="H8" s="67">
        <f t="shared" si="1"/>
        <v>211.20000000000002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55.798607489411403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6.7360323886639675</v>
      </c>
      <c r="N8" s="13">
        <f>IF('Données projet'!$A$36&gt;35,N7+M8-V7,IF(A8&lt;'Données projet'!$A$36,$K$205^A8,IF(A8='Données projet'!$A$36,'Données projet'!$B$36,N7+M8-V7)))</f>
        <v>3.5852149771893647</v>
      </c>
      <c r="O8" s="13">
        <f>N8*VLOOKUP('Données projet'!$B$9,Paramètres!$A$1:$I$89,3,0)*VLOOKUP('Données projet'!$B$9,Paramètres!$A$1:$I$89,5,0)</f>
        <v>2.1439585563592405</v>
      </c>
      <c r="P8" s="13">
        <f t="shared" si="33"/>
        <v>0.90409665730893507</v>
      </c>
      <c r="Q8" s="20">
        <f t="shared" si="2"/>
        <v>5.3086961638054051</v>
      </c>
      <c r="R8" s="59">
        <f t="shared" si="0"/>
        <v>216.01470140275831</v>
      </c>
      <c r="S8" s="59">
        <f ca="1">AVERAGE(OFFSET($R$3,0,0,'Données projet'!$E$9+1,1))-AVERAGE(OFFSET($H$3,0,0,'Données projet'!$E$9+1,1))</f>
        <v>369.06880001017635</v>
      </c>
      <c r="T8" s="59">
        <f t="shared" si="34"/>
        <v>331.91233237772281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55.798607489411403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7.4312217194570129</v>
      </c>
      <c r="AI8" s="13">
        <f>IF('Données projet'!$A$62&gt;35,AI7+AH8-AQ7,IF(A8&lt;'Données projet'!$A$62,$AF$205^A8,IF(A8='Données projet'!$A$62,'Données projet'!$B$62,AI7+AH8-AQ7)))</f>
        <v>4.1504092632222056</v>
      </c>
      <c r="AJ8" s="13">
        <f>AI8*VLOOKUP('Données projet'!$B$10,Paramètres!$A$1:$I$89,3,0)*VLOOKUP('Données projet'!$B$10,Paramètres!$A$1:$I$89,5,0)</f>
        <v>2.4819447394068792</v>
      </c>
      <c r="AK8" s="13">
        <f t="shared" si="35"/>
        <v>1.0289407593154982</v>
      </c>
      <c r="AL8" s="20">
        <f t="shared" si="4"/>
        <v>6.1147922436081394</v>
      </c>
      <c r="AM8" s="59">
        <f t="shared" si="5"/>
        <v>216.82079748256106</v>
      </c>
      <c r="AN8" s="59">
        <f ca="1">AVERAGE(OFFSET($AM$3,0,0,'Données projet'!$E$10+1,1))-AVERAGE(OFFSET($H$3,0,0,'Données projet'!$E$10+1,1))</f>
        <v>270.29397440778314</v>
      </c>
      <c r="AO8" s="59">
        <f t="shared" si="36"/>
        <v>281.95928682679596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55.798607489411403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4.9084615384615384</v>
      </c>
      <c r="BD8" s="12">
        <f>IF('Données projet'!$A$88&gt;35,BD7+BC8-BL7,IF(A8&lt;'Données projet'!$A$88,$BA$205^A8,IF(A8='Données projet'!$A$88,'Données projet'!$B$88,BD7+BC8-BL7)))</f>
        <v>2.2979704576846265</v>
      </c>
      <c r="BE8" s="13">
        <f>BD8*VLOOKUP('Données projet'!$B$11,Paramètres!$A$1:$I$89,3,0)*VLOOKUP('Données projet'!$B$11,Paramètres!$A$1:$I$89,5,0)</f>
        <v>1.0754501741964051</v>
      </c>
      <c r="BF8" s="13">
        <f t="shared" si="37"/>
        <v>0.49143405532927165</v>
      </c>
      <c r="BG8" s="20">
        <f t="shared" si="7"/>
        <v>2.7289900330905534</v>
      </c>
      <c r="BH8" s="59">
        <f t="shared" si="8"/>
        <v>213.43499527204347</v>
      </c>
      <c r="BI8" s="59">
        <f ca="1">AVERAGE(OFFSET($BH$3,0,0,'Données projet'!$E$11+1,1))-AVERAGE(OFFSET($H$3,0,0,'Données projet'!$E$11+1,1))</f>
        <v>308.70979446846718</v>
      </c>
      <c r="BJ8" s="59">
        <f t="shared" si="38"/>
        <v>202.33469175293314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55.798607489411403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55.798607489411403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55.798607489411403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55.798607489411403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55.798607489411403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55.798607489411403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55.798607489411403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3.1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11.366666666666667</v>
      </c>
      <c r="H9" s="67">
        <f t="shared" si="1"/>
        <v>211.20000000000002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56.044969899912886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6.7360323886639675</v>
      </c>
      <c r="N9" s="13">
        <f>IF('Données projet'!$A$36&gt;35,N8+M9-V8,IF(A9&lt;'Données projet'!$A$36,$K$205^A9,IF(A9='Données projet'!$A$36,'Données projet'!$B$36,N8+M9-V8)))</f>
        <v>4.6282652672757632</v>
      </c>
      <c r="O9" s="13">
        <f>N9*VLOOKUP('Données projet'!$B$9,Paramètres!$A$1:$I$89,3,0)*VLOOKUP('Données projet'!$B$9,Paramètres!$A$1:$I$89,5,0)</f>
        <v>2.7677026298309064</v>
      </c>
      <c r="P9" s="13">
        <f t="shared" si="33"/>
        <v>1.1329449033380179</v>
      </c>
      <c r="Q9" s="20">
        <f t="shared" si="2"/>
        <v>6.7936277869358754</v>
      </c>
      <c r="R9" s="59">
        <f t="shared" si="0"/>
        <v>219.62518408661643</v>
      </c>
      <c r="S9" s="59">
        <f ca="1">AVERAGE(OFFSET($R$3,0,0,'Données projet'!$E$9+1,1))-AVERAGE(OFFSET($H$3,0,0,'Données projet'!$E$9+1,1))</f>
        <v>369.06880001017635</v>
      </c>
      <c r="T9" s="59">
        <f t="shared" si="34"/>
        <v>331.91233237772281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56.044969899912886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7.4312217194570129</v>
      </c>
      <c r="AI9" s="13">
        <f>IF('Données projet'!$A$62&gt;35,AI8+AH9-AQ8,IF(A9&lt;'Données projet'!$A$62,$AF$205^A9,IF(A9='Données projet'!$A$62,'Données projet'!$B$62,AI8+AH9-AQ8)))</f>
        <v>5.5170778020474653</v>
      </c>
      <c r="AJ9" s="13">
        <f>AI9*VLOOKUP('Données projet'!$B$10,Paramètres!$A$1:$I$89,3,0)*VLOOKUP('Données projet'!$B$10,Paramètres!$A$1:$I$89,5,0)</f>
        <v>3.2992125256243843</v>
      </c>
      <c r="AK9" s="13">
        <f t="shared" si="35"/>
        <v>1.3231814362474952</v>
      </c>
      <c r="AL9" s="20">
        <f t="shared" si="4"/>
        <v>8.0506694835935235</v>
      </c>
      <c r="AM9" s="59">
        <f t="shared" si="5"/>
        <v>220.88222578327407</v>
      </c>
      <c r="AN9" s="59">
        <f ca="1">AVERAGE(OFFSET($AM$3,0,0,'Données projet'!$E$10+1,1))-AVERAGE(OFFSET($H$3,0,0,'Données projet'!$E$10+1,1))</f>
        <v>270.29397440778314</v>
      </c>
      <c r="AO9" s="59">
        <f t="shared" si="36"/>
        <v>281.95928682679596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56.044969899912886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4.9084615384615384</v>
      </c>
      <c r="BD9" s="12">
        <f>IF('Données projet'!$A$88&gt;35,BD8+BC9-BL8,IF(A9&lt;'Données projet'!$A$88,$BA$205^A9,IF(A9='Données projet'!$A$88,'Données projet'!$B$88,BD8+BC9-BL8)))</f>
        <v>2.7140217853749289</v>
      </c>
      <c r="BE9" s="13">
        <f>BD9*VLOOKUP('Données projet'!$B$11,Paramètres!$A$1:$I$89,3,0)*VLOOKUP('Données projet'!$B$11,Paramètres!$A$1:$I$89,5,0)</f>
        <v>1.2701621955554667</v>
      </c>
      <c r="BF9" s="13">
        <f t="shared" si="37"/>
        <v>0.56927490371064715</v>
      </c>
      <c r="BG9" s="20">
        <f t="shared" si="7"/>
        <v>3.203686281221815</v>
      </c>
      <c r="BH9" s="59">
        <f t="shared" si="8"/>
        <v>216.03524258090238</v>
      </c>
      <c r="BI9" s="59">
        <f ca="1">AVERAGE(OFFSET($BH$3,0,0,'Données projet'!$E$11+1,1))-AVERAGE(OFFSET($H$3,0,0,'Données projet'!$E$11+1,1))</f>
        <v>308.70979446846718</v>
      </c>
      <c r="BJ9" s="59">
        <f t="shared" si="38"/>
        <v>202.33469175293314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56.044969899912886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56.044969899912886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56.044969899912886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56.044969899912886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56.044969899912886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56.044969899912886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56.044969899912886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3.1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11.366666666666667</v>
      </c>
      <c r="H10" s="67">
        <f t="shared" si="1"/>
        <v>211.20000000000002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56.287058473376007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6.7360323886639675</v>
      </c>
      <c r="N10" s="13">
        <f>IF('Données projet'!$A$36&gt;35,N9+M10-V9,IF(A10&lt;'Données projet'!$A$36,$K$205^A10,IF(A10='Données projet'!$A$36,'Données projet'!$B$36,N9+M10-V9)))</f>
        <v>5.9747712537628903</v>
      </c>
      <c r="O10" s="13">
        <f>N10*VLOOKUP('Données projet'!$B$9,Paramètres!$A$1:$I$89,3,0)*VLOOKUP('Données projet'!$B$9,Paramètres!$A$1:$I$89,5,0)</f>
        <v>3.5729132097502085</v>
      </c>
      <c r="P10" s="13">
        <f t="shared" si="33"/>
        <v>1.4197200527431988</v>
      </c>
      <c r="Q10" s="20">
        <f t="shared" si="2"/>
        <v>8.6955029321760176</v>
      </c>
      <c r="R10" s="59">
        <f t="shared" si="0"/>
        <v>223.63693955677695</v>
      </c>
      <c r="S10" s="59">
        <f ca="1">AVERAGE(OFFSET($R$3,0,0,'Données projet'!$E$9+1,1))-AVERAGE(OFFSET($H$3,0,0,'Données projet'!$E$9+1,1))</f>
        <v>369.06880001017635</v>
      </c>
      <c r="T10" s="59">
        <f t="shared" si="34"/>
        <v>331.91233237772281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56.287058473376007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7.4312217194570129</v>
      </c>
      <c r="AI10" s="13">
        <f>IF('Données projet'!$A$62&gt;35,AI9+AH10-AQ9,IF(A10&lt;'Données projet'!$A$62,$AF$205^A10,IF(A10='Données projet'!$A$62,'Données projet'!$B$62,AI9+AH10-AQ9)))</f>
        <v>7.3337701280605696</v>
      </c>
      <c r="AJ10" s="13">
        <f>AI10*VLOOKUP('Données projet'!$B$10,Paramètres!$A$1:$I$89,3,0)*VLOOKUP('Données projet'!$B$10,Paramètres!$A$1:$I$89,5,0)</f>
        <v>4.3855945365802205</v>
      </c>
      <c r="AK10" s="13">
        <f t="shared" si="35"/>
        <v>1.7015645433219191</v>
      </c>
      <c r="AL10" s="20">
        <f t="shared" si="4"/>
        <v>10.601802064162893</v>
      </c>
      <c r="AM10" s="59">
        <f t="shared" si="5"/>
        <v>225.54323868876381</v>
      </c>
      <c r="AN10" s="59">
        <f ca="1">AVERAGE(OFFSET($AM$3,0,0,'Données projet'!$E$10+1,1))-AVERAGE(OFFSET($H$3,0,0,'Données projet'!$E$10+1,1))</f>
        <v>270.29397440778314</v>
      </c>
      <c r="AO10" s="59">
        <f t="shared" si="36"/>
        <v>281.95928682679596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56.287058473376007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4.9084615384615384</v>
      </c>
      <c r="BD10" s="12">
        <f>IF('Données projet'!$A$88&gt;35,BD9+BC10-BL9,IF(A10&lt;'Données projet'!$A$88,$BA$205^A10,IF(A10='Données projet'!$A$88,'Données projet'!$B$88,BD9+BC10-BL9)))</f>
        <v>3.2053998896536791</v>
      </c>
      <c r="BE10" s="13">
        <f>BD10*VLOOKUP('Données projet'!$B$11,Paramètres!$A$1:$I$89,3,0)*VLOOKUP('Données projet'!$B$11,Paramètres!$A$1:$I$89,5,0)</f>
        <v>1.5001271483579217</v>
      </c>
      <c r="BF10" s="13">
        <f t="shared" si="37"/>
        <v>0.65944537721878049</v>
      </c>
      <c r="BG10" s="20">
        <f t="shared" si="7"/>
        <v>3.7612554820460891</v>
      </c>
      <c r="BH10" s="59">
        <f t="shared" si="8"/>
        <v>218.70269210664702</v>
      </c>
      <c r="BI10" s="59">
        <f ca="1">AVERAGE(OFFSET($BH$3,0,0,'Données projet'!$E$11+1,1))-AVERAGE(OFFSET($H$3,0,0,'Données projet'!$E$11+1,1))</f>
        <v>308.70979446846718</v>
      </c>
      <c r="BJ10" s="59">
        <f t="shared" si="38"/>
        <v>202.33469175293314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56.287058473376007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56.287058473376007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56.287058473376007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56.287058473376007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56.287058473376007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56.287058473376007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56.287058473376007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3.1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11.366666666666667</v>
      </c>
      <c r="H11" s="67">
        <f t="shared" si="1"/>
        <v>211.20000000000002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56.524947351318517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6.7360323886639675</v>
      </c>
      <c r="N11" s="13">
        <f>IF('Données projet'!$A$36&gt;35,N10+M11-V10,IF(A11&lt;'Données projet'!$A$36,$K$205^A11,IF(A11='Données projet'!$A$36,'Données projet'!$B$36,N10+M11-V10)))</f>
        <v>7.7130176153026486</v>
      </c>
      <c r="O11" s="13">
        <f>N11*VLOOKUP('Données projet'!$B$9,Paramètres!$A$1:$I$89,3,0)*VLOOKUP('Données projet'!$B$9,Paramètres!$A$1:$I$89,5,0)</f>
        <v>4.6123845339509844</v>
      </c>
      <c r="P11" s="13">
        <f t="shared" si="33"/>
        <v>1.7790847747516541</v>
      </c>
      <c r="Q11" s="20">
        <f t="shared" si="2"/>
        <v>11.131809045990428</v>
      </c>
      <c r="R11" s="59">
        <f t="shared" si="0"/>
        <v>228.1677271119361</v>
      </c>
      <c r="S11" s="59">
        <f ca="1">AVERAGE(OFFSET($R$3,0,0,'Données projet'!$E$9+1,1))-AVERAGE(OFFSET($H$3,0,0,'Données projet'!$E$9+1,1))</f>
        <v>369.06880001017635</v>
      </c>
      <c r="T11" s="59">
        <f t="shared" si="34"/>
        <v>331.91233237772281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56.524947351318517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7.4312217194570129</v>
      </c>
      <c r="AI11" s="13">
        <f>IF('Données projet'!$A$62&gt;35,AI10+AH11-AQ10,IF(A11&lt;'Données projet'!$A$62,$AF$205^A11,IF(A11='Données projet'!$A$62,'Données projet'!$B$62,AI10+AH11-AQ10)))</f>
        <v>9.748672435120179</v>
      </c>
      <c r="AJ11" s="13">
        <f>AI11*VLOOKUP('Données projet'!$B$10,Paramètres!$A$1:$I$89,3,0)*VLOOKUP('Données projet'!$B$10,Paramètres!$A$1:$I$89,5,0)</f>
        <v>5.8297061162018684</v>
      </c>
      <c r="AK11" s="13">
        <f t="shared" si="35"/>
        <v>2.1881518405377438</v>
      </c>
      <c r="AL11" s="20">
        <f t="shared" si="4"/>
        <v>13.96443594132149</v>
      </c>
      <c r="AM11" s="59">
        <f t="shared" si="5"/>
        <v>231.00035400726716</v>
      </c>
      <c r="AN11" s="59">
        <f ca="1">AVERAGE(OFFSET($AM$3,0,0,'Données projet'!$E$10+1,1))-AVERAGE(OFFSET($H$3,0,0,'Données projet'!$E$10+1,1))</f>
        <v>270.29397440778314</v>
      </c>
      <c r="AO11" s="59">
        <f t="shared" si="36"/>
        <v>281.95928682679596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56.524947351318517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4.9084615384615384</v>
      </c>
      <c r="BD11" s="12">
        <f>IF('Données projet'!$A$88&gt;35,BD10+BC11-BL10,IF(A11&lt;'Données projet'!$A$88,$BA$205^A11,IF(A11='Données projet'!$A$88,'Données projet'!$B$88,BD10+BC11-BL10)))</f>
        <v>3.7857428072090569</v>
      </c>
      <c r="BE11" s="13">
        <f>BD11*VLOOKUP('Données projet'!$B$11,Paramètres!$A$1:$I$89,3,0)*VLOOKUP('Données projet'!$B$11,Paramètres!$A$1:$I$89,5,0)</f>
        <v>1.7717276337738388</v>
      </c>
      <c r="BF11" s="13">
        <f t="shared" si="37"/>
        <v>0.76389843061877893</v>
      </c>
      <c r="BG11" s="20">
        <f t="shared" si="7"/>
        <v>4.4162153954838086</v>
      </c>
      <c r="BH11" s="59">
        <f t="shared" si="8"/>
        <v>221.4521334614295</v>
      </c>
      <c r="BI11" s="59">
        <f ca="1">AVERAGE(OFFSET($BH$3,0,0,'Données projet'!$E$11+1,1))-AVERAGE(OFFSET($H$3,0,0,'Données projet'!$E$11+1,1))</f>
        <v>308.70979446846718</v>
      </c>
      <c r="BJ11" s="59">
        <f t="shared" si="38"/>
        <v>202.33469175293314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56.524947351318517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56.524947351318517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56.524947351318517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56.524947351318517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56.524947351318517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56.524947351318517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56.524947351318517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3.1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11.366666666666667</v>
      </c>
      <c r="H12" s="67">
        <f t="shared" si="1"/>
        <v>211.20000000000002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56.758709389068571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6.7360323886639675</v>
      </c>
      <c r="N12" s="13">
        <f>IF('Données projet'!$A$36&gt;35,N11+M12-V11,IF(A12&lt;'Données projet'!$A$36,$K$205^A12,IF(A12='Données projet'!$A$36,'Données projet'!$B$36,N11+M12-V11)))</f>
        <v>9.9569737831388867</v>
      </c>
      <c r="O12" s="13">
        <f>N12*VLOOKUP('Données projet'!$B$9,Paramètres!$A$1:$I$89,3,0)*VLOOKUP('Données projet'!$B$9,Paramètres!$A$1:$I$89,5,0)</f>
        <v>5.9542703223170541</v>
      </c>
      <c r="P12" s="13">
        <f t="shared" si="33"/>
        <v>2.2294132069469743</v>
      </c>
      <c r="Q12" s="20">
        <f t="shared" si="2"/>
        <v>14.253248813468183</v>
      </c>
      <c r="R12" s="59">
        <f t="shared" si="0"/>
        <v>233.36851657338627</v>
      </c>
      <c r="S12" s="59">
        <f ca="1">AVERAGE(OFFSET($R$3,0,0,'Données projet'!$E$9+1,1))-AVERAGE(OFFSET($H$3,0,0,'Données projet'!$E$9+1,1))</f>
        <v>369.06880001017635</v>
      </c>
      <c r="T12" s="59">
        <f t="shared" si="34"/>
        <v>331.91233237772281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56.758709389068571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7.4312217194570129</v>
      </c>
      <c r="AI12" s="13">
        <f>IF('Données projet'!$A$62&gt;35,AI11+AH12-AQ11,IF(A12&lt;'Données projet'!$A$62,$AF$205^A12,IF(A12='Données projet'!$A$62,'Données projet'!$B$62,AI11+AH12-AQ11)))</f>
        <v>12.958766444511483</v>
      </c>
      <c r="AJ12" s="13">
        <f>AI12*VLOOKUP('Données projet'!$B$10,Paramètres!$A$1:$I$89,3,0)*VLOOKUP('Données projet'!$B$10,Paramètres!$A$1:$I$89,5,0)</f>
        <v>7.7493423338178671</v>
      </c>
      <c r="AK12" s="13">
        <f t="shared" si="35"/>
        <v>2.8138859005026107</v>
      </c>
      <c r="AL12" s="20">
        <f t="shared" si="4"/>
        <v>18.397622508108167</v>
      </c>
      <c r="AM12" s="59">
        <f t="shared" si="5"/>
        <v>237.51289026802624</v>
      </c>
      <c r="AN12" s="59">
        <f ca="1">AVERAGE(OFFSET($AM$3,0,0,'Données projet'!$E$10+1,1))-AVERAGE(OFFSET($H$3,0,0,'Données projet'!$E$10+1,1))</f>
        <v>270.29397440778314</v>
      </c>
      <c r="AO12" s="59">
        <f t="shared" si="36"/>
        <v>281.95928682679596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56.758709389068571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4.9084615384615384</v>
      </c>
      <c r="BD12" s="12">
        <f>IF('Données projet'!$A$88&gt;35,BD11+BC12-BL11,IF(A12&lt;'Données projet'!$A$88,$BA$205^A12,IF(A12='Données projet'!$A$88,'Données projet'!$B$88,BD11+BC12-BL11)))</f>
        <v>4.4711577636834461</v>
      </c>
      <c r="BE12" s="13">
        <f>BD12*VLOOKUP('Données projet'!$B$11,Paramètres!$A$1:$I$89,3,0)*VLOOKUP('Données projet'!$B$11,Paramètres!$A$1:$I$89,5,0)</f>
        <v>2.0925018334038525</v>
      </c>
      <c r="BF12" s="13">
        <f t="shared" si="37"/>
        <v>0.8848963575465858</v>
      </c>
      <c r="BG12" s="20">
        <f t="shared" si="7"/>
        <v>5.1856351825720131</v>
      </c>
      <c r="BH12" s="59">
        <f t="shared" si="8"/>
        <v>224.3009029424901</v>
      </c>
      <c r="BI12" s="59">
        <f ca="1">AVERAGE(OFFSET($BH$3,0,0,'Données projet'!$E$11+1,1))-AVERAGE(OFFSET($H$3,0,0,'Données projet'!$E$11+1,1))</f>
        <v>308.70979446846718</v>
      </c>
      <c r="BJ12" s="59">
        <f t="shared" si="38"/>
        <v>202.33469175293314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56.758709389068571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56.758709389068571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56.758709389068571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56.758709389068571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56.758709389068571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56.758709389068571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56.758709389068571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3.1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11.366666666666667</v>
      </c>
      <c r="H13" s="67">
        <f t="shared" si="1"/>
        <v>211.20000000000002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56.988416178077287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6.7360323886639675</v>
      </c>
      <c r="N13" s="13">
        <f>IF('Données projet'!$A$36&gt;35,N12+M13-V12,IF(A13&lt;'Données projet'!$A$36,$K$205^A13,IF(A13='Données projet'!$A$36,'Données projet'!$B$36,N12+M13-V12)))</f>
        <v>12.853766432662937</v>
      </c>
      <c r="O13" s="13">
        <f>N13*VLOOKUP('Données projet'!$B$9,Paramètres!$A$1:$I$89,3,0)*VLOOKUP('Données projet'!$B$9,Paramètres!$A$1:$I$89,5,0)</f>
        <v>7.6865523267324365</v>
      </c>
      <c r="P13" s="13">
        <f t="shared" si="33"/>
        <v>2.7937304156871372</v>
      </c>
      <c r="Q13" s="20">
        <f t="shared" si="2"/>
        <v>18.25315910971409</v>
      </c>
      <c r="R13" s="59">
        <f t="shared" si="0"/>
        <v>239.43290731821972</v>
      </c>
      <c r="S13" s="59">
        <f ca="1">AVERAGE(OFFSET($R$3,0,0,'Données projet'!$E$9+1,1))-AVERAGE(OFFSET($H$3,0,0,'Données projet'!$E$9+1,1))</f>
        <v>369.06880001017635</v>
      </c>
      <c r="T13" s="59">
        <f t="shared" si="34"/>
        <v>331.91233237772281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56.988416178077287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7.4312217194570129</v>
      </c>
      <c r="AI13" s="13">
        <f>IF('Données projet'!$A$62&gt;35,AI12+AH13-AQ12,IF(A13&lt;'Données projet'!$A$62,$AF$205^A13,IF(A13='Données projet'!$A$62,'Données projet'!$B$62,AI12+AH13-AQ12)))</f>
        <v>17.225897052240693</v>
      </c>
      <c r="AJ13" s="13">
        <f>AI13*VLOOKUP('Données projet'!$B$10,Paramètres!$A$1:$I$89,3,0)*VLOOKUP('Données projet'!$B$10,Paramètres!$A$1:$I$89,5,0)</f>
        <v>10.301086437239935</v>
      </c>
      <c r="AK13" s="13">
        <f t="shared" si="35"/>
        <v>3.6185577775542006</v>
      </c>
      <c r="AL13" s="20">
        <f t="shared" si="4"/>
        <v>24.243380340766453</v>
      </c>
      <c r="AM13" s="59">
        <f t="shared" si="5"/>
        <v>245.42312854927209</v>
      </c>
      <c r="AN13" s="59">
        <f ca="1">AVERAGE(OFFSET($AM$3,0,0,'Données projet'!$E$10+1,1))-AVERAGE(OFFSET($H$3,0,0,'Données projet'!$E$10+1,1))</f>
        <v>270.29397440778314</v>
      </c>
      <c r="AO13" s="59">
        <f t="shared" si="36"/>
        <v>281.95928682679596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56.988416178077287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4.9084615384615384</v>
      </c>
      <c r="BD13" s="12">
        <f>IF('Données projet'!$A$88&gt;35,BD12+BC13-BL12,IF(A13&lt;'Données projet'!$A$88,$BA$205^A13,IF(A13='Données projet'!$A$88,'Données projet'!$B$88,BD12+BC13-BL12)))</f>
        <v>5.2806682243912917</v>
      </c>
      <c r="BE13" s="13">
        <f>BD13*VLOOKUP('Données projet'!$B$11,Paramètres!$A$1:$I$89,3,0)*VLOOKUP('Données projet'!$B$11,Paramètres!$A$1:$I$89,5,0)</f>
        <v>2.4713527290151243</v>
      </c>
      <c r="BF13" s="13">
        <f t="shared" si="37"/>
        <v>1.0250597883345953</v>
      </c>
      <c r="BG13" s="20">
        <f t="shared" si="7"/>
        <v>6.0895851343840945</v>
      </c>
      <c r="BH13" s="59">
        <f t="shared" si="8"/>
        <v>227.26933334288972</v>
      </c>
      <c r="BI13" s="59">
        <f ca="1">AVERAGE(OFFSET($BH$3,0,0,'Données projet'!$E$11+1,1))-AVERAGE(OFFSET($H$3,0,0,'Données projet'!$E$11+1,1))</f>
        <v>308.70979446846718</v>
      </c>
      <c r="BJ13" s="59">
        <f t="shared" si="38"/>
        <v>202.33469175293314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56.988416178077287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56.988416178077287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56.988416178077287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56.988416178077287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56.988416178077287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56.988416178077287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56.988416178077287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3.1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11.366666666666667</v>
      </c>
      <c r="H14" s="67">
        <f t="shared" si="1"/>
        <v>211.20000000000002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57.214138067844146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6.7360323886639675</v>
      </c>
      <c r="N14" s="13">
        <f>IF('Données projet'!$A$36&gt;35,N13+M14-V13,IF(A14&lt;'Données projet'!$A$36,$K$205^A14,IF(A14='Données projet'!$A$36,'Données projet'!$B$36,N13+M14-V13)))</f>
        <v>16.593325954642403</v>
      </c>
      <c r="O14" s="13">
        <f>N14*VLOOKUP('Données projet'!$B$9,Paramètres!$A$1:$I$89,3,0)*VLOOKUP('Données projet'!$B$9,Paramètres!$A$1:$I$89,5,0)</f>
        <v>9.9228089208761574</v>
      </c>
      <c r="P14" s="13">
        <f t="shared" si="33"/>
        <v>3.5008896561726774</v>
      </c>
      <c r="Q14" s="20">
        <f t="shared" si="2"/>
        <v>23.379608355026718</v>
      </c>
      <c r="R14" s="59">
        <f t="shared" si="0"/>
        <v>246.60922571489965</v>
      </c>
      <c r="S14" s="59">
        <f ca="1">AVERAGE(OFFSET($R$3,0,0,'Données projet'!$E$9+1,1))-AVERAGE(OFFSET($H$3,0,0,'Données projet'!$E$9+1,1))</f>
        <v>369.06880001017635</v>
      </c>
      <c r="T14" s="59">
        <f t="shared" si="34"/>
        <v>331.91233237772281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57.214138067844146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7.4312217194570129</v>
      </c>
      <c r="AI14" s="13">
        <f>IF('Données projet'!$A$62&gt;35,AI13+AH14-AQ13,IF(A14&lt;'Données projet'!$A$62,$AF$205^A14,IF(A14='Données projet'!$A$62,'Données projet'!$B$62,AI13+AH14-AQ13)))</f>
        <v>22.89813081553541</v>
      </c>
      <c r="AJ14" s="13">
        <f>AI14*VLOOKUP('Données projet'!$B$10,Paramètres!$A$1:$I$89,3,0)*VLOOKUP('Données projet'!$B$10,Paramètres!$A$1:$I$89,5,0)</f>
        <v>13.693082227690176</v>
      </c>
      <c r="AK14" s="13">
        <f t="shared" si="35"/>
        <v>4.6533373606794726</v>
      </c>
      <c r="AL14" s="20">
        <f t="shared" si="4"/>
        <v>31.953347449743802</v>
      </c>
      <c r="AM14" s="59">
        <f t="shared" si="5"/>
        <v>255.18296480961675</v>
      </c>
      <c r="AN14" s="59">
        <f ca="1">AVERAGE(OFFSET($AM$3,0,0,'Données projet'!$E$10+1,1))-AVERAGE(OFFSET($H$3,0,0,'Données projet'!$E$10+1,1))</f>
        <v>270.29397440778314</v>
      </c>
      <c r="AO14" s="59">
        <f t="shared" si="36"/>
        <v>281.95928682679596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57.214138067844146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4.9084615384615384</v>
      </c>
      <c r="BD14" s="12">
        <f>IF('Données projet'!$A$88&gt;35,BD13+BC14-BL13,IF(A14&lt;'Données projet'!$A$88,$BA$205^A14,IF(A14='Données projet'!$A$88,'Données projet'!$B$88,BD13+BC14-BL13)))</f>
        <v>6.2367418843040729</v>
      </c>
      <c r="BE14" s="13">
        <f>BD14*VLOOKUP('Données projet'!$B$11,Paramètres!$A$1:$I$89,3,0)*VLOOKUP('Données projet'!$B$11,Paramètres!$A$1:$I$89,5,0)</f>
        <v>2.9187952018543064</v>
      </c>
      <c r="BF14" s="13">
        <f t="shared" si="37"/>
        <v>1.1874244488629264</v>
      </c>
      <c r="BG14" s="20">
        <f t="shared" si="7"/>
        <v>7.1516658916658464</v>
      </c>
      <c r="BH14" s="59">
        <f t="shared" si="8"/>
        <v>230.3812832515388</v>
      </c>
      <c r="BI14" s="59">
        <f ca="1">AVERAGE(OFFSET($BH$3,0,0,'Données projet'!$E$11+1,1))-AVERAGE(OFFSET($H$3,0,0,'Données projet'!$E$11+1,1))</f>
        <v>308.70979446846718</v>
      </c>
      <c r="BJ14" s="59">
        <f t="shared" si="38"/>
        <v>202.33469175293314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57.214138067844146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57.214138067844146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57.214138067844146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57.214138067844146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57.214138067844146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57.214138067844146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57.214138067844146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3.1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11.366666666666667</v>
      </c>
      <c r="H15" s="67">
        <f t="shared" si="1"/>
        <v>211.20000000000002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57.435944187462098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6.7360323886639675</v>
      </c>
      <c r="N15" s="13">
        <f>IF('Données projet'!$A$36&gt;35,N14+M15-V14,IF(A15&lt;'Données projet'!$A$36,$K$205^A15,IF(A15='Données projet'!$A$36,'Données projet'!$B$36,N14+M15-V14)))</f>
        <v>21.420839384271193</v>
      </c>
      <c r="O15" s="13">
        <f>N15*VLOOKUP('Données projet'!$B$9,Paramètres!$A$1:$I$89,3,0)*VLOOKUP('Données projet'!$B$9,Paramètres!$A$1:$I$89,5,0)</f>
        <v>12.809661951794174</v>
      </c>
      <c r="P15" s="13">
        <f t="shared" si="33"/>
        <v>4.3870476248805641</v>
      </c>
      <c r="Q15" s="20">
        <f t="shared" si="2"/>
        <v>29.950935846041833</v>
      </c>
      <c r="R15" s="59">
        <f t="shared" si="0"/>
        <v>255.21606453340283</v>
      </c>
      <c r="S15" s="59">
        <f ca="1">AVERAGE(OFFSET($R$3,0,0,'Données projet'!$E$9+1,1))-AVERAGE(OFFSET($H$3,0,0,'Données projet'!$E$9+1,1))</f>
        <v>369.06880001017635</v>
      </c>
      <c r="T15" s="59">
        <f t="shared" si="34"/>
        <v>331.91233237772281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57.435944187462098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7.4312217194570129</v>
      </c>
      <c r="AI15" s="13">
        <f>IF('Données projet'!$A$62&gt;35,AI14+AH15-AQ14,IF(A15&lt;'Données projet'!$A$62,$AF$205^A15,IF(A15='Données projet'!$A$62,'Données projet'!$B$62,AI14+AH15-AQ14)))</f>
        <v>30.438147473844893</v>
      </c>
      <c r="AJ15" s="13">
        <f>AI15*VLOOKUP('Données projet'!$B$10,Paramètres!$A$1:$I$89,3,0)*VLOOKUP('Données projet'!$B$10,Paramètres!$A$1:$I$89,5,0)</f>
        <v>18.202012189359248</v>
      </c>
      <c r="AK15" s="13">
        <f t="shared" si="35"/>
        <v>5.984027317903192</v>
      </c>
      <c r="AL15" s="20">
        <f t="shared" si="4"/>
        <v>42.124018808482084</v>
      </c>
      <c r="AM15" s="59">
        <f t="shared" si="5"/>
        <v>267.38914749584308</v>
      </c>
      <c r="AN15" s="59">
        <f ca="1">AVERAGE(OFFSET($AM$3,0,0,'Données projet'!$E$10+1,1))-AVERAGE(OFFSET($H$3,0,0,'Données projet'!$E$10+1,1))</f>
        <v>270.29397440778314</v>
      </c>
      <c r="AO15" s="59">
        <f t="shared" si="36"/>
        <v>281.95928682679596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57.435944187462098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4.9084615384615384</v>
      </c>
      <c r="BD15" s="12">
        <f>IF('Données projet'!$A$88&gt;35,BD14+BC15-BL14,IF(A15&lt;'Données projet'!$A$88,$BA$205^A15,IF(A15='Données projet'!$A$88,'Données projet'!$B$88,BD14+BC15-BL14)))</f>
        <v>7.3659142514897171</v>
      </c>
      <c r="BE15" s="13">
        <f>BD15*VLOOKUP('Données projet'!$B$11,Paramètres!$A$1:$I$89,3,0)*VLOOKUP('Données projet'!$B$11,Paramètres!$A$1:$I$89,5,0)</f>
        <v>3.447247869697188</v>
      </c>
      <c r="BF15" s="13">
        <f t="shared" si="37"/>
        <v>1.3755069097464061</v>
      </c>
      <c r="BG15" s="20">
        <f t="shared" si="7"/>
        <v>8.3996312408642595</v>
      </c>
      <c r="BH15" s="59">
        <f t="shared" si="8"/>
        <v>233.66475992822527</v>
      </c>
      <c r="BI15" s="59">
        <f ca="1">AVERAGE(OFFSET($BH$3,0,0,'Données projet'!$E$11+1,1))-AVERAGE(OFFSET($H$3,0,0,'Données projet'!$E$11+1,1))</f>
        <v>308.70979446846718</v>
      </c>
      <c r="BJ15" s="59">
        <f t="shared" si="38"/>
        <v>202.33469175293314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57.435944187462098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57.435944187462098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57.435944187462098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57.435944187462098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57.435944187462098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57.435944187462098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57.435944187462098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3.1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11.366666666666667</v>
      </c>
      <c r="H16" s="67">
        <f t="shared" si="1"/>
        <v>211.20000000000002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57.653902466788878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6.7360323886639675</v>
      </c>
      <c r="N16" s="13">
        <f>IF('Données projet'!$A$36&gt;35,N15+M16-V15,IF(A16&lt;'Données projet'!$A$36,$K$205^A16,IF(A16='Données projet'!$A$36,'Données projet'!$B$36,N15+M16-V15)))</f>
        <v>27.652826273708452</v>
      </c>
      <c r="O16" s="13">
        <f>N16*VLOOKUP('Données projet'!$B$9,Paramètres!$A$1:$I$89,3,0)*VLOOKUP('Données projet'!$B$9,Paramètres!$A$1:$I$89,5,0)</f>
        <v>16.536390111677655</v>
      </c>
      <c r="P16" s="13">
        <f t="shared" si="33"/>
        <v>5.4975131332790896</v>
      </c>
      <c r="Q16" s="20">
        <f t="shared" si="2"/>
        <v>38.375714818299656</v>
      </c>
      <c r="R16" s="59">
        <f t="shared" si="0"/>
        <v>265.66224608541444</v>
      </c>
      <c r="S16" s="59">
        <f ca="1">AVERAGE(OFFSET($R$3,0,0,'Données projet'!$E$9+1,1))-AVERAGE(OFFSET($H$3,0,0,'Données projet'!$E$9+1,1))</f>
        <v>369.06880001017635</v>
      </c>
      <c r="T16" s="59">
        <f t="shared" si="34"/>
        <v>331.91233237772281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57.653902466788878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7.4312217194570129</v>
      </c>
      <c r="AI16" s="13">
        <f>IF('Données projet'!$A$62&gt;35,AI15+AH16-AQ15,IF(A16&lt;'Données projet'!$A$62,$AF$205^A16,IF(A16='Données projet'!$A$62,'Données projet'!$B$62,AI15+AH16-AQ15)))</f>
        <v>40.460980378841768</v>
      </c>
      <c r="AJ16" s="13">
        <f>AI16*VLOOKUP('Données projet'!$B$10,Paramètres!$A$1:$I$89,3,0)*VLOOKUP('Données projet'!$B$10,Paramètres!$A$1:$I$89,5,0)</f>
        <v>24.195666266547377</v>
      </c>
      <c r="AK16" s="13">
        <f t="shared" si="35"/>
        <v>7.6952475537219458</v>
      </c>
      <c r="AL16" s="20">
        <f t="shared" si="4"/>
        <v>55.543341570302402</v>
      </c>
      <c r="AM16" s="59">
        <f t="shared" si="5"/>
        <v>282.82987283741716</v>
      </c>
      <c r="AN16" s="59">
        <f ca="1">AVERAGE(OFFSET($AM$3,0,0,'Données projet'!$E$10+1,1))-AVERAGE(OFFSET($H$3,0,0,'Données projet'!$E$10+1,1))</f>
        <v>270.29397440778314</v>
      </c>
      <c r="AO16" s="59">
        <f t="shared" si="36"/>
        <v>281.95928682679596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57.653902466788878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4.9084615384615384</v>
      </c>
      <c r="BD16" s="12">
        <f>IF('Données projet'!$A$88&gt;35,BD15+BC16-BL15,IF(A16&lt;'Données projet'!$A$88,$BA$205^A16,IF(A16='Données projet'!$A$88,'Données projet'!$B$88,BD15+BC16-BL15)))</f>
        <v>8.6995251313584792</v>
      </c>
      <c r="BE16" s="13">
        <f>BD16*VLOOKUP('Données projet'!$B$11,Paramètres!$A$1:$I$89,3,0)*VLOOKUP('Données projet'!$B$11,Paramètres!$A$1:$I$89,5,0)</f>
        <v>4.0713777614757687</v>
      </c>
      <c r="BF16" s="13">
        <f t="shared" si="37"/>
        <v>1.5933807498842545</v>
      </c>
      <c r="BG16" s="20">
        <f t="shared" si="7"/>
        <v>9.8661210739520406</v>
      </c>
      <c r="BH16" s="59">
        <f t="shared" si="8"/>
        <v>237.15265234106681</v>
      </c>
      <c r="BI16" s="59">
        <f ca="1">AVERAGE(OFFSET($BH$3,0,0,'Données projet'!$E$11+1,1))-AVERAGE(OFFSET($H$3,0,0,'Données projet'!$E$11+1,1))</f>
        <v>308.70979446846718</v>
      </c>
      <c r="BJ16" s="59">
        <f t="shared" si="38"/>
        <v>202.33469175293314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57.653902466788878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57.653902466788878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57.653902466788878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57.653902466788878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57.653902466788878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57.653902466788878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57.653902466788878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3.1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11.366666666666667</v>
      </c>
      <c r="H17" s="67">
        <f t="shared" si="1"/>
        <v>211.20000000000002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57.868079657251045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6.7360323886639675</v>
      </c>
      <c r="N17" s="13">
        <f>IF('Données projet'!$A$36&gt;35,N16+M17-V16,IF(A17&lt;'Données projet'!$A$36,$K$205^A17,IF(A17='Données projet'!$A$36,'Données projet'!$B$36,N16+M17-V16)))</f>
        <v>35.697891534791381</v>
      </c>
      <c r="O17" s="13">
        <f>N17*VLOOKUP('Données projet'!$B$9,Paramètres!$A$1:$I$89,3,0)*VLOOKUP('Données projet'!$B$9,Paramètres!$A$1:$I$89,5,0)</f>
        <v>21.347339137805246</v>
      </c>
      <c r="P17" s="13">
        <f t="shared" si="33"/>
        <v>6.8890637245814856</v>
      </c>
      <c r="Q17" s="20">
        <f t="shared" si="2"/>
        <v>49.178401651990221</v>
      </c>
      <c r="R17" s="59">
        <f t="shared" si="0"/>
        <v>278.47247150635513</v>
      </c>
      <c r="S17" s="59">
        <f ca="1">AVERAGE(OFFSET($R$3,0,0,'Données projet'!$E$9+1,1))-AVERAGE(OFFSET($H$3,0,0,'Données projet'!$E$9+1,1))</f>
        <v>369.06880001017635</v>
      </c>
      <c r="T17" s="59">
        <f t="shared" si="34"/>
        <v>331.91233237772281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57.868079657251045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7.4312217194570129</v>
      </c>
      <c r="AI17" s="13">
        <f>IF('Données projet'!$A$62&gt;35,AI16+AH17-AQ16,IF(A17&lt;'Données projet'!$A$62,$AF$205^A17,IF(A17='Données projet'!$A$62,'Données projet'!$B$62,AI16+AH17-AQ16)))</f>
        <v>53.784184291233551</v>
      </c>
      <c r="AJ17" s="13">
        <f>AI17*VLOOKUP('Données projet'!$B$10,Paramètres!$A$1:$I$89,3,0)*VLOOKUP('Données projet'!$B$10,Paramètres!$A$1:$I$89,5,0)</f>
        <v>32.162942206157666</v>
      </c>
      <c r="AK17" s="13">
        <f t="shared" si="35"/>
        <v>9.8958162734145461</v>
      </c>
      <c r="AL17" s="20">
        <f t="shared" si="4"/>
        <v>73.252337685254929</v>
      </c>
      <c r="AM17" s="59">
        <f t="shared" si="5"/>
        <v>302.54640753961985</v>
      </c>
      <c r="AN17" s="59">
        <f ca="1">AVERAGE(OFFSET($AM$3,0,0,'Données projet'!$E$10+1,1))-AVERAGE(OFFSET($H$3,0,0,'Données projet'!$E$10+1,1))</f>
        <v>270.29397440778314</v>
      </c>
      <c r="AO17" s="59">
        <f t="shared" si="36"/>
        <v>281.95928682679596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57.868079657251045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4.9084615384615384</v>
      </c>
      <c r="BD17" s="12">
        <f>IF('Données projet'!$A$88&gt;35,BD16+BC17-BL16,IF(A17&lt;'Données projet'!$A$88,$BA$205^A17,IF(A17='Données projet'!$A$88,'Données projet'!$B$88,BD16+BC17-BL16)))</f>
        <v>10.27458845259182</v>
      </c>
      <c r="BE17" s="13">
        <f>BD17*VLOOKUP('Données projet'!$B$11,Paramètres!$A$1:$I$89,3,0)*VLOOKUP('Données projet'!$B$11,Paramètres!$A$1:$I$89,5,0)</f>
        <v>4.8085073958129714</v>
      </c>
      <c r="BF17" s="13">
        <f t="shared" si="37"/>
        <v>1.8457647839586531</v>
      </c>
      <c r="BG17" s="20">
        <f t="shared" si="7"/>
        <v>11.589524046435578</v>
      </c>
      <c r="BH17" s="59">
        <f t="shared" si="8"/>
        <v>240.88359390080049</v>
      </c>
      <c r="BI17" s="59">
        <f ca="1">AVERAGE(OFFSET($BH$3,0,0,'Données projet'!$E$11+1,1))-AVERAGE(OFFSET($H$3,0,0,'Données projet'!$E$11+1,1))</f>
        <v>308.70979446846718</v>
      </c>
      <c r="BJ17" s="59">
        <f t="shared" si="38"/>
        <v>202.33469175293314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57.868079657251045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57.868079657251045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57.868079657251045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57.868079657251045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57.868079657251045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57.868079657251045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57.868079657251045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3.1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11.366666666666667</v>
      </c>
      <c r="H18" s="67">
        <f t="shared" si="1"/>
        <v>211.20000000000002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58.078541352287161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6.7360323886639675</v>
      </c>
      <c r="N18" s="13">
        <f>IF('Données projet'!$A$36&gt;35,N17+M18-V17,IF(A18&lt;'Données projet'!$A$36,$K$205^A18,IF(A18='Données projet'!$A$36,'Données projet'!$B$36,N17+M18-V17)))</f>
        <v>46.083515927677063</v>
      </c>
      <c r="O18" s="13">
        <f>N18*VLOOKUP('Données projet'!$B$9,Paramètres!$A$1:$I$89,3,0)*VLOOKUP('Données projet'!$B$9,Paramètres!$A$1:$I$89,5,0)</f>
        <v>27.557942524750885</v>
      </c>
      <c r="P18" s="13">
        <f t="shared" si="33"/>
        <v>8.6328486809883493</v>
      </c>
      <c r="Q18" s="20">
        <f t="shared" si="2"/>
        <v>63.032294683329155</v>
      </c>
      <c r="R18" s="59">
        <f t="shared" si="0"/>
        <v>294.32027964171539</v>
      </c>
      <c r="S18" s="59">
        <f ca="1">AVERAGE(OFFSET($R$3,0,0,'Données projet'!$E$9+1,1))-AVERAGE(OFFSET($H$3,0,0,'Données projet'!$E$9+1,1))</f>
        <v>369.06880001017635</v>
      </c>
      <c r="T18" s="59">
        <f t="shared" si="34"/>
        <v>331.91233237772281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58.078541352287161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7.4312217194570129</v>
      </c>
      <c r="AI18" s="13">
        <f>IF('Données projet'!$A$62&gt;35,AI17+AH18-AQ17,IF(A18&lt;'Données projet'!$A$62,$AF$205^A18,IF(A18='Données projet'!$A$62,'Données projet'!$B$62,AI17+AH18-AQ17)))</f>
        <v>71.494522692931866</v>
      </c>
      <c r="AJ18" s="13">
        <f>AI18*VLOOKUP('Données projet'!$B$10,Paramètres!$A$1:$I$89,3,0)*VLOOKUP('Données projet'!$B$10,Paramètres!$A$1:$I$89,5,0)</f>
        <v>42.753724570373258</v>
      </c>
      <c r="AK18" s="13">
        <f t="shared" si="35"/>
        <v>12.725669841487028</v>
      </c>
      <c r="AL18" s="20">
        <f t="shared" si="4"/>
        <v>96.626611933989992</v>
      </c>
      <c r="AM18" s="59">
        <f t="shared" si="5"/>
        <v>327.91459689237627</v>
      </c>
      <c r="AN18" s="59">
        <f ca="1">AVERAGE(OFFSET($AM$3,0,0,'Données projet'!$E$10+1,1))-AVERAGE(OFFSET($H$3,0,0,'Données projet'!$E$10+1,1))</f>
        <v>270.29397440778314</v>
      </c>
      <c r="AO18" s="59">
        <f t="shared" si="36"/>
        <v>281.95928682679596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58.078541352287161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4.9084615384615384</v>
      </c>
      <c r="BD18" s="12">
        <f>IF('Données projet'!$A$88&gt;35,BD17+BC18-BL17,IF(A18&lt;'Données projet'!$A$88,$BA$205^A18,IF(A18='Données projet'!$A$88,'Données projet'!$B$88,BD17+BC18-BL17)))</f>
        <v>12.134819576485119</v>
      </c>
      <c r="BE18" s="13">
        <f>BD18*VLOOKUP('Données projet'!$B$11,Paramètres!$A$1:$I$89,3,0)*VLOOKUP('Données projet'!$B$11,Paramètres!$A$1:$I$89,5,0)</f>
        <v>5.6790955617950356</v>
      </c>
      <c r="BF18" s="13">
        <f t="shared" si="37"/>
        <v>2.1381252647550886</v>
      </c>
      <c r="BG18" s="20">
        <f t="shared" si="7"/>
        <v>13.614992939574798</v>
      </c>
      <c r="BH18" s="59">
        <f t="shared" si="8"/>
        <v>244.90297789796105</v>
      </c>
      <c r="BI18" s="59">
        <f ca="1">AVERAGE(OFFSET($BH$3,0,0,'Données projet'!$E$11+1,1))-AVERAGE(OFFSET($H$3,0,0,'Données projet'!$E$11+1,1))</f>
        <v>308.70979446846718</v>
      </c>
      <c r="BJ18" s="59">
        <f t="shared" si="38"/>
        <v>202.33469175293314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58.078541352287161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58.078541352287161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58.078541352287161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58.078541352287161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58.078541352287161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58.078541352287161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58.078541352287161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3.1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11.366666666666667</v>
      </c>
      <c r="H19" s="67">
        <f t="shared" si="1"/>
        <v>211.20000000000002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58.285352007436259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6.7360323886639675</v>
      </c>
      <c r="N19" s="13">
        <f>IF('Données projet'!$A$36&gt;35,N18+M19-V18,IF(A19&lt;'Données projet'!$A$36,$K$205^A19,IF(A19='Données projet'!$A$36,'Données projet'!$B$36,N18+M19-V18)))</f>
        <v>59.490640733968959</v>
      </c>
      <c r="O19" s="13">
        <f>N19*VLOOKUP('Données projet'!$B$9,Paramètres!$A$1:$I$89,3,0)*VLOOKUP('Données projet'!$B$9,Paramètres!$A$1:$I$89,5,0)</f>
        <v>35.575403158913439</v>
      </c>
      <c r="P19" s="13">
        <f t="shared" si="33"/>
        <v>10.818026850719807</v>
      </c>
      <c r="Q19" s="20">
        <f t="shared" si="2"/>
        <v>80.801890600111236</v>
      </c>
      <c r="R19" s="59">
        <f t="shared" si="0"/>
        <v>314.07040351626642</v>
      </c>
      <c r="S19" s="59">
        <f ca="1">AVERAGE(OFFSET($R$3,0,0,'Données projet'!$E$9+1,1))-AVERAGE(OFFSET($H$3,0,0,'Données projet'!$E$9+1,1))</f>
        <v>369.06880001017635</v>
      </c>
      <c r="T19" s="59">
        <f t="shared" si="34"/>
        <v>331.91233237772281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58.285352007436259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7.4312217194570129</v>
      </c>
      <c r="AI19" s="13">
        <f>IF('Données projet'!$A$62&gt;35,AI18+AH19-AQ18,IF(A19&lt;'Données projet'!$A$62,$AF$205^A19,IF(A19='Données projet'!$A$62,'Données projet'!$B$62,AI18+AH19-AQ18)))</f>
        <v>95.036614247271999</v>
      </c>
      <c r="AJ19" s="13">
        <f>AI19*VLOOKUP('Données projet'!$B$10,Paramètres!$A$1:$I$89,3,0)*VLOOKUP('Données projet'!$B$10,Paramètres!$A$1:$I$89,5,0)</f>
        <v>56.831895319868664</v>
      </c>
      <c r="AK19" s="13">
        <f t="shared" si="35"/>
        <v>16.364761474967661</v>
      </c>
      <c r="AL19" s="20">
        <f t="shared" si="4"/>
        <v>127.4841772510066</v>
      </c>
      <c r="AM19" s="59">
        <f t="shared" si="5"/>
        <v>360.75269016716175</v>
      </c>
      <c r="AN19" s="59">
        <f ca="1">AVERAGE(OFFSET($AM$3,0,0,'Données projet'!$E$10+1,1))-AVERAGE(OFFSET($H$3,0,0,'Données projet'!$E$10+1,1))</f>
        <v>270.29397440778314</v>
      </c>
      <c r="AO19" s="59">
        <f t="shared" si="36"/>
        <v>281.95928682679596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58.285352007436259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4.9084615384615384</v>
      </c>
      <c r="BD19" s="12">
        <f>IF('Données projet'!$A$88&gt;35,BD18+BC19-BL18,IF(A19&lt;'Données projet'!$A$88,$BA$205^A19,IF(A19='Données projet'!$A$88,'Données projet'!$B$88,BD18+BC19-BL18)))</f>
        <v>14.331848602335111</v>
      </c>
      <c r="BE19" s="13">
        <f>BD19*VLOOKUP('Données projet'!$B$11,Paramètres!$A$1:$I$89,3,0)*VLOOKUP('Données projet'!$B$11,Paramètres!$A$1:$I$89,5,0)</f>
        <v>6.7073051458928319</v>
      </c>
      <c r="BF19" s="13">
        <f t="shared" si="37"/>
        <v>2.4767942738506736</v>
      </c>
      <c r="BG19" s="20">
        <f t="shared" si="7"/>
        <v>15.995639822719939</v>
      </c>
      <c r="BH19" s="59">
        <f t="shared" si="8"/>
        <v>249.26415273887511</v>
      </c>
      <c r="BI19" s="59">
        <f ca="1">AVERAGE(OFFSET($BH$3,0,0,'Données projet'!$E$11+1,1))-AVERAGE(OFFSET($H$3,0,0,'Données projet'!$E$11+1,1))</f>
        <v>308.70979446846718</v>
      </c>
      <c r="BJ19" s="59">
        <f t="shared" si="38"/>
        <v>202.33469175293314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58.285352007436259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58.285352007436259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58.285352007436259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58.285352007436259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58.285352007436259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58.285352007436259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58.285352007436259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3.1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11.366666666666667</v>
      </c>
      <c r="H20" s="67">
        <f t="shared" si="1"/>
        <v>211.20000000000002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58.488574960077877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6.7360323886639675</v>
      </c>
      <c r="N20" s="13">
        <f>IF('Données projet'!$A$36&gt;35,N19+M20-V19,IF(A20&lt;'Données projet'!$A$36,$K$205^A20,IF(A20='Données projet'!$A$36,'Données projet'!$B$36,N19+M20-V19)))</f>
        <v>76.798314184456885</v>
      </c>
      <c r="O20" s="13">
        <f>N20*VLOOKUP('Données projet'!$B$9,Paramètres!$A$1:$I$89,3,0)*VLOOKUP('Données projet'!$B$9,Paramètres!$A$1:$I$89,5,0)</f>
        <v>45.92539188230522</v>
      </c>
      <c r="P20" s="13">
        <f t="shared" si="33"/>
        <v>13.556325295104831</v>
      </c>
      <c r="Q20" s="20">
        <f t="shared" si="2"/>
        <v>103.59732408398916</v>
      </c>
      <c r="R20" s="59">
        <f t="shared" si="0"/>
        <v>338.83321004871914</v>
      </c>
      <c r="S20" s="59">
        <f ca="1">AVERAGE(OFFSET($R$3,0,0,'Données projet'!$E$9+1,1))-AVERAGE(OFFSET($H$3,0,0,'Données projet'!$E$9+1,1))</f>
        <v>369.06880001017635</v>
      </c>
      <c r="T20" s="59">
        <f t="shared" si="34"/>
        <v>331.91233237772281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58.488574960077877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126.33076923076922</v>
      </c>
      <c r="AG20" s="12">
        <f>VLOOKUP(A20,'Données projet'!$A$61:$I$81,9,0)</f>
        <v>7.4312217194570129</v>
      </c>
      <c r="AH20" s="12">
        <f t="array" ref="AH20">INDEX(AG:AG,MIN(IF(ISNUMBER(AG20:AG216),ROW(AG20:AG216),"")))</f>
        <v>7.4312217194570129</v>
      </c>
      <c r="AI20" s="13">
        <f>IF('Données projet'!$A$62&gt;35,AI19+AH20-AQ19,IF(A20&lt;'Données projet'!$A$62,$AF$205^A20,IF(A20='Données projet'!$A$62,'Données projet'!$B$62,AI19+AH20-AQ19)))</f>
        <v>126.33076923076922</v>
      </c>
      <c r="AJ20" s="13">
        <f>AI20*VLOOKUP('Données projet'!$B$10,Paramètres!$A$1:$I$89,3,0)*VLOOKUP('Données projet'!$B$10,Paramètres!$A$1:$I$89,5,0)</f>
        <v>75.5458</v>
      </c>
      <c r="AK20" s="13">
        <f t="shared" si="35"/>
        <v>21.044504648353485</v>
      </c>
      <c r="AL20" s="20">
        <f t="shared" si="4"/>
        <v>168.22811392921565</v>
      </c>
      <c r="AM20" s="59">
        <f t="shared" si="5"/>
        <v>403.46399989394564</v>
      </c>
      <c r="AN20" s="59">
        <f ca="1">AVERAGE(OFFSET($AM$3,0,0,'Données projet'!$E$10+1,1))-AVERAGE(OFFSET($H$3,0,0,'Données projet'!$E$10+1,1))</f>
        <v>270.29397440778314</v>
      </c>
      <c r="AO20" s="59">
        <f t="shared" si="36"/>
        <v>281.95928682679596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42.084615384615383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0.25200000000000006</v>
      </c>
      <c r="AT20" s="16">
        <f>IF(ISNA(VLOOKUP(A20,'Données projet'!$A$61:$I$81,7,0)),0%,VLOOKUP(A20,'Données projet'!$A$61:$I$81,7,0))</f>
        <v>0.44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8.3799241086489591</v>
      </c>
      <c r="AW20" s="21">
        <f>EXP(-LN(2)/2)*AW19+(1-EXP(-LN(2)/2))/(LN(2)/2)*AQ20*AT20*VLOOKUP('Données projet'!$B$10,Paramètres!$A$1:$I$89,3,0)*0.475*44/12</f>
        <v>12.537552429129006</v>
      </c>
      <c r="AX20" s="21">
        <f t="shared" si="6"/>
        <v>20.917476537777965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58.488574960077877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4.9084615384615384</v>
      </c>
      <c r="BD20" s="12">
        <f>IF('Données projet'!$A$88&gt;35,BD19+BC20-BL19,IF(A20&lt;'Données projet'!$A$88,$BA$205^A20,IF(A20='Données projet'!$A$88,'Données projet'!$B$88,BD19+BC20-BL19)))</f>
        <v>16.926653343761537</v>
      </c>
      <c r="BE20" s="13">
        <f>BD20*VLOOKUP('Données projet'!$B$11,Paramètres!$A$1:$I$89,3,0)*VLOOKUP('Données projet'!$B$11,Paramètres!$A$1:$I$89,5,0)</f>
        <v>7.9216737648803992</v>
      </c>
      <c r="BF20" s="13">
        <f t="shared" si="37"/>
        <v>2.8691068648319642</v>
      </c>
      <c r="BG20" s="20">
        <f t="shared" si="7"/>
        <v>18.793942930082366</v>
      </c>
      <c r="BH20" s="59">
        <f t="shared" si="8"/>
        <v>254.02982889481234</v>
      </c>
      <c r="BI20" s="59">
        <f ca="1">AVERAGE(OFFSET($BH$3,0,0,'Données projet'!$E$11+1,1))-AVERAGE(OFFSET($H$3,0,0,'Données projet'!$E$11+1,1))</f>
        <v>308.70979446846718</v>
      </c>
      <c r="BJ20" s="59">
        <f t="shared" si="38"/>
        <v>202.33469175293314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58.488574960077877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58.488574960077877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58.488574960077877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58.488574960077877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58.488574960077877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58.488574960077877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58.488574960077877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3.1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11.366666666666667</v>
      </c>
      <c r="H21" s="67">
        <f t="shared" si="1"/>
        <v>211.20000000000002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58.688272448829622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6.7360323886639675</v>
      </c>
      <c r="N21" s="13">
        <f>IF('Données projet'!$A$36&gt;35,N20+M21-V20,IF(A21&lt;'Données projet'!$A$36,$K$205^A21,IF(A21='Données projet'!$A$36,'Données projet'!$B$36,N20+M21-V20)))</f>
        <v>99.141326918115112</v>
      </c>
      <c r="O21" s="13">
        <f>N21*VLOOKUP('Données projet'!$B$9,Paramètres!$A$1:$I$89,3,0)*VLOOKUP('Données projet'!$B$9,Paramètres!$A$1:$I$89,5,0)</f>
        <v>59.286513497032843</v>
      </c>
      <c r="P21" s="13">
        <f t="shared" si="33"/>
        <v>16.987751837061783</v>
      </c>
      <c r="Q21" s="20">
        <f t="shared" si="2"/>
        <v>132.84434545688146</v>
      </c>
      <c r="R21" s="59">
        <f t="shared" si="0"/>
        <v>370.03467776925675</v>
      </c>
      <c r="S21" s="59">
        <f ca="1">AVERAGE(OFFSET($R$3,0,0,'Données projet'!$E$9+1,1))-AVERAGE(OFFSET($H$3,0,0,'Données projet'!$E$9+1,1))</f>
        <v>369.06880001017635</v>
      </c>
      <c r="T21" s="59">
        <f t="shared" si="34"/>
        <v>331.91233237772281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58.688272448829622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14.926923076923075</v>
      </c>
      <c r="AI21" s="13">
        <f>IF('Données projet'!$A$62&gt;35,AI20+AH21-AQ20,IF(A21&lt;'Données projet'!$A$62,$AF$205^A21,IF(A21='Données projet'!$A$62,'Données projet'!$B$62,AI20+AH21-AQ20)))</f>
        <v>99.173076923076934</v>
      </c>
      <c r="AJ21" s="13">
        <f>AI21*VLOOKUP('Données projet'!$B$10,Paramètres!$A$1:$I$89,3,0)*VLOOKUP('Données projet'!$B$10,Paramètres!$A$1:$I$89,5,0)</f>
        <v>59.305500000000016</v>
      </c>
      <c r="AK21" s="13">
        <f t="shared" si="35"/>
        <v>16.992558820122873</v>
      </c>
      <c r="AL21" s="20">
        <f t="shared" si="4"/>
        <v>132.88578577838067</v>
      </c>
      <c r="AM21" s="59">
        <f t="shared" si="5"/>
        <v>370.07611809075593</v>
      </c>
      <c r="AN21" s="59">
        <f ca="1">AVERAGE(OFFSET($AM$3,0,0,'Données projet'!$E$10+1,1))-AVERAGE(OFFSET($H$3,0,0,'Données projet'!$E$10+1,1))</f>
        <v>270.29397440778314</v>
      </c>
      <c r="AO21" s="59">
        <f t="shared" si="36"/>
        <v>281.95928682679596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8.1507746432168968</v>
      </c>
      <c r="AW21" s="21">
        <f>EXP(-LN(2)/2)*AW20+(1-EXP(-LN(2)/2))/(LN(2)/2)*AQ21*AT21*VLOOKUP('Données projet'!$B$10,Paramètres!$A$1:$I$89,3,0)*0.475*44/12</f>
        <v>8.8653883421189921</v>
      </c>
      <c r="AX21" s="21">
        <f t="shared" si="6"/>
        <v>17.016162985335889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58.688272448829622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4.9084615384615384</v>
      </c>
      <c r="BD21" s="12">
        <f>IF('Données projet'!$A$88&gt;35,BD20+BC21-BL20,IF(A21&lt;'Données projet'!$A$88,$BA$205^A21,IF(A21='Données projet'!$A$88,'Données projet'!$B$88,BD20+BC21-BL20)))</f>
        <v>19.991251747746755</v>
      </c>
      <c r="BE21" s="13">
        <f>BD21*VLOOKUP('Données projet'!$B$11,Paramètres!$A$1:$I$89,3,0)*VLOOKUP('Données projet'!$B$11,Paramètres!$A$1:$I$89,5,0)</f>
        <v>9.3559058179454802</v>
      </c>
      <c r="BF21" s="13">
        <f t="shared" si="37"/>
        <v>3.3235599293549551</v>
      </c>
      <c r="BG21" s="20">
        <f t="shared" si="7"/>
        <v>22.083402843214927</v>
      </c>
      <c r="BH21" s="59">
        <f t="shared" si="8"/>
        <v>259.2737351555902</v>
      </c>
      <c r="BI21" s="59">
        <f ca="1">AVERAGE(OFFSET($BH$3,0,0,'Données projet'!$E$11+1,1))-AVERAGE(OFFSET($H$3,0,0,'Données projet'!$E$11+1,1))</f>
        <v>308.70979446846718</v>
      </c>
      <c r="BJ21" s="59">
        <f t="shared" si="38"/>
        <v>202.33469175293314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58.688272448829622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58.688272448829622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58.688272448829622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58.688272448829622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58.688272448829622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58.688272448829622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58.688272448829622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3.1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11.366666666666667</v>
      </c>
      <c r="H22" s="67">
        <f t="shared" si="1"/>
        <v>211.20000000000002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58.884505632608224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127.98461538461538</v>
      </c>
      <c r="L22" s="12">
        <f>VLOOKUP(A22,'Données projet'!$A$35:$I$55,9,0)</f>
        <v>6.7360323886639675</v>
      </c>
      <c r="M22" s="12">
        <f t="array" ref="M22">INDEX(L:L,MIN(IF(ISNUMBER(L22:L218),ROW(L22:L218),"")))</f>
        <v>6.7360323886639675</v>
      </c>
      <c r="N22" s="13">
        <f>IF('Données projet'!$A$36&gt;35,N21+M22-V21,IF(A22&lt;'Données projet'!$A$36,$K$205^A22,IF(A22='Données projet'!$A$36,'Données projet'!$B$36,N21+M22-V21)))</f>
        <v>127.98461538461538</v>
      </c>
      <c r="O22" s="13">
        <f>N22*VLOOKUP('Données projet'!$B$9,Paramètres!$A$1:$I$89,3,0)*VLOOKUP('Données projet'!$B$9,Paramètres!$A$1:$I$89,5,0)</f>
        <v>76.534800000000004</v>
      </c>
      <c r="P22" s="13">
        <f t="shared" si="33"/>
        <v>21.287753590702248</v>
      </c>
      <c r="Q22" s="20">
        <f t="shared" si="2"/>
        <v>170.37428083713976</v>
      </c>
      <c r="R22" s="59">
        <f t="shared" si="0"/>
        <v>409.5063570455921</v>
      </c>
      <c r="S22" s="59">
        <f ca="1">AVERAGE(OFFSET($R$3,0,0,'Données projet'!$E$9+1,1))-AVERAGE(OFFSET($H$3,0,0,'Données projet'!$E$9+1,1))</f>
        <v>369.06880001017635</v>
      </c>
      <c r="T22" s="59">
        <f t="shared" si="34"/>
        <v>331.91233237772281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46.53846153846154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9.2667777110813798</v>
      </c>
      <c r="AB22" s="21">
        <f>EXP(-LN(2)/2)*AB21+(1-EXP(-LN(2)/2))/(LN(2)/2)*V22*Y22*VLOOKUP('Données projet'!$B$9,Paramètres!$A$1:$I$89,3,0)*0.475*44/12</f>
        <v>13.864410929671079</v>
      </c>
      <c r="AC22" s="22">
        <f t="shared" si="3"/>
        <v>23.131188640752459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58.884505632608224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14.926923076923075</v>
      </c>
      <c r="AI22" s="13">
        <f>IF('Données projet'!$A$62&gt;35,AI21+AH22-AQ21,IF(A22&lt;'Données projet'!$A$62,$AF$205^A22,IF(A22='Données projet'!$A$62,'Données projet'!$B$62,AI21+AH22-AQ21)))</f>
        <v>114.10000000000001</v>
      </c>
      <c r="AJ22" s="13">
        <f>AI22*VLOOKUP('Données projet'!$B$10,Paramètres!$A$1:$I$89,3,0)*VLOOKUP('Données projet'!$B$10,Paramètres!$A$1:$I$89,5,0)</f>
        <v>68.231800000000007</v>
      </c>
      <c r="AK22" s="13">
        <f t="shared" si="35"/>
        <v>19.233699497264624</v>
      </c>
      <c r="AL22" s="20">
        <f t="shared" si="4"/>
        <v>152.3357449577359</v>
      </c>
      <c r="AM22" s="59">
        <f t="shared" si="5"/>
        <v>391.46782116618823</v>
      </c>
      <c r="AN22" s="59">
        <f ca="1">AVERAGE(OFFSET($AM$3,0,0,'Données projet'!$E$10+1,1))-AVERAGE(OFFSET($H$3,0,0,'Données projet'!$E$10+1,1))</f>
        <v>270.29397440778314</v>
      </c>
      <c r="AO22" s="59">
        <f t="shared" si="36"/>
        <v>281.95928682679596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7.9278912819675211</v>
      </c>
      <c r="AW22" s="21">
        <f>EXP(-LN(2)/2)*AW21+(1-EXP(-LN(2)/2))/(LN(2)/2)*AQ22*AT22*VLOOKUP('Données projet'!$B$10,Paramètres!$A$1:$I$89,3,0)*0.475*44/12</f>
        <v>6.2687762145645038</v>
      </c>
      <c r="AX22" s="21">
        <f t="shared" si="6"/>
        <v>14.196667496532026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58.884505632608224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4.9084615384615384</v>
      </c>
      <c r="BD22" s="12">
        <f>IF('Données projet'!$A$88&gt;35,BD21+BC22-BL21,IF(A22&lt;'Données projet'!$A$88,$BA$205^A22,IF(A22='Données projet'!$A$88,'Données projet'!$B$88,BD21+BC22-BL21)))</f>
        <v>23.610700728923604</v>
      </c>
      <c r="BE22" s="13">
        <f>BD22*VLOOKUP('Données projet'!$B$11,Paramètres!$A$1:$I$89,3,0)*VLOOKUP('Données projet'!$B$11,Paramètres!$A$1:$I$89,5,0)</f>
        <v>11.049807941136248</v>
      </c>
      <c r="BF22" s="13">
        <f t="shared" si="37"/>
        <v>3.8499962268435248</v>
      </c>
      <c r="BG22" s="20">
        <f t="shared" si="7"/>
        <v>25.950492259231435</v>
      </c>
      <c r="BH22" s="59">
        <f t="shared" si="8"/>
        <v>265.08256846768376</v>
      </c>
      <c r="BI22" s="59">
        <f ca="1">AVERAGE(OFFSET($BH$3,0,0,'Données projet'!$E$11+1,1))-AVERAGE(OFFSET($H$3,0,0,'Données projet'!$E$11+1,1))</f>
        <v>308.70979446846718</v>
      </c>
      <c r="BJ22" s="59">
        <f t="shared" si="38"/>
        <v>202.33469175293314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58.884505632608224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58.884505632608224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58.884505632608224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58.884505632608224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58.884505632608224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58.884505632608224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58.884505632608224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3.1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11.366666666666667</v>
      </c>
      <c r="H23" s="67">
        <f t="shared" si="1"/>
        <v>211.20000000000002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59.077334609359944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15.7</v>
      </c>
      <c r="N23" s="13">
        <f>IF('Données projet'!$A$36&gt;35,N22+M23-V22,IF(A23&lt;'Données projet'!$A$36,$K$205^A23,IF(A23='Données projet'!$A$36,'Données projet'!$B$36,N22+M23-V22)))</f>
        <v>97.146153846153823</v>
      </c>
      <c r="O23" s="13">
        <f>N23*VLOOKUP('Données projet'!$B$9,Paramètres!$A$1:$I$89,3,0)*VLOOKUP('Données projet'!$B$9,Paramètres!$A$1:$I$89,5,0)</f>
        <v>58.093399999999988</v>
      </c>
      <c r="P23" s="13">
        <f t="shared" si="33"/>
        <v>16.68531848887627</v>
      </c>
      <c r="Q23" s="20">
        <f t="shared" si="2"/>
        <v>130.23960136812613</v>
      </c>
      <c r="R23" s="59">
        <f t="shared" si="0"/>
        <v>371.30093938022367</v>
      </c>
      <c r="S23" s="59">
        <f ca="1">AVERAGE(OFFSET($R$3,0,0,'Données projet'!$E$9+1,1))-AVERAGE(OFFSET($H$3,0,0,'Données projet'!$E$9+1,1))</f>
        <v>369.06880001017635</v>
      </c>
      <c r="T23" s="59">
        <f t="shared" si="34"/>
        <v>331.91233237772281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9.0133771872531998</v>
      </c>
      <c r="AB23" s="21">
        <f>EXP(-LN(2)/2)*AB22+(1-EXP(-LN(2)/2))/(LN(2)/2)*V23*Y23*VLOOKUP('Données projet'!$B$9,Paramètres!$A$1:$I$89,3,0)*0.475*44/12</f>
        <v>9.8036189855273062</v>
      </c>
      <c r="AC23" s="22">
        <f t="shared" si="3"/>
        <v>18.816996172780506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59.077334609359944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14.926923076923075</v>
      </c>
      <c r="AI23" s="13">
        <f>IF('Données projet'!$A$62&gt;35,AI22+AH23-AQ22,IF(A23&lt;'Données projet'!$A$62,$AF$205^A23,IF(A23='Données projet'!$A$62,'Données projet'!$B$62,AI22+AH23-AQ22)))</f>
        <v>129.02692307692308</v>
      </c>
      <c r="AJ23" s="13">
        <f>AI23*VLOOKUP('Données projet'!$B$10,Paramètres!$A$1:$I$89,3,0)*VLOOKUP('Données projet'!$B$10,Paramètres!$A$1:$I$89,5,0)</f>
        <v>77.158100000000005</v>
      </c>
      <c r="AK23" s="13">
        <f t="shared" si="35"/>
        <v>21.440868838738705</v>
      </c>
      <c r="AL23" s="20">
        <f t="shared" si="4"/>
        <v>171.72653739413659</v>
      </c>
      <c r="AM23" s="59">
        <f t="shared" si="5"/>
        <v>412.78787540623409</v>
      </c>
      <c r="AN23" s="59">
        <f ca="1">AVERAGE(OFFSET($AM$3,0,0,'Données projet'!$E$10+1,1))-AVERAGE(OFFSET($H$3,0,0,'Données projet'!$E$10+1,1))</f>
        <v>270.29397440778314</v>
      </c>
      <c r="AO23" s="59">
        <f t="shared" si="36"/>
        <v>281.95928682679596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7.7111026779524359</v>
      </c>
      <c r="AW23" s="21">
        <f>EXP(-LN(2)/2)*AW22+(1-EXP(-LN(2)/2))/(LN(2)/2)*AQ23*AT23*VLOOKUP('Données projet'!$B$10,Paramètres!$A$1:$I$89,3,0)*0.475*44/12</f>
        <v>4.4326941710594969</v>
      </c>
      <c r="AX23" s="21">
        <f t="shared" si="6"/>
        <v>12.143796849011933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59.077334609359944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4.9084615384615384</v>
      </c>
      <c r="BD23" s="12">
        <f>IF('Données projet'!$A$88&gt;35,BD22+BC23-BL22,IF(A23&lt;'Données projet'!$A$88,$BA$205^A23,IF(A23='Données projet'!$A$88,'Données projet'!$B$88,BD22+BC23-BL22)))</f>
        <v>27.885456896095882</v>
      </c>
      <c r="BE23" s="13">
        <f>BD23*VLOOKUP('Données projet'!$B$11,Paramètres!$A$1:$I$89,3,0)*VLOOKUP('Données projet'!$B$11,Paramètres!$A$1:$I$89,5,0)</f>
        <v>13.050393827372874</v>
      </c>
      <c r="BF23" s="13">
        <f t="shared" si="37"/>
        <v>4.459817563628576</v>
      </c>
      <c r="BG23" s="20">
        <f t="shared" si="7"/>
        <v>30.49695150599419</v>
      </c>
      <c r="BH23" s="59">
        <f t="shared" si="8"/>
        <v>271.55828951809173</v>
      </c>
      <c r="BI23" s="59">
        <f ca="1">AVERAGE(OFFSET($BH$3,0,0,'Données projet'!$E$11+1,1))-AVERAGE(OFFSET($H$3,0,0,'Données projet'!$E$11+1,1))</f>
        <v>308.70979446846718</v>
      </c>
      <c r="BJ23" s="59">
        <f t="shared" si="38"/>
        <v>202.33469175293314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59.077334609359944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59.077334609359944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59.077334609359944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59.077334609359944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59.077334609359944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59.077334609359944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59.077334609359944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3.1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11.366666666666667</v>
      </c>
      <c r="H24" s="67">
        <f t="shared" si="1"/>
        <v>211.20000000000002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59.266818434466032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15.7</v>
      </c>
      <c r="N24" s="13">
        <f>IF('Données projet'!$A$36&gt;35,N23+M24-V23,IF(A24&lt;'Données projet'!$A$36,$K$205^A24,IF(A24='Données projet'!$A$36,'Données projet'!$B$36,N23+M24-V23)))</f>
        <v>112.84615384615383</v>
      </c>
      <c r="O24" s="13">
        <f>N24*VLOOKUP('Données projet'!$B$9,Paramètres!$A$1:$I$89,3,0)*VLOOKUP('Données projet'!$B$9,Paramètres!$A$1:$I$89,5,0)</f>
        <v>67.481999999999985</v>
      </c>
      <c r="P24" s="13">
        <f t="shared" si="33"/>
        <v>19.046822454976283</v>
      </c>
      <c r="Q24" s="20">
        <f t="shared" si="2"/>
        <v>150.70436577575032</v>
      </c>
      <c r="R24" s="59">
        <f t="shared" si="0"/>
        <v>393.68270003545911</v>
      </c>
      <c r="S24" s="59">
        <f ca="1">AVERAGE(OFFSET($R$3,0,0,'Données projet'!$E$9+1,1))-AVERAGE(OFFSET($H$3,0,0,'Données projet'!$E$9+1,1))</f>
        <v>369.06880001017635</v>
      </c>
      <c r="T24" s="59">
        <f t="shared" si="34"/>
        <v>331.91233237772281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8.7669059140748544</v>
      </c>
      <c r="AB24" s="21">
        <f>EXP(-LN(2)/2)*AB23+(1-EXP(-LN(2)/2))/(LN(2)/2)*V24*Y24*VLOOKUP('Données projet'!$B$9,Paramètres!$A$1:$I$89,3,0)*0.475*44/12</f>
        <v>6.9322054648355405</v>
      </c>
      <c r="AC24" s="22">
        <f t="shared" si="3"/>
        <v>15.699111378910395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59.266818434466032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14.926923076923075</v>
      </c>
      <c r="AI24" s="13">
        <f>IF('Données projet'!$A$62&gt;35,AI23+AH24-AQ23,IF(A24&lt;'Données projet'!$A$62,$AF$205^A24,IF(A24='Données projet'!$A$62,'Données projet'!$B$62,AI23+AH24-AQ23)))</f>
        <v>143.95384615384614</v>
      </c>
      <c r="AJ24" s="13">
        <f>AI24*VLOOKUP('Données projet'!$B$10,Paramètres!$A$1:$I$89,3,0)*VLOOKUP('Données projet'!$B$10,Paramètres!$A$1:$I$89,5,0)</f>
        <v>86.084400000000002</v>
      </c>
      <c r="AK24" s="13">
        <f t="shared" si="35"/>
        <v>23.618445758177199</v>
      </c>
      <c r="AL24" s="20">
        <f t="shared" si="4"/>
        <v>191.06578969549196</v>
      </c>
      <c r="AM24" s="59">
        <f t="shared" si="5"/>
        <v>434.04412395520069</v>
      </c>
      <c r="AN24" s="59">
        <f ca="1">AVERAGE(OFFSET($AM$3,0,0,'Données projet'!$E$10+1,1))-AVERAGE(OFFSET($H$3,0,0,'Données projet'!$E$10+1,1))</f>
        <v>270.29397440778314</v>
      </c>
      <c r="AO24" s="59">
        <f t="shared" si="36"/>
        <v>281.95928682679596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7.5002421697145607</v>
      </c>
      <c r="AW24" s="21">
        <f>EXP(-LN(2)/2)*AW23+(1-EXP(-LN(2)/2))/(LN(2)/2)*AQ24*AT24*VLOOKUP('Données projet'!$B$10,Paramètres!$A$1:$I$89,3,0)*0.475*44/12</f>
        <v>3.1343881072822524</v>
      </c>
      <c r="AX24" s="21">
        <f t="shared" si="6"/>
        <v>10.634630276996813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59.266818434466032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4.9084615384615384</v>
      </c>
      <c r="BD24" s="12">
        <f>IF('Données projet'!$A$88&gt;35,BD23+BC24-BL23,IF(A24&lt;'Données projet'!$A$88,$BA$205^A24,IF(A24='Données projet'!$A$88,'Données projet'!$B$88,BD23+BC24-BL23)))</f>
        <v>32.934164692174789</v>
      </c>
      <c r="BE24" s="13">
        <f>BD24*VLOOKUP('Données projet'!$B$11,Paramètres!$A$1:$I$89,3,0)*VLOOKUP('Données projet'!$B$11,Paramètres!$A$1:$I$89,5,0)</f>
        <v>15.413189075937803</v>
      </c>
      <c r="BF24" s="13">
        <f t="shared" si="37"/>
        <v>5.166231738662507</v>
      </c>
      <c r="BG24" s="20">
        <f t="shared" si="7"/>
        <v>35.842491252095542</v>
      </c>
      <c r="BH24" s="59">
        <f t="shared" si="8"/>
        <v>278.82082551180429</v>
      </c>
      <c r="BI24" s="59">
        <f ca="1">AVERAGE(OFFSET($BH$3,0,0,'Données projet'!$E$11+1,1))-AVERAGE(OFFSET($H$3,0,0,'Données projet'!$E$11+1,1))</f>
        <v>308.70979446846718</v>
      </c>
      <c r="BJ24" s="59">
        <f t="shared" si="38"/>
        <v>202.33469175293314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59.266818434466032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59.266818434466032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59.266818434466032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59.266818434466032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59.266818434466032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59.266818434466032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59.266818434466032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3.1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11.366666666666667</v>
      </c>
      <c r="H25" s="67">
        <f t="shared" si="1"/>
        <v>211.20000000000002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59.453015138828896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15.7</v>
      </c>
      <c r="N25" s="13">
        <f>IF('Données projet'!$A$36&gt;35,N24+M25-V24,IF(A25&lt;'Données projet'!$A$36,$K$205^A25,IF(A25='Données projet'!$A$36,'Données projet'!$B$36,N24+M25-V24)))</f>
        <v>128.54615384615383</v>
      </c>
      <c r="O25" s="13">
        <f>N25*VLOOKUP('Données projet'!$B$9,Paramètres!$A$1:$I$89,3,0)*VLOOKUP('Données projet'!$B$9,Paramètres!$A$1:$I$89,5,0)</f>
        <v>76.870599999999996</v>
      </c>
      <c r="P25" s="13">
        <f t="shared" si="33"/>
        <v>21.370261683634599</v>
      </c>
      <c r="Q25" s="20">
        <f t="shared" si="2"/>
        <v>171.10283409899691</v>
      </c>
      <c r="R25" s="59">
        <f t="shared" si="0"/>
        <v>415.98611183025844</v>
      </c>
      <c r="S25" s="59">
        <f ca="1">AVERAGE(OFFSET($R$3,0,0,'Données projet'!$E$9+1,1))-AVERAGE(OFFSET($H$3,0,0,'Données projet'!$E$9+1,1))</f>
        <v>369.06880001017635</v>
      </c>
      <c r="T25" s="59">
        <f t="shared" si="34"/>
        <v>331.91233237772281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8.5271744108229317</v>
      </c>
      <c r="AB25" s="21">
        <f>EXP(-LN(2)/2)*AB24+(1-EXP(-LN(2)/2))/(LN(2)/2)*V25*Y25*VLOOKUP('Données projet'!$B$9,Paramètres!$A$1:$I$89,3,0)*0.475*44/12</f>
        <v>4.901809492763654</v>
      </c>
      <c r="AC25" s="22">
        <f t="shared" si="3"/>
        <v>13.428983903586586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59.453015138828896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14.926923076923075</v>
      </c>
      <c r="AI25" s="13">
        <f>IF('Données projet'!$A$62&gt;35,AI24+AH25-AQ24,IF(A25&lt;'Données projet'!$A$62,$AF$205^A25,IF(A25='Données projet'!$A$62,'Données projet'!$B$62,AI24+AH25-AQ24)))</f>
        <v>158.8807692307692</v>
      </c>
      <c r="AJ25" s="13">
        <f>AI25*VLOOKUP('Données projet'!$B$10,Paramètres!$A$1:$I$89,3,0)*VLOOKUP('Données projet'!$B$10,Paramètres!$A$1:$I$89,5,0)</f>
        <v>95.0107</v>
      </c>
      <c r="AK25" s="13">
        <f t="shared" si="35"/>
        <v>25.769848277327686</v>
      </c>
      <c r="AL25" s="20">
        <f t="shared" si="4"/>
        <v>210.3594549163457</v>
      </c>
      <c r="AM25" s="59">
        <f t="shared" si="5"/>
        <v>455.24273264760723</v>
      </c>
      <c r="AN25" s="59">
        <f ca="1">AVERAGE(OFFSET($AM$3,0,0,'Données projet'!$E$10+1,1))-AVERAGE(OFFSET($H$3,0,0,'Données projet'!$E$10+1,1))</f>
        <v>270.29397440778314</v>
      </c>
      <c r="AO25" s="59">
        <f t="shared" si="36"/>
        <v>281.95928682679596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7.2951476531631227</v>
      </c>
      <c r="AW25" s="21">
        <f>EXP(-LN(2)/2)*AW24+(1-EXP(-LN(2)/2))/(LN(2)/2)*AQ25*AT25*VLOOKUP('Données projet'!$B$10,Paramètres!$A$1:$I$89,3,0)*0.475*44/12</f>
        <v>2.2163470855297485</v>
      </c>
      <c r="AX25" s="21">
        <f t="shared" si="6"/>
        <v>9.5114947386928712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59.453015138828896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4.9084615384615384</v>
      </c>
      <c r="BD25" s="12">
        <f>IF('Données projet'!$A$88&gt;35,BD24+BC25-BL24,IF(A25&lt;'Données projet'!$A$88,$BA$205^A25,IF(A25='Données projet'!$A$88,'Données projet'!$B$88,BD24+BC25-BL24)))</f>
        <v>38.896949331432715</v>
      </c>
      <c r="BE25" s="13">
        <f>BD25*VLOOKUP('Données projet'!$B$11,Paramètres!$A$1:$I$89,3,0)*VLOOKUP('Données projet'!$B$11,Paramètres!$A$1:$I$89,5,0)</f>
        <v>18.20377228711051</v>
      </c>
      <c r="BF25" s="13">
        <f t="shared" si="37"/>
        <v>5.9845386042761088</v>
      </c>
      <c r="BG25" s="20">
        <f t="shared" si="7"/>
        <v>42.127974802498365</v>
      </c>
      <c r="BH25" s="59">
        <f t="shared" si="8"/>
        <v>287.01125253375989</v>
      </c>
      <c r="BI25" s="59">
        <f ca="1">AVERAGE(OFFSET($BH$3,0,0,'Données projet'!$E$11+1,1))-AVERAGE(OFFSET($H$3,0,0,'Données projet'!$E$11+1,1))</f>
        <v>308.70979446846718</v>
      </c>
      <c r="BJ25" s="59">
        <f t="shared" si="38"/>
        <v>202.33469175293314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59.453015138828896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59.453015138828896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59.453015138828896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59.453015138828896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59.453015138828896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59.453015138828896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59.453015138828896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3.1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11.366666666666667</v>
      </c>
      <c r="H26" s="67">
        <f t="shared" si="1"/>
        <v>211.20000000000002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59.635981746644532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</v>
      </c>
      <c r="N26" s="13">
        <f>IF('Données projet'!$A$36&gt;35,N25+M26-V25,IF(A26&lt;'Données projet'!$A$36,$K$205^A26,IF(A26='Données projet'!$A$36,'Données projet'!$B$36,N25+M26-V25)))</f>
        <v>144.24615384615382</v>
      </c>
      <c r="O26" s="13">
        <f>N26*VLOOKUP('Données projet'!$B$9,Paramètres!$A$1:$I$89,3,0)*VLOOKUP('Données projet'!$B$9,Paramètres!$A$1:$I$89,5,0)</f>
        <v>86.259199999999993</v>
      </c>
      <c r="P26" s="13">
        <f t="shared" si="33"/>
        <v>23.660817147545782</v>
      </c>
      <c r="Q26" s="20">
        <f t="shared" si="2"/>
        <v>191.44402986530886</v>
      </c>
      <c r="R26" s="59">
        <f t="shared" si="0"/>
        <v>438.22040738078329</v>
      </c>
      <c r="S26" s="59">
        <f ca="1">AVERAGE(OFFSET($R$3,0,0,'Données projet'!$E$9+1,1))-AVERAGE(OFFSET($H$3,0,0,'Données projet'!$E$9+1,1))</f>
        <v>369.06880001017635</v>
      </c>
      <c r="T26" s="59">
        <f t="shared" si="34"/>
        <v>331.91233237772281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8.2939983781343649</v>
      </c>
      <c r="AB26" s="21">
        <f>EXP(-LN(2)/2)*AB25+(1-EXP(-LN(2)/2))/(LN(2)/2)*V26*Y26*VLOOKUP('Données projet'!$B$9,Paramètres!$A$1:$I$89,3,0)*0.475*44/12</f>
        <v>3.4661027324177707</v>
      </c>
      <c r="AC26" s="22">
        <f t="shared" si="3"/>
        <v>11.760101110552135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59.635981746644532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>
        <f>VLOOKUP(A26,'Données projet'!$A$61:$I$81,2,0)</f>
        <v>173.80769230769229</v>
      </c>
      <c r="AG26" s="12">
        <f>VLOOKUP(A26,'Données projet'!$A$61:$I$81,9,0)</f>
        <v>14.926923076923075</v>
      </c>
      <c r="AH26" s="12">
        <f t="array" ref="AH26">INDEX(AG:AG,MIN(IF(ISNUMBER(AG26:AG222),ROW(AG26:AG222),"")))</f>
        <v>14.926923076923075</v>
      </c>
      <c r="AI26" s="13">
        <f>IF('Données projet'!$A$62&gt;35,AI25+AH26-AQ25,IF(A26&lt;'Données projet'!$A$62,$AF$205^A26,IF(A26='Données projet'!$A$62,'Données projet'!$B$62,AI25+AH26-AQ25)))</f>
        <v>173.80769230769226</v>
      </c>
      <c r="AJ26" s="13">
        <f>AI26*VLOOKUP('Données projet'!$B$10,Paramètres!$A$1:$I$89,3,0)*VLOOKUP('Données projet'!$B$10,Paramètres!$A$1:$I$89,5,0)</f>
        <v>103.93699999999998</v>
      </c>
      <c r="AK26" s="13">
        <f t="shared" si="35"/>
        <v>27.897815230264825</v>
      </c>
      <c r="AL26" s="20">
        <f t="shared" si="4"/>
        <v>229.61230319271121</v>
      </c>
      <c r="AM26" s="59">
        <f t="shared" si="5"/>
        <v>476.38868070818563</v>
      </c>
      <c r="AN26" s="59">
        <f ca="1">AVERAGE(OFFSET($AM$3,0,0,'Données projet'!$E$10+1,1))-AVERAGE(OFFSET($H$3,0,0,'Données projet'!$E$10+1,1))</f>
        <v>270.29397440778314</v>
      </c>
      <c r="AO26" s="59">
        <f t="shared" si="36"/>
        <v>281.95928682679596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54.099999999999994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0.25200000000000006</v>
      </c>
      <c r="AT26" s="16">
        <f>IF(ISNA(VLOOKUP(A26,'Données projet'!$A$61:$I$81,7,0)),0%,VLOOKUP(A26,'Données projet'!$A$61:$I$81,7,0))</f>
        <v>0.44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17.868099083734933</v>
      </c>
      <c r="AW26" s="21">
        <f>EXP(-LN(2)/2)*AW25+(1-EXP(-LN(2)/2))/(LN(2)/2)*AQ26*AT26*VLOOKUP('Données projet'!$B$10,Paramètres!$A$1:$I$89,3,0)*0.475*44/12</f>
        <v>17.684285304612487</v>
      </c>
      <c r="AX26" s="21">
        <f t="shared" si="6"/>
        <v>35.55238438834742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59.635981746644532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4.9084615384615384</v>
      </c>
      <c r="BD26" s="12">
        <f>IF('Données projet'!$A$88&gt;35,BD25+BC26-BL25,IF(A26&lt;'Données projet'!$A$88,$BA$205^A26,IF(A26='Données projet'!$A$88,'Données projet'!$B$88,BD25+BC26-BL25)))</f>
        <v>45.939305928458197</v>
      </c>
      <c r="BE26" s="13">
        <f>BD26*VLOOKUP('Données projet'!$B$11,Paramètres!$A$1:$I$89,3,0)*VLOOKUP('Données projet'!$B$11,Paramètres!$A$1:$I$89,5,0)</f>
        <v>21.499595174518436</v>
      </c>
      <c r="BF26" s="13">
        <f t="shared" si="37"/>
        <v>6.9324614376170377</v>
      </c>
      <c r="BG26" s="20">
        <f t="shared" si="7"/>
        <v>49.51916526613595</v>
      </c>
      <c r="BH26" s="59">
        <f t="shared" si="8"/>
        <v>296.29554278161038</v>
      </c>
      <c r="BI26" s="59">
        <f ca="1">AVERAGE(OFFSET($BH$3,0,0,'Données projet'!$E$11+1,1))-AVERAGE(OFFSET($H$3,0,0,'Données projet'!$E$11+1,1))</f>
        <v>308.70979446846718</v>
      </c>
      <c r="BJ26" s="59">
        <f t="shared" si="38"/>
        <v>202.33469175293314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59.635981746644532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59.635981746644532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59.635981746644532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59.635981746644532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59.635981746644532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59.635981746644532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59.635981746644532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3.1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11.366666666666667</v>
      </c>
      <c r="H27" s="67">
        <f t="shared" si="1"/>
        <v>211.20000000000002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59.815774292866621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159.94615384615383</v>
      </c>
      <c r="L27" s="12">
        <f>VLOOKUP(A27,'Données projet'!$A$35:$I$55,9,0)</f>
        <v>15.7</v>
      </c>
      <c r="M27" s="12">
        <f t="array" ref="M27">INDEX(L:L,MIN(IF(ISNUMBER(L27:L223),ROW(L27:L223),"")))</f>
        <v>15.7</v>
      </c>
      <c r="N27" s="13">
        <f>IF('Données projet'!$A$36&gt;35,N26+M27-V26,IF(A27&lt;'Données projet'!$A$36,$K$205^A27,IF(A27='Données projet'!$A$36,'Données projet'!$B$36,N26+M27-V26)))</f>
        <v>159.94615384615381</v>
      </c>
      <c r="O27" s="13">
        <f>N27*VLOOKUP('Données projet'!$B$9,Paramètres!$A$1:$I$89,3,0)*VLOOKUP('Données projet'!$B$9,Paramètres!$A$1:$I$89,5,0)</f>
        <v>95.647799999999989</v>
      </c>
      <c r="P27" s="13">
        <f t="shared" si="33"/>
        <v>25.922476046044615</v>
      </c>
      <c r="Q27" s="20">
        <f t="shared" si="2"/>
        <v>211.73489744686097</v>
      </c>
      <c r="R27" s="59">
        <f t="shared" si="0"/>
        <v>460.39273652070523</v>
      </c>
      <c r="S27" s="59">
        <f ca="1">AVERAGE(OFFSET($R$3,0,0,'Données projet'!$E$9+1,1))-AVERAGE(OFFSET($H$3,0,0,'Données projet'!$E$9+1,1))</f>
        <v>369.06880001017635</v>
      </c>
      <c r="T27" s="59">
        <f t="shared" si="34"/>
        <v>331.91233237772281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40.41538461538461</v>
      </c>
      <c r="W27" s="16">
        <f>IF(ISNA(VLOOKUP(A27,'Données projet'!$A$35:$I$55,5,0)),0%,VLOOKUP(A27,'Données projet'!$A$35:$I$55,5,0)*VLOOKUP('Données projet'!$B$9,Paramètres!$A$1:$I$89,7,0))</f>
        <v>0.315</v>
      </c>
      <c r="X27" s="16">
        <f>IF(ISNA(VLOOKUP(A27,'Données projet'!$A$35:$I$55,6,0)),0%,VLOOKUP(A27,'Données projet'!$A$35:$I$55,6,0)*VLOOKUP('Données projet'!$B$9,Paramètres!$A$1:$I$89,7,0))</f>
        <v>7.5600000000000001E-2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10.099196221226169</v>
      </c>
      <c r="AA27" s="21">
        <f>EXP(-LN(2)/25)*AA26+(1-EXP(-LN(2)/25))/(LN(2)/25)*Calculateur!V27*Calculateur!X27*VLOOKUP('Données projet'!$B$9,Paramètres!$A$1:$I$89,3,0)*0.475*44/12</f>
        <v>10.481462197347724</v>
      </c>
      <c r="AB27" s="21">
        <f>EXP(-LN(2)/2)*AB26+(1-EXP(-LN(2)/2))/(LN(2)/2)*V27*Y27*VLOOKUP('Données projet'!$B$9,Paramètres!$A$1:$I$89,3,0)*0.475*44/12</f>
        <v>6.0629848302409268</v>
      </c>
      <c r="AC27" s="22">
        <f t="shared" si="3"/>
        <v>26.643643248814818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59.815774292866621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15.073076923076925</v>
      </c>
      <c r="AI27" s="13">
        <f>IF('Données projet'!$A$62&gt;35,AI26+AH27-AQ26,IF(A27&lt;'Données projet'!$A$62,$AF$205^A27,IF(A27='Données projet'!$A$62,'Données projet'!$B$62,AI26+AH27-AQ26)))</f>
        <v>134.78076923076921</v>
      </c>
      <c r="AJ27" s="13">
        <f>AI27*VLOOKUP('Données projet'!$B$10,Paramètres!$A$1:$I$89,3,0)*VLOOKUP('Données projet'!$B$10,Paramètres!$A$1:$I$89,5,0)</f>
        <v>80.598899999999986</v>
      </c>
      <c r="AK27" s="13">
        <f t="shared" si="35"/>
        <v>22.283554667877272</v>
      </c>
      <c r="AL27" s="20">
        <f t="shared" si="4"/>
        <v>179.18694187988618</v>
      </c>
      <c r="AM27" s="59">
        <f t="shared" si="5"/>
        <v>427.84478095373044</v>
      </c>
      <c r="AN27" s="59">
        <f ca="1">AVERAGE(OFFSET($AM$3,0,0,'Données projet'!$E$10+1,1))-AVERAGE(OFFSET($H$3,0,0,'Données projet'!$E$10+1,1))</f>
        <v>270.29397440778314</v>
      </c>
      <c r="AO27" s="59">
        <f t="shared" si="36"/>
        <v>281.95928682679596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17.379494974647709</v>
      </c>
      <c r="AW27" s="21">
        <f>EXP(-LN(2)/2)*AW26+(1-EXP(-LN(2)/2))/(LN(2)/2)*AQ27*AT27*VLOOKUP('Données projet'!$B$10,Paramètres!$A$1:$I$89,3,0)*0.475*44/12</f>
        <v>12.5046780593291</v>
      </c>
      <c r="AX27" s="21">
        <f t="shared" si="6"/>
        <v>29.884173033976808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59.815774292866621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4.9084615384615384</v>
      </c>
      <c r="BD27" s="12">
        <f>IF('Données projet'!$A$88&gt;35,BD26+BC27-BL26,IF(A27&lt;'Données projet'!$A$88,$BA$205^A27,IF(A27='Données projet'!$A$88,'Données projet'!$B$88,BD26+BC27-BL26)))</f>
        <v>54.256692760299323</v>
      </c>
      <c r="BE27" s="13">
        <f>BD27*VLOOKUP('Données projet'!$B$11,Paramètres!$A$1:$I$89,3,0)*VLOOKUP('Données projet'!$B$11,Paramètres!$A$1:$I$89,5,0)</f>
        <v>25.392132211820083</v>
      </c>
      <c r="BF27" s="13">
        <f t="shared" si="37"/>
        <v>8.0305307997692346</v>
      </c>
      <c r="BG27" s="20">
        <f t="shared" si="7"/>
        <v>58.211138078518069</v>
      </c>
      <c r="BH27" s="59">
        <f t="shared" si="8"/>
        <v>306.86897715236233</v>
      </c>
      <c r="BI27" s="59">
        <f ca="1">AVERAGE(OFFSET($BH$3,0,0,'Données projet'!$E$11+1,1))-AVERAGE(OFFSET($H$3,0,0,'Données projet'!$E$11+1,1))</f>
        <v>308.70979446846718</v>
      </c>
      <c r="BJ27" s="59">
        <f t="shared" si="38"/>
        <v>202.33469175293314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59.815774292866621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59.815774292866621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59.815774292866621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59.815774292866621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59.815774292866621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59.815774292866621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59.815774292866621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3.1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11.366666666666667</v>
      </c>
      <c r="H28" s="67">
        <f t="shared" si="1"/>
        <v>211.20000000000002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59.992447840367674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16.020512820512824</v>
      </c>
      <c r="N28" s="13">
        <f>IF('Données projet'!$A$36&gt;35,N27+M28-V27,IF(A28&lt;'Données projet'!$A$36,$K$205^A28,IF(A28='Données projet'!$A$36,'Données projet'!$B$36,N27+M28-V27)))</f>
        <v>135.55128205128204</v>
      </c>
      <c r="O28" s="13">
        <f>N28*VLOOKUP('Données projet'!$B$9,Paramètres!$A$1:$I$89,3,0)*VLOOKUP('Données projet'!$B$9,Paramètres!$A$1:$I$89,5,0)</f>
        <v>81.059666666666672</v>
      </c>
      <c r="P28" s="13">
        <f t="shared" si="33"/>
        <v>22.396079377742645</v>
      </c>
      <c r="Q28" s="20">
        <f t="shared" si="2"/>
        <v>180.18542436067958</v>
      </c>
      <c r="R28" s="59">
        <f t="shared" si="0"/>
        <v>430.71328866424994</v>
      </c>
      <c r="S28" s="59">
        <f ca="1">AVERAGE(OFFSET($R$3,0,0,'Données projet'!$E$9+1,1))-AVERAGE(OFFSET($H$3,0,0,'Données projet'!$E$9+1,1))</f>
        <v>369.06880001017635</v>
      </c>
      <c r="T28" s="59">
        <f t="shared" si="34"/>
        <v>331.91233237772281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9.9011571432293799</v>
      </c>
      <c r="AA28" s="21">
        <f>EXP(-LN(2)/25)*AA27+(1-EXP(-LN(2)/25))/(LN(2)/25)*Calculateur!V28*Calculateur!X28*VLOOKUP('Données projet'!$B$9,Paramètres!$A$1:$I$89,3,0)*0.475*44/12</f>
        <v>10.19484606236511</v>
      </c>
      <c r="AB28" s="21">
        <f>EXP(-LN(2)/2)*AB27+(1-EXP(-LN(2)/2))/(LN(2)/2)*V28*Y28*VLOOKUP('Données projet'!$B$9,Paramètres!$A$1:$I$89,3,0)*0.475*44/12</f>
        <v>4.2871776876945287</v>
      </c>
      <c r="AC28" s="22">
        <f t="shared" si="3"/>
        <v>24.383180893289023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59.992447840367674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15.073076923076925</v>
      </c>
      <c r="AI28" s="13">
        <f>IF('Données projet'!$A$62&gt;35,AI27+AH28-AQ27,IF(A28&lt;'Données projet'!$A$62,$AF$205^A28,IF(A28='Données projet'!$A$62,'Données projet'!$B$62,AI27+AH28-AQ27)))</f>
        <v>149.85384615384612</v>
      </c>
      <c r="AJ28" s="13">
        <f>AI28*VLOOKUP('Données projet'!$B$10,Paramètres!$A$1:$I$89,3,0)*VLOOKUP('Données projet'!$B$10,Paramètres!$A$1:$I$89,5,0)</f>
        <v>89.6126</v>
      </c>
      <c r="AK28" s="13">
        <f t="shared" si="35"/>
        <v>24.471769998555317</v>
      </c>
      <c r="AL28" s="20">
        <f t="shared" si="4"/>
        <v>198.69694441415049</v>
      </c>
      <c r="AM28" s="59">
        <f t="shared" si="5"/>
        <v>449.22480871772086</v>
      </c>
      <c r="AN28" s="59">
        <f ca="1">AVERAGE(OFFSET($AM$3,0,0,'Données projet'!$E$10+1,1))-AVERAGE(OFFSET($H$3,0,0,'Données projet'!$E$10+1,1))</f>
        <v>270.29397440778314</v>
      </c>
      <c r="AO28" s="59">
        <f t="shared" si="36"/>
        <v>281.95928682679596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16.90425177061805</v>
      </c>
      <c r="AW28" s="21">
        <f>EXP(-LN(2)/2)*AW27+(1-EXP(-LN(2)/2))/(LN(2)/2)*AQ28*AT28*VLOOKUP('Données projet'!$B$10,Paramètres!$A$1:$I$89,3,0)*0.475*44/12</f>
        <v>8.8421426523062436</v>
      </c>
      <c r="AX28" s="21">
        <f t="shared" si="6"/>
        <v>25.746394422924293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59.992447840367674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4.9084615384615384</v>
      </c>
      <c r="BD28" s="12">
        <f>IF('Données projet'!$A$88&gt;35,BD27+BC28-BL27,IF(A28&lt;'Données projet'!$A$88,$BA$205^A28,IF(A28='Données projet'!$A$88,'Données projet'!$B$88,BD27+BC28-BL27)))</f>
        <v>64.079956146266369</v>
      </c>
      <c r="BE28" s="13">
        <f>BD28*VLOOKUP('Données projet'!$B$11,Paramètres!$A$1:$I$89,3,0)*VLOOKUP('Données projet'!$B$11,Paramètres!$A$1:$I$89,5,0)</f>
        <v>29.98941947645266</v>
      </c>
      <c r="BF28" s="13">
        <f t="shared" si="37"/>
        <v>9.3025291963556676</v>
      </c>
      <c r="BG28" s="20">
        <f t="shared" si="7"/>
        <v>68.433477271807831</v>
      </c>
      <c r="BH28" s="59">
        <f t="shared" si="8"/>
        <v>318.96134157537819</v>
      </c>
      <c r="BI28" s="59">
        <f ca="1">AVERAGE(OFFSET($BH$3,0,0,'Données projet'!$E$11+1,1))-AVERAGE(OFFSET($H$3,0,0,'Données projet'!$E$11+1,1))</f>
        <v>308.70979446846718</v>
      </c>
      <c r="BJ28" s="59">
        <f t="shared" si="38"/>
        <v>202.33469175293314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59.992447840367674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59.992447840367674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59.992447840367674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59.992447840367674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59.992447840367674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59.992447840367674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59.992447840367674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3.1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11.366666666666667</v>
      </c>
      <c r="H29" s="67">
        <f t="shared" si="1"/>
        <v>211.20000000000002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60.166056496802462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16.020512820512824</v>
      </c>
      <c r="N29" s="13">
        <f>IF('Données projet'!$A$36&gt;35,N28+M29-V28,IF(A29&lt;'Données projet'!$A$36,$K$205^A29,IF(A29='Données projet'!$A$36,'Données projet'!$B$36,N28+M29-V28)))</f>
        <v>151.57179487179488</v>
      </c>
      <c r="O29" s="13">
        <f>N29*VLOOKUP('Données projet'!$B$9,Paramètres!$A$1:$I$89,3,0)*VLOOKUP('Données projet'!$B$9,Paramètres!$A$1:$I$89,5,0)</f>
        <v>90.639933333333346</v>
      </c>
      <c r="P29" s="13">
        <f t="shared" si="33"/>
        <v>24.719497804626467</v>
      </c>
      <c r="Q29" s="20">
        <f t="shared" si="2"/>
        <v>200.91767589861334</v>
      </c>
      <c r="R29" s="59">
        <f t="shared" si="0"/>
        <v>453.30432749800013</v>
      </c>
      <c r="S29" s="59">
        <f ca="1">AVERAGE(OFFSET($R$3,0,0,'Données projet'!$E$9+1,1))-AVERAGE(OFFSET($H$3,0,0,'Données projet'!$E$9+1,1))</f>
        <v>369.06880001017635</v>
      </c>
      <c r="T29" s="59">
        <f t="shared" si="34"/>
        <v>331.91233237772281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9.7070014907601969</v>
      </c>
      <c r="AA29" s="21">
        <f>EXP(-LN(2)/25)*AA28+(1-EXP(-LN(2)/25))/(LN(2)/25)*Calculateur!V29*Calculateur!X29*VLOOKUP('Données projet'!$B$9,Paramètres!$A$1:$I$89,3,0)*0.475*44/12</f>
        <v>9.916067460666083</v>
      </c>
      <c r="AB29" s="21">
        <f>EXP(-LN(2)/2)*AB28+(1-EXP(-LN(2)/2))/(LN(2)/2)*V29*Y29*VLOOKUP('Données projet'!$B$9,Paramètres!$A$1:$I$89,3,0)*0.475*44/12</f>
        <v>3.0314924151204639</v>
      </c>
      <c r="AC29" s="22">
        <f t="shared" si="3"/>
        <v>22.654561366546744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60.166056496802462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15.073076923076925</v>
      </c>
      <c r="AI29" s="13">
        <f>IF('Données projet'!$A$62&gt;35,AI28+AH29-AQ28,IF(A29&lt;'Données projet'!$A$62,$AF$205^A29,IF(A29='Données projet'!$A$62,'Données projet'!$B$62,AI28+AH29-AQ28)))</f>
        <v>164.92692307692306</v>
      </c>
      <c r="AJ29" s="13">
        <f>AI29*VLOOKUP('Données projet'!$B$10,Paramètres!$A$1:$I$89,3,0)*VLOOKUP('Données projet'!$B$10,Paramètres!$A$1:$I$89,5,0)</f>
        <v>98.626300000000001</v>
      </c>
      <c r="AK29" s="13">
        <f t="shared" si="35"/>
        <v>26.634469472597342</v>
      </c>
      <c r="AL29" s="20">
        <f t="shared" si="4"/>
        <v>218.16250683144037</v>
      </c>
      <c r="AM29" s="59">
        <f t="shared" si="5"/>
        <v>470.54915843082716</v>
      </c>
      <c r="AN29" s="59">
        <f ca="1">AVERAGE(OFFSET($AM$3,0,0,'Données projet'!$E$10+1,1))-AVERAGE(OFFSET($H$3,0,0,'Données projet'!$E$10+1,1))</f>
        <v>270.29397440778314</v>
      </c>
      <c r="AO29" s="59">
        <f t="shared" si="36"/>
        <v>281.95928682679596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16.442004116994532</v>
      </c>
      <c r="AW29" s="21">
        <f>EXP(-LN(2)/2)*AW28+(1-EXP(-LN(2)/2))/(LN(2)/2)*AQ29*AT29*VLOOKUP('Données projet'!$B$10,Paramètres!$A$1:$I$89,3,0)*0.475*44/12</f>
        <v>6.25233902966455</v>
      </c>
      <c r="AX29" s="21">
        <f t="shared" si="6"/>
        <v>22.694343146659083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60.166056496802462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4.9084615384615384</v>
      </c>
      <c r="BD29" s="12">
        <f>IF('Données projet'!$A$88&gt;35,BD28+BC29-BL28,IF(A29&lt;'Données projet'!$A$88,$BA$205^A29,IF(A29='Données projet'!$A$88,'Données projet'!$B$88,BD28+BC29-BL28)))</f>
        <v>75.681737511137769</v>
      </c>
      <c r="BE29" s="13">
        <f>BD29*VLOOKUP('Données projet'!$B$11,Paramètres!$A$1:$I$89,3,0)*VLOOKUP('Données projet'!$B$11,Paramètres!$A$1:$I$89,5,0)</f>
        <v>35.419053155212474</v>
      </c>
      <c r="BF29" s="13">
        <f t="shared" si="37"/>
        <v>10.776006170294048</v>
      </c>
      <c r="BG29" s="20">
        <f t="shared" si="7"/>
        <v>80.456394991923858</v>
      </c>
      <c r="BH29" s="59">
        <f t="shared" si="8"/>
        <v>332.84304659131067</v>
      </c>
      <c r="BI29" s="59">
        <f ca="1">AVERAGE(OFFSET($BH$3,0,0,'Données projet'!$E$11+1,1))-AVERAGE(OFFSET($H$3,0,0,'Données projet'!$E$11+1,1))</f>
        <v>308.70979446846718</v>
      </c>
      <c r="BJ29" s="59">
        <f t="shared" si="38"/>
        <v>202.33469175293314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60.166056496802462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60.166056496802462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60.166056496802462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60.166056496802462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60.166056496802462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60.166056496802462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60.166056496802462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3.1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11.366666666666667</v>
      </c>
      <c r="H30" s="67">
        <f t="shared" si="1"/>
        <v>211.20000000000002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60.336653431178924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16.020512820512824</v>
      </c>
      <c r="N30" s="13">
        <f>IF('Données projet'!$A$36&gt;35,N29+M30-V29,IF(A30&lt;'Données projet'!$A$36,$K$205^A30,IF(A30='Données projet'!$A$36,'Données projet'!$B$36,N29+M30-V29)))</f>
        <v>167.59230769230771</v>
      </c>
      <c r="O30" s="13">
        <f>N30*VLOOKUP('Données projet'!$B$9,Paramètres!$A$1:$I$89,3,0)*VLOOKUP('Données projet'!$B$9,Paramètres!$A$1:$I$89,5,0)</f>
        <v>100.22020000000002</v>
      </c>
      <c r="P30" s="13">
        <f t="shared" si="33"/>
        <v>27.014450444334749</v>
      </c>
      <c r="Q30" s="20">
        <f t="shared" si="2"/>
        <v>221.60034952388301</v>
      </c>
      <c r="R30" s="59">
        <f t="shared" si="0"/>
        <v>475.83474543820569</v>
      </c>
      <c r="S30" s="59">
        <f ca="1">AVERAGE(OFFSET($R$3,0,0,'Données projet'!$E$9+1,1))-AVERAGE(OFFSET($H$3,0,0,'Données projet'!$E$9+1,1))</f>
        <v>369.06880001017635</v>
      </c>
      <c r="T30" s="59">
        <f t="shared" si="34"/>
        <v>331.91233237772281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9.5166531122126798</v>
      </c>
      <c r="AA30" s="21">
        <f>EXP(-LN(2)/25)*AA29+(1-EXP(-LN(2)/25))/(LN(2)/25)*Calculateur!V30*Calculateur!X30*VLOOKUP('Données projet'!$B$9,Paramètres!$A$1:$I$89,3,0)*0.475*44/12</f>
        <v>9.6449120744908452</v>
      </c>
      <c r="AB30" s="21">
        <f>EXP(-LN(2)/2)*AB29+(1-EXP(-LN(2)/2))/(LN(2)/2)*V30*Y30*VLOOKUP('Données projet'!$B$9,Paramètres!$A$1:$I$89,3,0)*0.475*44/12</f>
        <v>2.1435888438472643</v>
      </c>
      <c r="AC30" s="22">
        <f t="shared" si="3"/>
        <v>21.305154030550792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60.336653431178924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15.073076923076925</v>
      </c>
      <c r="AI30" s="13">
        <f>IF('Données projet'!$A$62&gt;35,AI29+AH30-AQ29,IF(A30&lt;'Données projet'!$A$62,$AF$205^A30,IF(A30='Données projet'!$A$62,'Données projet'!$B$62,AI29+AH30-AQ29)))</f>
        <v>180</v>
      </c>
      <c r="AJ30" s="13">
        <f>AI30*VLOOKUP('Données projet'!$B$10,Paramètres!$A$1:$I$89,3,0)*VLOOKUP('Données projet'!$B$10,Paramètres!$A$1:$I$89,5,0)</f>
        <v>107.64</v>
      </c>
      <c r="AK30" s="13">
        <f t="shared" si="35"/>
        <v>28.774250263353583</v>
      </c>
      <c r="AL30" s="20">
        <f t="shared" si="4"/>
        <v>237.58815254200749</v>
      </c>
      <c r="AM30" s="59">
        <f t="shared" si="5"/>
        <v>491.8225484563302</v>
      </c>
      <c r="AN30" s="59">
        <f ca="1">AVERAGE(OFFSET($AM$3,0,0,'Données projet'!$E$10+1,1))-AVERAGE(OFFSET($H$3,0,0,'Données projet'!$E$10+1,1))</f>
        <v>270.29397440778314</v>
      </c>
      <c r="AO30" s="59">
        <f t="shared" si="36"/>
        <v>281.95928682679596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15.992396649767899</v>
      </c>
      <c r="AW30" s="21">
        <f>EXP(-LN(2)/2)*AW29+(1-EXP(-LN(2)/2))/(LN(2)/2)*AQ30*AT30*VLOOKUP('Données projet'!$B$10,Paramètres!$A$1:$I$89,3,0)*0.475*44/12</f>
        <v>4.4210713261531218</v>
      </c>
      <c r="AX30" s="21">
        <f t="shared" si="6"/>
        <v>20.413467975921023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60.336653431178924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4.9084615384615384</v>
      </c>
      <c r="BD30" s="12">
        <f>IF('Données projet'!$A$88&gt;35,BD29+BC30-BL29,IF(A30&lt;'Données projet'!$A$88,$BA$205^A30,IF(A30='Données projet'!$A$88,'Données projet'!$B$88,BD29+BC30-BL29)))</f>
        <v>89.384040457688172</v>
      </c>
      <c r="BE30" s="13">
        <f>BD30*VLOOKUP('Données projet'!$B$11,Paramètres!$A$1:$I$89,3,0)*VLOOKUP('Données projet'!$B$11,Paramètres!$A$1:$I$89,5,0)</f>
        <v>41.831730934198063</v>
      </c>
      <c r="BF30" s="13">
        <f t="shared" si="37"/>
        <v>12.482874982828019</v>
      </c>
      <c r="BG30" s="20">
        <f t="shared" si="7"/>
        <v>94.597938638820423</v>
      </c>
      <c r="BH30" s="59">
        <f t="shared" si="8"/>
        <v>348.83233455314314</v>
      </c>
      <c r="BI30" s="59">
        <f ca="1">AVERAGE(OFFSET($BH$3,0,0,'Données projet'!$E$11+1,1))-AVERAGE(OFFSET($H$3,0,0,'Données projet'!$E$11+1,1))</f>
        <v>308.70979446846718</v>
      </c>
      <c r="BJ30" s="59">
        <f t="shared" si="38"/>
        <v>202.33469175293314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60.336653431178924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60.336653431178924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60.336653431178924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60.336653431178924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60.336653431178924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60.336653431178924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60.336653431178924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3.1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11.366666666666667</v>
      </c>
      <c r="H31" s="67">
        <f t="shared" si="1"/>
        <v>211.20000000000002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60.504290890141554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16.020512820512824</v>
      </c>
      <c r="N31" s="13">
        <f>IF('Données projet'!$A$36&gt;35,N30+M31-V30,IF(A31&lt;'Données projet'!$A$36,$K$205^A31,IF(A31='Données projet'!$A$36,'Données projet'!$B$36,N30+M31-V30)))</f>
        <v>183.61282051282055</v>
      </c>
      <c r="O31" s="13">
        <f>N31*VLOOKUP('Données projet'!$B$9,Paramètres!$A$1:$I$89,3,0)*VLOOKUP('Données projet'!$B$9,Paramètres!$A$1:$I$89,5,0)</f>
        <v>109.80046666666669</v>
      </c>
      <c r="P31" s="13">
        <f t="shared" si="33"/>
        <v>29.283967996494283</v>
      </c>
      <c r="Q31" s="20">
        <f t="shared" si="2"/>
        <v>242.23872370500536</v>
      </c>
      <c r="R31" s="59">
        <f t="shared" si="0"/>
        <v>498.31001252441331</v>
      </c>
      <c r="S31" s="59">
        <f ca="1">AVERAGE(OFFSET($R$3,0,0,'Données projet'!$E$9+1,1))-AVERAGE(OFFSET($H$3,0,0,'Données projet'!$E$9+1,1))</f>
        <v>369.06880001017635</v>
      </c>
      <c r="T31" s="59">
        <f t="shared" si="34"/>
        <v>331.91233237772281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9.3300373492674318</v>
      </c>
      <c r="AA31" s="21">
        <f>EXP(-LN(2)/25)*AA30+(1-EXP(-LN(2)/25))/(LN(2)/25)*Calculateur!V31*Calculateur!X31*VLOOKUP('Données projet'!$B$9,Paramètres!$A$1:$I$89,3,0)*0.475*44/12</f>
        <v>9.3811714466100113</v>
      </c>
      <c r="AB31" s="21">
        <f>EXP(-LN(2)/2)*AB30+(1-EXP(-LN(2)/2))/(LN(2)/2)*V31*Y31*VLOOKUP('Données projet'!$B$9,Paramètres!$A$1:$I$89,3,0)*0.475*44/12</f>
        <v>1.5157462075602319</v>
      </c>
      <c r="AC31" s="22">
        <f t="shared" si="3"/>
        <v>20.226955003437673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60.504290890141554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15.073076923076925</v>
      </c>
      <c r="AI31" s="13">
        <f>IF('Données projet'!$A$62&gt;35,AI30+AH31-AQ30,IF(A31&lt;'Données projet'!$A$62,$AF$205^A31,IF(A31='Données projet'!$A$62,'Données projet'!$B$62,AI30+AH31-AQ30)))</f>
        <v>195.07307692307694</v>
      </c>
      <c r="AJ31" s="13">
        <f>AI31*VLOOKUP('Données projet'!$B$10,Paramètres!$A$1:$I$89,3,0)*VLOOKUP('Données projet'!$B$10,Paramètres!$A$1:$I$89,5,0)</f>
        <v>116.65370000000001</v>
      </c>
      <c r="AK31" s="13">
        <f t="shared" si="35"/>
        <v>30.893249762406356</v>
      </c>
      <c r="AL31" s="20">
        <f t="shared" si="4"/>
        <v>256.9776041695244</v>
      </c>
      <c r="AM31" s="59">
        <f t="shared" si="5"/>
        <v>513.04889298893227</v>
      </c>
      <c r="AN31" s="59">
        <f ca="1">AVERAGE(OFFSET($AM$3,0,0,'Données projet'!$E$10+1,1))-AVERAGE(OFFSET($H$3,0,0,'Données projet'!$E$10+1,1))</f>
        <v>270.29397440778314</v>
      </c>
      <c r="AO31" s="59">
        <f t="shared" si="36"/>
        <v>281.95928682679596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15.555083722376407</v>
      </c>
      <c r="AW31" s="21">
        <f>EXP(-LN(2)/2)*AW30+(1-EXP(-LN(2)/2))/(LN(2)/2)*AQ31*AT31*VLOOKUP('Données projet'!$B$10,Paramètres!$A$1:$I$89,3,0)*0.475*44/12</f>
        <v>3.126169514832275</v>
      </c>
      <c r="AX31" s="21">
        <f t="shared" si="6"/>
        <v>18.681253237208683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60.504290890141554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4.9084615384615384</v>
      </c>
      <c r="BD31" s="12">
        <f>IF('Données projet'!$A$88&gt;35,BD30+BC31-BL30,IF(A31&lt;'Données projet'!$A$88,$BA$205^A31,IF(A31='Données projet'!$A$88,'Données projet'!$B$88,BD30+BC31-BL30)))</f>
        <v>105.56716787013318</v>
      </c>
      <c r="BE31" s="13">
        <f>BD31*VLOOKUP('Données projet'!$B$11,Paramètres!$A$1:$I$89,3,0)*VLOOKUP('Données projet'!$B$11,Paramètres!$A$1:$I$89,5,0)</f>
        <v>49.405434563222322</v>
      </c>
      <c r="BF31" s="13">
        <f t="shared" si="37"/>
        <v>14.46010380603388</v>
      </c>
      <c r="BG31" s="20">
        <f t="shared" si="7"/>
        <v>111.23247932645454</v>
      </c>
      <c r="BH31" s="59">
        <f t="shared" si="8"/>
        <v>367.30376814586248</v>
      </c>
      <c r="BI31" s="59">
        <f ca="1">AVERAGE(OFFSET($BH$3,0,0,'Données projet'!$E$11+1,1))-AVERAGE(OFFSET($H$3,0,0,'Données projet'!$E$11+1,1))</f>
        <v>308.70979446846718</v>
      </c>
      <c r="BJ31" s="59">
        <f t="shared" si="38"/>
        <v>202.33469175293314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60.504290890141554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60.504290890141554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60.504290890141554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60.504290890141554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60.504290890141554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60.504290890141554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60.504290890141554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3.1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11.366666666666667</v>
      </c>
      <c r="H32" s="67">
        <f t="shared" si="1"/>
        <v>211.20000000000002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60.669020213972395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16.020512820512824</v>
      </c>
      <c r="N32" s="13">
        <f>IF('Données projet'!$A$36&gt;35,N31+M32-V31,IF(A32&lt;'Données projet'!$A$36,$K$205^A32,IF(A32='Données projet'!$A$36,'Données projet'!$B$36,N31+M32-V31)))</f>
        <v>199.63333333333338</v>
      </c>
      <c r="O32" s="13">
        <f>N32*VLOOKUP('Données projet'!$B$9,Paramètres!$A$1:$I$89,3,0)*VLOOKUP('Données projet'!$B$9,Paramètres!$A$1:$I$89,5,0)</f>
        <v>119.38073333333337</v>
      </c>
      <c r="P32" s="13">
        <f t="shared" si="33"/>
        <v>31.530522050233152</v>
      </c>
      <c r="Q32" s="20">
        <f t="shared" si="2"/>
        <v>262.83710312637839</v>
      </c>
      <c r="R32" s="59">
        <f t="shared" si="0"/>
        <v>520.73462168872163</v>
      </c>
      <c r="S32" s="59">
        <f ca="1">AVERAGE(OFFSET($R$3,0,0,'Données projet'!$E$9+1,1))-AVERAGE(OFFSET($H$3,0,0,'Données projet'!$E$9+1,1))</f>
        <v>369.06880001017635</v>
      </c>
      <c r="T32" s="59">
        <f t="shared" si="34"/>
        <v>331.91233237772281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9.1470810076091649</v>
      </c>
      <c r="AA32" s="21">
        <f>EXP(-LN(2)/25)*AA31+(1-EXP(-LN(2)/25))/(LN(2)/25)*Calculateur!V32*Calculateur!X32*VLOOKUP('Données projet'!$B$9,Paramètres!$A$1:$I$89,3,0)*0.475*44/12</f>
        <v>9.1246428200680949</v>
      </c>
      <c r="AB32" s="21">
        <f>EXP(-LN(2)/2)*AB31+(1-EXP(-LN(2)/2))/(LN(2)/2)*V32*Y32*VLOOKUP('Données projet'!$B$9,Paramètres!$A$1:$I$89,3,0)*0.475*44/12</f>
        <v>1.0717944219236322</v>
      </c>
      <c r="AC32" s="22">
        <f t="shared" si="3"/>
        <v>19.343518249600891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60.669020213972395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210.14615384615385</v>
      </c>
      <c r="AG32" s="12">
        <f>VLOOKUP(A32,'Données projet'!$A$61:$I$81,9,0)</f>
        <v>15.073076923076925</v>
      </c>
      <c r="AH32" s="12">
        <f t="array" ref="AH32">INDEX(AG:AG,MIN(IF(ISNUMBER(AG32:AG228),ROW(AG32:AG228),"")))</f>
        <v>15.073076923076925</v>
      </c>
      <c r="AI32" s="13">
        <f>IF('Données projet'!$A$62&gt;35,AI31+AH32-AQ31,IF(A32&lt;'Données projet'!$A$62,$AF$205^A32,IF(A32='Données projet'!$A$62,'Données projet'!$B$62,AI31+AH32-AQ31)))</f>
        <v>210.14615384615388</v>
      </c>
      <c r="AJ32" s="13">
        <f>AI32*VLOOKUP('Données projet'!$B$10,Paramètres!$A$1:$I$89,3,0)*VLOOKUP('Données projet'!$B$10,Paramètres!$A$1:$I$89,5,0)</f>
        <v>125.66740000000003</v>
      </c>
      <c r="AK32" s="13">
        <f t="shared" si="35"/>
        <v>32.993256286656127</v>
      </c>
      <c r="AL32" s="20">
        <f t="shared" si="4"/>
        <v>276.33397636592611</v>
      </c>
      <c r="AM32" s="59">
        <f t="shared" si="5"/>
        <v>534.23149492826929</v>
      </c>
      <c r="AN32" s="59">
        <f ca="1">AVERAGE(OFFSET($AM$3,0,0,'Données projet'!$E$10+1,1))-AVERAGE(OFFSET($H$3,0,0,'Données projet'!$E$10+1,1))</f>
        <v>270.29397440778314</v>
      </c>
      <c r="AO32" s="59">
        <f t="shared" si="36"/>
        <v>281.95928682679596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47.661538461538463</v>
      </c>
      <c r="AR32" s="16">
        <f>IF(ISNA(VLOOKUP(A32,'Données projet'!$A$61:$I$81,5,0)),0%,VLOOKUP(A32,'Données projet'!$A$61:$I$81,5,0)*VLOOKUP('Données projet'!$B$10,Paramètres!$A$1:$I$89,7,0))</f>
        <v>0.315</v>
      </c>
      <c r="AS32" s="16">
        <f>IF(ISNA(VLOOKUP(A32,'Données projet'!$A$61:$I$81,6,0)),0%,VLOOKUP(A32,'Données projet'!$A$61:$I$81,6,0)*VLOOKUP('Données projet'!$B$10,Paramètres!$A$1:$I$89,7,0))</f>
        <v>7.5600000000000001E-2</v>
      </c>
      <c r="AT32" s="16">
        <f>IF(ISNA(VLOOKUP(A32,'Données projet'!$A$61:$I$81,7,0)),0%,VLOOKUP(A32,'Données projet'!$A$61:$I$81,7,0))</f>
        <v>0.13200000000000001</v>
      </c>
      <c r="AU32" s="21">
        <f>EXP(-LN(2)/35)*AU31+(1-EXP(-LN(2)/35))/(LN(2)/35)*AQ32*AR32*VLOOKUP('Données projet'!$B$10,Paramètres!$A$1:$I$89,3,0)*0.475*44/12</f>
        <v>11.909900987194014</v>
      </c>
      <c r="AV32" s="21">
        <f>EXP(-LN(2)/25)*AV31+(1-EXP(-LN(2)/25))/(LN(2)/25)*Calculateur!AQ32*Calculateur!AS32*VLOOKUP('Données projet'!$B$10,Paramètres!$A$1:$I$89,3,0)*0.475*44/12</f>
        <v>17.976850860536775</v>
      </c>
      <c r="AW32" s="21">
        <f>EXP(-LN(2)/2)*AW31+(1-EXP(-LN(2)/2))/(LN(2)/2)*AQ32*AT32*VLOOKUP('Données projet'!$B$10,Paramètres!$A$1:$I$89,3,0)*0.475*44/12</f>
        <v>6.4702326938323633</v>
      </c>
      <c r="AX32" s="21">
        <f t="shared" si="6"/>
        <v>36.356984541563151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60.669020213972395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4.9084615384615384</v>
      </c>
      <c r="BD32" s="12">
        <f>IF('Données projet'!$A$88&gt;35,BD31+BC32-BL31,IF(A32&lt;'Données projet'!$A$88,$BA$205^A32,IF(A32='Données projet'!$A$88,'Données projet'!$B$88,BD31+BC32-BL31)))</f>
        <v>124.68027709483918</v>
      </c>
      <c r="BE32" s="13">
        <f>BD32*VLOOKUP('Données projet'!$B$11,Paramètres!$A$1:$I$89,3,0)*VLOOKUP('Données projet'!$B$11,Paramètres!$A$1:$I$89,5,0)</f>
        <v>58.350369680384738</v>
      </c>
      <c r="BF32" s="13">
        <f t="shared" si="37"/>
        <v>16.750516396977062</v>
      </c>
      <c r="BG32" s="20">
        <f t="shared" si="7"/>
        <v>130.80070991807179</v>
      </c>
      <c r="BH32" s="59">
        <f t="shared" si="8"/>
        <v>388.69822848041503</v>
      </c>
      <c r="BI32" s="59">
        <f ca="1">AVERAGE(OFFSET($BH$3,0,0,'Données projet'!$E$11+1,1))-AVERAGE(OFFSET($H$3,0,0,'Données projet'!$E$11+1,1))</f>
        <v>308.70979446846718</v>
      </c>
      <c r="BJ32" s="59">
        <f t="shared" si="38"/>
        <v>202.33469175293314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60.669020213972395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60.669020213972395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60.669020213972395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60.669020213972395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60.669020213972395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60.669020213972395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60.669020213972395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3.1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11.366666666666667</v>
      </c>
      <c r="H33" s="67">
        <f t="shared" si="1"/>
        <v>211.20000000000002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60.830891852314366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215.65384615384616</v>
      </c>
      <c r="L33" s="12">
        <f>VLOOKUP(A33,'Données projet'!$A$35:$I$55,9,0)</f>
        <v>16.020512820512824</v>
      </c>
      <c r="M33" s="12">
        <f t="array" ref="M33">INDEX(L:L,MIN(IF(ISNUMBER(L33:L229),ROW(L33:L229),"")))</f>
        <v>16.020512820512824</v>
      </c>
      <c r="N33" s="13">
        <f>IF('Données projet'!$A$36&gt;35,N32+M33-V32,IF(A33&lt;'Données projet'!$A$36,$K$205^A33,IF(A33='Données projet'!$A$36,'Données projet'!$B$36,N32+M33-V32)))</f>
        <v>215.65384615384622</v>
      </c>
      <c r="O33" s="13">
        <f>N33*VLOOKUP('Données projet'!$B$9,Paramètres!$A$1:$I$89,3,0)*VLOOKUP('Données projet'!$B$9,Paramètres!$A$1:$I$89,5,0)</f>
        <v>128.96100000000004</v>
      </c>
      <c r="P33" s="13">
        <f t="shared" si="33"/>
        <v>33.756164929705356</v>
      </c>
      <c r="Q33" s="20">
        <f t="shared" si="2"/>
        <v>283.39906225257022</v>
      </c>
      <c r="R33" s="59">
        <f t="shared" si="0"/>
        <v>543.11233237772285</v>
      </c>
      <c r="S33" s="59">
        <f ca="1">AVERAGE(OFFSET($R$3,0,0,'Données projet'!$E$9+1,1))-AVERAGE(OFFSET($H$3,0,0,'Données projet'!$E$9+1,1))</f>
        <v>369.06880001017635</v>
      </c>
      <c r="T33" s="59">
        <f t="shared" si="34"/>
        <v>331.91233237772281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55.869230769230761</v>
      </c>
      <c r="W33" s="16">
        <f>IF(ISNA(VLOOKUP(A33,'Données projet'!$A$35:$I$55,5,0)),0%,VLOOKUP(A33,'Données projet'!$A$35:$I$55,5,0)*VLOOKUP('Données projet'!$B$9,Paramètres!$A$1:$I$89,7,0))</f>
        <v>0.315</v>
      </c>
      <c r="X33" s="16">
        <f>IF(ISNA(VLOOKUP(A33,'Données projet'!$A$35:$I$55,6,0)),0%,VLOOKUP(A33,'Données projet'!$A$35:$I$55,6,0)*VLOOKUP('Données projet'!$B$9,Paramètres!$A$1:$I$89,7,0))</f>
        <v>7.5600000000000001E-2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22.92859206837181</v>
      </c>
      <c r="AA33" s="21">
        <f>EXP(-LN(2)/25)*AA32+(1-EXP(-LN(2)/25))/(LN(2)/25)*Calculateur!V33*Calculateur!X33*VLOOKUP('Données projet'!$B$9,Paramètres!$A$1:$I$89,3,0)*0.475*44/12</f>
        <v>12.212547487214213</v>
      </c>
      <c r="AB33" s="21">
        <f>EXP(-LN(2)/2)*AB32+(1-EXP(-LN(2)/2))/(LN(2)/2)*V33*Y33*VLOOKUP('Données projet'!$B$9,Paramètres!$A$1:$I$89,3,0)*0.475*44/12</f>
        <v>5.7511235128148783</v>
      </c>
      <c r="AC33" s="22">
        <f t="shared" si="3"/>
        <v>40.892263068400901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60.830891852314366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14.298901102197801</v>
      </c>
      <c r="AI33" s="13">
        <f>IF('Données projet'!$A$62&gt;35,AI32+AH33-AQ32,IF(A33&lt;'Données projet'!$A$62,$AF$205^A33,IF(A33='Données projet'!$A$62,'Données projet'!$B$62,AI32+AH33-AQ32)))</f>
        <v>176.7835164868132</v>
      </c>
      <c r="AJ33" s="13">
        <f>AI33*VLOOKUP('Données projet'!$B$10,Paramètres!$A$1:$I$89,3,0)*VLOOKUP('Données projet'!$B$10,Paramètres!$A$1:$I$89,5,0)</f>
        <v>105.7165428591143</v>
      </c>
      <c r="AK33" s="13">
        <f t="shared" si="35"/>
        <v>28.319447591590009</v>
      </c>
      <c r="AL33" s="20">
        <f t="shared" si="4"/>
        <v>233.44601670164332</v>
      </c>
      <c r="AM33" s="59">
        <f t="shared" si="5"/>
        <v>493.15928682679601</v>
      </c>
      <c r="AN33" s="59">
        <f ca="1">AVERAGE(OFFSET($AM$3,0,0,'Données projet'!$E$10+1,1))-AVERAGE(OFFSET($H$3,0,0,'Données projet'!$E$10+1,1))</f>
        <v>270.29397440778314</v>
      </c>
      <c r="AO33" s="59">
        <f t="shared" si="36"/>
        <v>281.95928682679596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11.676355093157449</v>
      </c>
      <c r="AV33" s="21">
        <f>EXP(-LN(2)/25)*AV32+(1-EXP(-LN(2)/25))/(LN(2)/25)*Calculateur!AQ33*Calculateur!AS33*VLOOKUP('Données projet'!$B$10,Paramètres!$A$1:$I$89,3,0)*0.475*44/12</f>
        <v>17.485272928393897</v>
      </c>
      <c r="AW33" s="21">
        <f>EXP(-LN(2)/2)*AW32+(1-EXP(-LN(2)/2))/(LN(2)/2)*AQ33*AT33*VLOOKUP('Données projet'!$B$10,Paramètres!$A$1:$I$89,3,0)*0.475*44/12</f>
        <v>4.5751454136637673</v>
      </c>
      <c r="AX33" s="21">
        <f t="shared" si="6"/>
        <v>33.736773435215113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60.830891852314366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147.25384615384615</v>
      </c>
      <c r="BB33" s="12">
        <f>VLOOKUP(A33,'Données projet'!$A$87:$I$107,9,0)</f>
        <v>4.9084615384615384</v>
      </c>
      <c r="BC33" s="12">
        <f t="array" ref="BC33">INDEX(BB:BB,MIN(IF(ISNUMBER(BB33:BB229),ROW(BB33:BB229),"")))</f>
        <v>4.9084615384615384</v>
      </c>
      <c r="BD33" s="12">
        <f>IF('Données projet'!$A$88&gt;35,BD32+BC33-BL32,IF(A33&lt;'Données projet'!$A$88,$BA$205^A33,IF(A33='Données projet'!$A$88,'Données projet'!$B$88,BD32+BC33-BL32)))</f>
        <v>147.25384615384615</v>
      </c>
      <c r="BE33" s="13">
        <f>BD33*VLOOKUP('Données projet'!$B$11,Paramètres!$A$1:$I$89,3,0)*VLOOKUP('Données projet'!$B$11,Paramètres!$A$1:$I$89,5,0)</f>
        <v>68.9148</v>
      </c>
      <c r="BF33" s="13">
        <f t="shared" si="37"/>
        <v>19.403719594897876</v>
      </c>
      <c r="BG33" s="20">
        <f t="shared" si="7"/>
        <v>153.82142162778047</v>
      </c>
      <c r="BH33" s="59">
        <f t="shared" si="8"/>
        <v>413.53469175293316</v>
      </c>
      <c r="BI33" s="59">
        <f ca="1">AVERAGE(OFFSET($BH$3,0,0,'Données projet'!$E$11+1,1))-AVERAGE(OFFSET($H$3,0,0,'Données projet'!$E$11+1,1))</f>
        <v>308.70979446846718</v>
      </c>
      <c r="BJ33" s="59">
        <f t="shared" si="38"/>
        <v>202.33469175293314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60.830891852314366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60.830891852314366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60.830891852314366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60.830891852314366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60.830891852314366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60.830891852314366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60.830891852314366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3.1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11.366666666666667</v>
      </c>
      <c r="H34" s="67">
        <f t="shared" si="1"/>
        <v>211.20000000000002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60.989955379621875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15.48351648351648</v>
      </c>
      <c r="N34" s="13">
        <f>IF('Données projet'!$A$36&gt;35,N33+M34-V33,IF(A34&lt;'Données projet'!$A$36,$K$205^A34,IF(A34='Données projet'!$A$36,'Données projet'!$B$36,N33+M34-V33)))</f>
        <v>175.26813186813192</v>
      </c>
      <c r="O34" s="13">
        <f>N34*VLOOKUP('Données projet'!$B$9,Paramètres!$A$1:$I$89,3,0)*VLOOKUP('Données projet'!$B$9,Paramètres!$A$1:$I$89,5,0)</f>
        <v>104.8103428571429</v>
      </c>
      <c r="P34" s="13">
        <f t="shared" si="33"/>
        <v>28.104843056220705</v>
      </c>
      <c r="Q34" s="20">
        <f t="shared" si="2"/>
        <v>231.49394879910827</v>
      </c>
      <c r="R34" s="59">
        <f t="shared" si="0"/>
        <v>491.79045185772179</v>
      </c>
      <c r="S34" s="59">
        <f ca="1">AVERAGE(OFFSET($R$3,0,0,'Données projet'!$E$9+1,1))-AVERAGE(OFFSET($H$3,0,0,'Données projet'!$E$9+1,1))</f>
        <v>369.06880001017635</v>
      </c>
      <c r="T34" s="59">
        <f t="shared" si="34"/>
        <v>331.91233237772281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22.478976362971292</v>
      </c>
      <c r="AA34" s="21">
        <f>EXP(-LN(2)/25)*AA33+(1-EXP(-LN(2)/25))/(LN(2)/25)*Calculateur!V34*Calculateur!X34*VLOOKUP('Données projet'!$B$9,Paramètres!$A$1:$I$89,3,0)*0.475*44/12</f>
        <v>11.878594733946381</v>
      </c>
      <c r="AB34" s="21">
        <f>EXP(-LN(2)/2)*AB33+(1-EXP(-LN(2)/2))/(LN(2)/2)*V34*Y34*VLOOKUP('Données projet'!$B$9,Paramètres!$A$1:$I$89,3,0)*0.475*44/12</f>
        <v>4.0666584353527986</v>
      </c>
      <c r="AC34" s="22">
        <f t="shared" si="3"/>
        <v>38.424229532270473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60.989955379621875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14.298901102197801</v>
      </c>
      <c r="AI34" s="13">
        <f>IF('Données projet'!$A$62&gt;35,AI33+AH34-AQ33,IF(A34&lt;'Données projet'!$A$62,$AF$205^A34,IF(A34='Données projet'!$A$62,'Données projet'!$B$62,AI33+AH34-AQ33)))</f>
        <v>191.08241758901099</v>
      </c>
      <c r="AJ34" s="13">
        <f>AI34*VLOOKUP('Données projet'!$B$10,Paramètres!$A$1:$I$89,3,0)*VLOOKUP('Données projet'!$B$10,Paramètres!$A$1:$I$89,5,0)</f>
        <v>114.26728571822858</v>
      </c>
      <c r="AK34" s="13">
        <f t="shared" si="35"/>
        <v>30.334152497732994</v>
      </c>
      <c r="AL34" s="20">
        <f t="shared" si="4"/>
        <v>251.84750489279975</v>
      </c>
      <c r="AM34" s="59">
        <f t="shared" si="5"/>
        <v>512.1440079514133</v>
      </c>
      <c r="AN34" s="59">
        <f ca="1">AVERAGE(OFFSET($AM$3,0,0,'Données projet'!$E$10+1,1))-AVERAGE(OFFSET($H$3,0,0,'Données projet'!$E$10+1,1))</f>
        <v>270.29397440778314</v>
      </c>
      <c r="AO34" s="59">
        <f t="shared" si="36"/>
        <v>281.95928682679596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11.447388891654011</v>
      </c>
      <c r="AV34" s="21">
        <f>EXP(-LN(2)/25)*AV33+(1-EXP(-LN(2)/25))/(LN(2)/25)*Calculateur!AQ34*Calculateur!AS34*VLOOKUP('Données projet'!$B$10,Paramètres!$A$1:$I$89,3,0)*0.475*44/12</f>
        <v>17.007137220656425</v>
      </c>
      <c r="AW34" s="21">
        <f>EXP(-LN(2)/2)*AW33+(1-EXP(-LN(2)/2))/(LN(2)/2)*AQ34*AT34*VLOOKUP('Données projet'!$B$10,Paramètres!$A$1:$I$89,3,0)*0.475*44/12</f>
        <v>3.2351163469161821</v>
      </c>
      <c r="AX34" s="21">
        <f t="shared" si="6"/>
        <v>31.689642459226619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60.989955379621875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11.443589743589744</v>
      </c>
      <c r="BD34" s="12">
        <f>IF('Données projet'!$A$88&gt;35,BD33+BC34-BL33,IF(A34&lt;'Données projet'!$A$88,$BA$205^A34,IF(A34='Données projet'!$A$88,'Données projet'!$B$88,BD33+BC34-BL33)))</f>
        <v>158.69743589743589</v>
      </c>
      <c r="BE34" s="13">
        <f>BD34*VLOOKUP('Données projet'!$B$11,Paramètres!$A$1:$I$89,3,0)*VLOOKUP('Données projet'!$B$11,Paramètres!$A$1:$I$89,5,0)</f>
        <v>74.270399999999995</v>
      </c>
      <c r="BF34" s="13">
        <f t="shared" si="37"/>
        <v>20.730265914492005</v>
      </c>
      <c r="BG34" s="20">
        <f t="shared" si="7"/>
        <v>165.4594931344069</v>
      </c>
      <c r="BH34" s="59">
        <f t="shared" si="8"/>
        <v>425.75599619302045</v>
      </c>
      <c r="BI34" s="59">
        <f ca="1">AVERAGE(OFFSET($BH$3,0,0,'Données projet'!$E$11+1,1))-AVERAGE(OFFSET($H$3,0,0,'Données projet'!$E$11+1,1))</f>
        <v>308.70979446846718</v>
      </c>
      <c r="BJ34" s="59">
        <f t="shared" si="38"/>
        <v>202.33469175293314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60.989955379621875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60.989955379621875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60.989955379621875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60.989955379621875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60.989955379621875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60.989955379621875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60.989955379621875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3.1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11.366666666666667</v>
      </c>
      <c r="H35" s="67">
        <f t="shared" si="1"/>
        <v>211.20000000000002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61.14625951034337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15.48351648351648</v>
      </c>
      <c r="N35" s="13">
        <f>IF('Données projet'!$A$36&gt;35,N34+M35-V34,IF(A35&lt;'Données projet'!$A$36,$K$205^A35,IF(A35='Données projet'!$A$36,'Données projet'!$B$36,N34+M35-V34)))</f>
        <v>190.75164835164838</v>
      </c>
      <c r="O35" s="13">
        <f>N35*VLOOKUP('Données projet'!$B$9,Paramètres!$A$1:$I$89,3,0)*VLOOKUP('Données projet'!$B$9,Paramètres!$A$1:$I$89,5,0)</f>
        <v>114.06948571428575</v>
      </c>
      <c r="P35" s="13">
        <f t="shared" si="33"/>
        <v>30.287750600607666</v>
      </c>
      <c r="Q35" s="20">
        <f t="shared" ref="Q35:Q66" si="53">(O35+P35)*0.475*44/12</f>
        <v>251.42218658177271</v>
      </c>
      <c r="R35" s="59">
        <f t="shared" si="0"/>
        <v>512.29180478636511</v>
      </c>
      <c r="S35" s="59">
        <f ca="1">AVERAGE(OFFSET($R$3,0,0,'Données projet'!$E$9+1,1))-AVERAGE(OFFSET($H$3,0,0,'Données projet'!$E$9+1,1))</f>
        <v>369.06880001017635</v>
      </c>
      <c r="T35" s="59">
        <f t="shared" si="34"/>
        <v>331.91233237772281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22.038177347315173</v>
      </c>
      <c r="AA35" s="21">
        <f>EXP(-LN(2)/25)*AA34+(1-EXP(-LN(2)/25))/(LN(2)/25)*Calculateur!V35*Calculateur!X35*VLOOKUP('Données projet'!$B$9,Paramètres!$A$1:$I$89,3,0)*0.475*44/12</f>
        <v>11.553773936278469</v>
      </c>
      <c r="AB35" s="21">
        <f>EXP(-LN(2)/2)*AB34+(1-EXP(-LN(2)/2))/(LN(2)/2)*V35*Y35*VLOOKUP('Données projet'!$B$9,Paramètres!$A$1:$I$89,3,0)*0.475*44/12</f>
        <v>2.8755617564074392</v>
      </c>
      <c r="AC35" s="22">
        <f t="shared" si="3"/>
        <v>36.46751304000108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61.14625951034337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14.298901102197801</v>
      </c>
      <c r="AI35" s="13">
        <f>IF('Données projet'!$A$62&gt;35,AI34+AH35-AQ34,IF(A35&lt;'Données projet'!$A$62,$AF$205^A35,IF(A35='Données projet'!$A$62,'Données projet'!$B$62,AI34+AH35-AQ34)))</f>
        <v>205.38131869120878</v>
      </c>
      <c r="AJ35" s="13">
        <f>AI35*VLOOKUP('Données projet'!$B$10,Paramètres!$A$1:$I$89,3,0)*VLOOKUP('Données projet'!$B$10,Paramètres!$A$1:$I$89,5,0)</f>
        <v>122.81802857734286</v>
      </c>
      <c r="AK35" s="13">
        <f t="shared" si="35"/>
        <v>32.331367632120362</v>
      </c>
      <c r="AL35" s="20">
        <f t="shared" si="4"/>
        <v>270.21853173148173</v>
      </c>
      <c r="AM35" s="59">
        <f t="shared" si="5"/>
        <v>531.08814993607416</v>
      </c>
      <c r="AN35" s="59">
        <f ca="1">AVERAGE(OFFSET($AM$3,0,0,'Données projet'!$E$10+1,1))-AVERAGE(OFFSET($H$3,0,0,'Données projet'!$E$10+1,1))</f>
        <v>270.29397440778314</v>
      </c>
      <c r="AO35" s="59">
        <f t="shared" si="36"/>
        <v>281.95928682679596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11.222912577706463</v>
      </c>
      <c r="AV35" s="21">
        <f>EXP(-LN(2)/25)*AV34+(1-EXP(-LN(2)/25))/(LN(2)/25)*Calculateur!AQ35*Calculateur!AS35*VLOOKUP('Données projet'!$B$10,Paramètres!$A$1:$I$89,3,0)*0.475*44/12</f>
        <v>16.542076158991097</v>
      </c>
      <c r="AW35" s="21">
        <f>EXP(-LN(2)/2)*AW34+(1-EXP(-LN(2)/2))/(LN(2)/2)*AQ35*AT35*VLOOKUP('Données projet'!$B$10,Paramètres!$A$1:$I$89,3,0)*0.475*44/12</f>
        <v>2.2875727068318841</v>
      </c>
      <c r="AX35" s="21">
        <f t="shared" si="6"/>
        <v>30.052561443529445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61.14625951034337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11.443589743589744</v>
      </c>
      <c r="BD35" s="12">
        <f>IF('Données projet'!$A$88&gt;35,BD34+BC35-BL34,IF(A35&lt;'Données projet'!$A$88,$BA$205^A35,IF(A35='Données projet'!$A$88,'Données projet'!$B$88,BD34+BC35-BL34)))</f>
        <v>170.14102564102564</v>
      </c>
      <c r="BE35" s="13">
        <f>BD35*VLOOKUP('Données projet'!$B$11,Paramètres!$A$1:$I$89,3,0)*VLOOKUP('Données projet'!$B$11,Paramètres!$A$1:$I$89,5,0)</f>
        <v>79.626000000000005</v>
      </c>
      <c r="BF35" s="13">
        <f t="shared" si="37"/>
        <v>22.045714260156384</v>
      </c>
      <c r="BG35" s="20">
        <f t="shared" si="7"/>
        <v>177.0782356697724</v>
      </c>
      <c r="BH35" s="59">
        <f t="shared" si="8"/>
        <v>437.9478538743648</v>
      </c>
      <c r="BI35" s="59">
        <f ca="1">AVERAGE(OFFSET($BH$3,0,0,'Données projet'!$E$11+1,1))-AVERAGE(OFFSET($H$3,0,0,'Données projet'!$E$11+1,1))</f>
        <v>308.70979446846718</v>
      </c>
      <c r="BJ35" s="59">
        <f t="shared" si="38"/>
        <v>202.33469175293314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61.14625951034337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61.14625951034337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61.14625951034337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61.14625951034337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61.14625951034337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61.14625951034337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61.14625951034337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3.1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11.366666666666667</v>
      </c>
      <c r="H36" s="67">
        <f t="shared" si="1"/>
        <v>211.20000000000002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61.299852113840529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15.48351648351648</v>
      </c>
      <c r="N36" s="13">
        <f>IF('Données projet'!$A$36&gt;35,N35+M36-V35,IF(A36&lt;'Données projet'!$A$36,$K$205^A36,IF(A36='Données projet'!$A$36,'Données projet'!$B$36,N35+M36-V35)))</f>
        <v>206.23516483516485</v>
      </c>
      <c r="O36" s="13">
        <f>N36*VLOOKUP('Données projet'!$B$9,Paramètres!$A$1:$I$89,3,0)*VLOOKUP('Données projet'!$B$9,Paramètres!$A$1:$I$89,5,0)</f>
        <v>123.3286285714286</v>
      </c>
      <c r="P36" s="13">
        <f t="shared" si="33"/>
        <v>32.450106672465495</v>
      </c>
      <c r="Q36" s="20">
        <f t="shared" si="53"/>
        <v>271.31463054978218</v>
      </c>
      <c r="R36" s="59">
        <f t="shared" si="0"/>
        <v>532.74742163386418</v>
      </c>
      <c r="S36" s="59">
        <f ca="1">AVERAGE(OFFSET($R$3,0,0,'Données projet'!$E$9+1,1))-AVERAGE(OFFSET($H$3,0,0,'Données projet'!$E$9+1,1))</f>
        <v>369.06880001017635</v>
      </c>
      <c r="T36" s="59">
        <f t="shared" si="34"/>
        <v>331.91233237772281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21.606022131495219</v>
      </c>
      <c r="AA36" s="21">
        <f>EXP(-LN(2)/25)*AA35+(1-EXP(-LN(2)/25))/(LN(2)/25)*Calculateur!V36*Calculateur!X36*VLOOKUP('Données projet'!$B$9,Paramètres!$A$1:$I$89,3,0)*0.475*44/12</f>
        <v>11.23783538040437</v>
      </c>
      <c r="AB36" s="21">
        <f>EXP(-LN(2)/2)*AB35+(1-EXP(-LN(2)/2))/(LN(2)/2)*V36*Y36*VLOOKUP('Données projet'!$B$9,Paramètres!$A$1:$I$89,3,0)*0.475*44/12</f>
        <v>2.0333292176763993</v>
      </c>
      <c r="AC36" s="22">
        <f t="shared" si="3"/>
        <v>34.877186729575982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61.299852113840529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14.298901102197801</v>
      </c>
      <c r="AI36" s="13">
        <f>IF('Données projet'!$A$62&gt;35,AI35+AH36-AQ35,IF(A36&lt;'Données projet'!$A$62,$AF$205^A36,IF(A36='Données projet'!$A$62,'Données projet'!$B$62,AI35+AH36-AQ35)))</f>
        <v>219.68021979340656</v>
      </c>
      <c r="AJ36" s="13">
        <f>AI36*VLOOKUP('Données projet'!$B$10,Paramètres!$A$1:$I$89,3,0)*VLOOKUP('Données projet'!$B$10,Paramètres!$A$1:$I$89,5,0)</f>
        <v>131.36877143645714</v>
      </c>
      <c r="AK36" s="13">
        <f t="shared" si="35"/>
        <v>34.312449163896524</v>
      </c>
      <c r="AL36" s="20">
        <f t="shared" si="4"/>
        <v>288.56145921228261</v>
      </c>
      <c r="AM36" s="59">
        <f t="shared" si="5"/>
        <v>549.9942502963645</v>
      </c>
      <c r="AN36" s="59">
        <f ca="1">AVERAGE(OFFSET($AM$3,0,0,'Données projet'!$E$10+1,1))-AVERAGE(OFFSET($H$3,0,0,'Données projet'!$E$10+1,1))</f>
        <v>270.29397440778314</v>
      </c>
      <c r="AO36" s="59">
        <f t="shared" si="36"/>
        <v>281.95928682679596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11.002838107358395</v>
      </c>
      <c r="AV36" s="21">
        <f>EXP(-LN(2)/25)*AV35+(1-EXP(-LN(2)/25))/(LN(2)/25)*Calculateur!AQ36*Calculateur!AS36*VLOOKUP('Données projet'!$B$10,Paramètres!$A$1:$I$89,3,0)*0.475*44/12</f>
        <v>16.089732216513507</v>
      </c>
      <c r="AW36" s="21">
        <f>EXP(-LN(2)/2)*AW35+(1-EXP(-LN(2)/2))/(LN(2)/2)*AQ36*AT36*VLOOKUP('Données projet'!$B$10,Paramètres!$A$1:$I$89,3,0)*0.475*44/12</f>
        <v>1.6175581734580915</v>
      </c>
      <c r="AX36" s="21">
        <f t="shared" si="6"/>
        <v>28.710128497329997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61.299852113840529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11.443589743589744</v>
      </c>
      <c r="BD36" s="12">
        <f>IF('Données projet'!$A$88&gt;35,BD35+BC36-BL35,IF(A36&lt;'Données projet'!$A$88,$BA$205^A36,IF(A36='Données projet'!$A$88,'Données projet'!$B$88,BD35+BC36-BL35)))</f>
        <v>181.58461538461538</v>
      </c>
      <c r="BE36" s="13">
        <f>BD36*VLOOKUP('Données projet'!$B$11,Paramètres!$A$1:$I$89,3,0)*VLOOKUP('Données projet'!$B$11,Paramètres!$A$1:$I$89,5,0)</f>
        <v>84.981599999999986</v>
      </c>
      <c r="BF36" s="13">
        <f t="shared" si="37"/>
        <v>23.350896003452508</v>
      </c>
      <c r="BG36" s="20">
        <f t="shared" si="7"/>
        <v>188.6790972060131</v>
      </c>
      <c r="BH36" s="59">
        <f t="shared" si="8"/>
        <v>450.11188829009507</v>
      </c>
      <c r="BI36" s="59">
        <f ca="1">AVERAGE(OFFSET($BH$3,0,0,'Données projet'!$E$11+1,1))-AVERAGE(OFFSET($H$3,0,0,'Données projet'!$E$11+1,1))</f>
        <v>308.70979446846718</v>
      </c>
      <c r="BJ36" s="59">
        <f t="shared" si="38"/>
        <v>202.33469175293314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61.299852113840529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61.299852113840529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61.299852113840529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61.299852113840529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61.299852113840529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61.299852113840529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61.299852113840529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3.1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11.366666666666667</v>
      </c>
      <c r="H37" s="67">
        <f t="shared" si="1"/>
        <v>211.20000000000002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61.45078022904864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15.48351648351648</v>
      </c>
      <c r="N37" s="13">
        <f>IF('Données projet'!$A$36&gt;35,N36+M37-V36,IF(A37&lt;'Données projet'!$A$36,$K$205^A37,IF(A37='Données projet'!$A$36,'Données projet'!$B$36,N36+M37-V36)))</f>
        <v>221.71868131868132</v>
      </c>
      <c r="O37" s="13">
        <f>N37*VLOOKUP('Données projet'!$B$9,Paramètres!$A$1:$I$89,3,0)*VLOOKUP('Données projet'!$B$9,Paramètres!$A$1:$I$89,5,0)</f>
        <v>132.58777142857144</v>
      </c>
      <c r="P37" s="13">
        <f t="shared" si="33"/>
        <v>34.593629659414489</v>
      </c>
      <c r="Q37" s="20">
        <f t="shared" si="53"/>
        <v>291.17427356157549</v>
      </c>
      <c r="R37" s="59">
        <f t="shared" si="0"/>
        <v>553.16046773475387</v>
      </c>
      <c r="S37" s="59">
        <f ca="1">AVERAGE(OFFSET($R$3,0,0,'Données projet'!$E$9+1,1))-AVERAGE(OFFSET($H$3,0,0,'Données projet'!$E$9+1,1))</f>
        <v>369.06880001017635</v>
      </c>
      <c r="T37" s="59">
        <f t="shared" si="34"/>
        <v>331.91233237772281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21.182341215868842</v>
      </c>
      <c r="AA37" s="21">
        <f>EXP(-LN(2)/25)*AA36+(1-EXP(-LN(2)/25))/(LN(2)/25)*Calculateur!V37*Calculateur!X37*VLOOKUP('Données projet'!$B$9,Paramètres!$A$1:$I$89,3,0)*0.475*44/12</f>
        <v>10.930536180955134</v>
      </c>
      <c r="AB37" s="21">
        <f>EXP(-LN(2)/2)*AB36+(1-EXP(-LN(2)/2))/(LN(2)/2)*V37*Y37*VLOOKUP('Données projet'!$B$9,Paramètres!$A$1:$I$89,3,0)*0.475*44/12</f>
        <v>1.4377808782037196</v>
      </c>
      <c r="AC37" s="22">
        <f t="shared" si="3"/>
        <v>33.550658275027693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61.45078022904864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14.298901102197801</v>
      </c>
      <c r="AI37" s="13">
        <f>IF('Données projet'!$A$62&gt;35,AI36+AH37-AQ36,IF(A37&lt;'Données projet'!$A$62,$AF$205^A37,IF(A37='Données projet'!$A$62,'Données projet'!$B$62,AI36+AH37-AQ36)))</f>
        <v>233.97912089560435</v>
      </c>
      <c r="AJ37" s="13">
        <f>AI37*VLOOKUP('Données projet'!$B$10,Paramètres!$A$1:$I$89,3,0)*VLOOKUP('Données projet'!$B$10,Paramètres!$A$1:$I$89,5,0)</f>
        <v>139.91951429557142</v>
      </c>
      <c r="AK37" s="13">
        <f t="shared" si="35"/>
        <v>36.278566733285857</v>
      </c>
      <c r="AL37" s="20">
        <f t="shared" si="4"/>
        <v>306.87832445859306</v>
      </c>
      <c r="AM37" s="59">
        <f t="shared" si="5"/>
        <v>568.86451863177138</v>
      </c>
      <c r="AN37" s="59">
        <f ca="1">AVERAGE(OFFSET($AM$3,0,0,'Données projet'!$E$10+1,1))-AVERAGE(OFFSET($H$3,0,0,'Données projet'!$E$10+1,1))</f>
        <v>270.29397440778314</v>
      </c>
      <c r="AO37" s="59">
        <f t="shared" si="36"/>
        <v>281.95928682679596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10.787079163141678</v>
      </c>
      <c r="AV37" s="21">
        <f>EXP(-LN(2)/25)*AV36+(1-EXP(-LN(2)/25))/(LN(2)/25)*Calculateur!AQ37*Calculateur!AS37*VLOOKUP('Données projet'!$B$10,Paramètres!$A$1:$I$89,3,0)*0.475*44/12</f>
        <v>15.649757642930702</v>
      </c>
      <c r="AW37" s="21">
        <f>EXP(-LN(2)/2)*AW36+(1-EXP(-LN(2)/2))/(LN(2)/2)*AQ37*AT37*VLOOKUP('Données projet'!$B$10,Paramètres!$A$1:$I$89,3,0)*0.475*44/12</f>
        <v>1.1437863534159423</v>
      </c>
      <c r="AX37" s="21">
        <f t="shared" si="6"/>
        <v>27.580623159488319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61.45078022904864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11.443589743589744</v>
      </c>
      <c r="BD37" s="12">
        <f>IF('Données projet'!$A$88&gt;35,BD36+BC37-BL36,IF(A37&lt;'Données projet'!$A$88,$BA$205^A37,IF(A37='Données projet'!$A$88,'Données projet'!$B$88,BD36+BC37-BL36)))</f>
        <v>193.02820512820512</v>
      </c>
      <c r="BE37" s="13">
        <f>BD37*VLOOKUP('Données projet'!$B$11,Paramètres!$A$1:$I$89,3,0)*VLOOKUP('Données projet'!$B$11,Paramètres!$A$1:$I$89,5,0)</f>
        <v>90.337199999999996</v>
      </c>
      <c r="BF37" s="13">
        <f t="shared" si="37"/>
        <v>24.646531805527069</v>
      </c>
      <c r="BG37" s="20">
        <f t="shared" si="7"/>
        <v>200.2633328946263</v>
      </c>
      <c r="BH37" s="59">
        <f t="shared" si="8"/>
        <v>462.24952706780459</v>
      </c>
      <c r="BI37" s="59">
        <f ca="1">AVERAGE(OFFSET($BH$3,0,0,'Données projet'!$E$11+1,1))-AVERAGE(OFFSET($H$3,0,0,'Données projet'!$E$11+1,1))</f>
        <v>308.70979446846718</v>
      </c>
      <c r="BJ37" s="59">
        <f t="shared" si="38"/>
        <v>202.33469175293314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61.45078022904864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61.45078022904864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61.45078022904864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61.45078022904864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61.45078022904864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61.45078022904864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61.45078022904864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3.1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11.366666666666667</v>
      </c>
      <c r="H38" s="67">
        <f t="shared" si="1"/>
        <v>211.20000000000002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61.599090078882597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15.48351648351648</v>
      </c>
      <c r="N38" s="13">
        <f>IF('Données projet'!$A$36&gt;35,N37+M38-V37,IF(A38&lt;'Données projet'!$A$36,$K$205^A38,IF(A38='Données projet'!$A$36,'Données projet'!$B$36,N37+M38-V37)))</f>
        <v>237.20219780219779</v>
      </c>
      <c r="O38" s="13">
        <f>N38*VLOOKUP('Données projet'!$B$9,Paramètres!$A$1:$I$89,3,0)*VLOOKUP('Données projet'!$B$9,Paramètres!$A$1:$I$89,5,0)</f>
        <v>141.84691428571429</v>
      </c>
      <c r="P38" s="13">
        <f t="shared" si="33"/>
        <v>36.719784353381193</v>
      </c>
      <c r="Q38" s="20">
        <f t="shared" si="53"/>
        <v>311.00366679642457</v>
      </c>
      <c r="R38" s="59">
        <f t="shared" si="0"/>
        <v>573.53366375232736</v>
      </c>
      <c r="S38" s="59">
        <f ca="1">AVERAGE(OFFSET($R$3,0,0,'Données projet'!$E$9+1,1))-AVERAGE(OFFSET($H$3,0,0,'Données projet'!$E$9+1,1))</f>
        <v>369.06880001017635</v>
      </c>
      <c r="T38" s="59">
        <f t="shared" si="34"/>
        <v>331.91233237772281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20.766968424578057</v>
      </c>
      <c r="AA38" s="21">
        <f>EXP(-LN(2)/25)*AA37+(1-EXP(-LN(2)/25))/(LN(2)/25)*Calculateur!V38*Calculateur!X38*VLOOKUP('Données projet'!$B$9,Paramètres!$A$1:$I$89,3,0)*0.475*44/12</f>
        <v>10.631640094274999</v>
      </c>
      <c r="AB38" s="21">
        <f>EXP(-LN(2)/2)*AB37+(1-EXP(-LN(2)/2))/(LN(2)/2)*V38*Y38*VLOOKUP('Données projet'!$B$9,Paramètres!$A$1:$I$89,3,0)*0.475*44/12</f>
        <v>1.0166646088381996</v>
      </c>
      <c r="AC38" s="22">
        <f t="shared" si="3"/>
        <v>32.415273127691258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61.599090078882597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14.298901102197801</v>
      </c>
      <c r="AI38" s="13">
        <f>IF('Données projet'!$A$62&gt;35,AI37+AH38-AQ37,IF(A38&lt;'Données projet'!$A$62,$AF$205^A38,IF(A38='Données projet'!$A$62,'Données projet'!$B$62,AI37+AH38-AQ37)))</f>
        <v>248.27802199780214</v>
      </c>
      <c r="AJ38" s="13">
        <f>AI38*VLOOKUP('Données projet'!$B$10,Paramètres!$A$1:$I$89,3,0)*VLOOKUP('Données projet'!$B$10,Paramètres!$A$1:$I$89,5,0)</f>
        <v>148.4702571546857</v>
      </c>
      <c r="AK38" s="13">
        <f t="shared" si="35"/>
        <v>38.230738944594535</v>
      </c>
      <c r="AL38" s="20">
        <f t="shared" si="4"/>
        <v>325.17090153957975</v>
      </c>
      <c r="AM38" s="59">
        <f t="shared" si="5"/>
        <v>587.70089849548253</v>
      </c>
      <c r="AN38" s="59">
        <f ca="1">AVERAGE(OFFSET($AM$3,0,0,'Données projet'!$E$10+1,1))-AVERAGE(OFFSET($H$3,0,0,'Données projet'!$E$10+1,1))</f>
        <v>270.29397440778314</v>
      </c>
      <c r="AO38" s="59">
        <f t="shared" si="36"/>
        <v>281.95928682679596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10.575551120221091</v>
      </c>
      <c r="AV38" s="21">
        <f>EXP(-LN(2)/25)*AV37+(1-EXP(-LN(2)/25))/(LN(2)/25)*Calculateur!AQ38*Calculateur!AS38*VLOOKUP('Données projet'!$B$10,Paramètres!$A$1:$I$89,3,0)*0.475*44/12</f>
        <v>15.221814197199775</v>
      </c>
      <c r="AW38" s="21">
        <f>EXP(-LN(2)/2)*AW37+(1-EXP(-LN(2)/2))/(LN(2)/2)*AQ38*AT38*VLOOKUP('Données projet'!$B$10,Paramètres!$A$1:$I$89,3,0)*0.475*44/12</f>
        <v>0.80877908672904586</v>
      </c>
      <c r="AX38" s="21">
        <f t="shared" si="6"/>
        <v>26.606144404149912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61.599090078882597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11.443589743589744</v>
      </c>
      <c r="BD38" s="12">
        <f>IF('Données projet'!$A$88&gt;35,BD37+BC38-BL37,IF(A38&lt;'Données projet'!$A$88,$BA$205^A38,IF(A38='Données projet'!$A$88,'Données projet'!$B$88,BD37+BC38-BL37)))</f>
        <v>204.47179487179486</v>
      </c>
      <c r="BE38" s="13">
        <f>BD38*VLOOKUP('Données projet'!$B$11,Paramètres!$A$1:$I$89,3,0)*VLOOKUP('Données projet'!$B$11,Paramètres!$A$1:$I$89,5,0)</f>
        <v>95.692799999999991</v>
      </c>
      <c r="BF38" s="13">
        <f t="shared" si="37"/>
        <v>25.93325205212474</v>
      </c>
      <c r="BG38" s="20">
        <f t="shared" si="7"/>
        <v>211.83204065745056</v>
      </c>
      <c r="BH38" s="59">
        <f t="shared" si="8"/>
        <v>474.36203761335344</v>
      </c>
      <c r="BI38" s="59">
        <f ca="1">AVERAGE(OFFSET($BH$3,0,0,'Données projet'!$E$11+1,1))-AVERAGE(OFFSET($H$3,0,0,'Données projet'!$E$11+1,1))</f>
        <v>308.70979446846718</v>
      </c>
      <c r="BJ38" s="59">
        <f t="shared" si="38"/>
        <v>202.33469175293314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61.599090078882597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61.599090078882597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61.599090078882597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61.599090078882597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61.599090078882597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61.599090078882597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61.599090078882597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3.1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11.366666666666667</v>
      </c>
      <c r="H39" s="67">
        <f t="shared" si="1"/>
        <v>211.20000000000002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61.744827084393094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15.48351648351648</v>
      </c>
      <c r="N39" s="13">
        <f>IF('Données projet'!$A$36&gt;35,N38+M39-V38,IF(A39&lt;'Données projet'!$A$36,$K$205^A39,IF(A39='Données projet'!$A$36,'Données projet'!$B$36,N38+M39-V38)))</f>
        <v>252.68571428571425</v>
      </c>
      <c r="O39" s="13">
        <f>N39*VLOOKUP('Données projet'!$B$9,Paramètres!$A$1:$I$89,3,0)*VLOOKUP('Données projet'!$B$9,Paramètres!$A$1:$I$89,5,0)</f>
        <v>151.10605714285714</v>
      </c>
      <c r="P39" s="13">
        <f t="shared" si="33"/>
        <v>38.829833501111224</v>
      </c>
      <c r="Q39" s="20">
        <f t="shared" si="53"/>
        <v>330.80500953824486</v>
      </c>
      <c r="R39" s="59">
        <f t="shared" si="0"/>
        <v>593.8693755143529</v>
      </c>
      <c r="S39" s="59">
        <f ca="1">AVERAGE(OFFSET($R$3,0,0,'Données projet'!$E$9+1,1))-AVERAGE(OFFSET($H$3,0,0,'Données projet'!$E$9+1,1))</f>
        <v>369.06880001017635</v>
      </c>
      <c r="T39" s="59">
        <f t="shared" si="34"/>
        <v>331.91233237772281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20.359740840372098</v>
      </c>
      <c r="AA39" s="21">
        <f>EXP(-LN(2)/25)*AA38+(1-EXP(-LN(2)/25))/(LN(2)/25)*Calculateur!V39*Calculateur!X39*VLOOKUP('Données projet'!$B$9,Paramètres!$A$1:$I$89,3,0)*0.475*44/12</f>
        <v>10.340917336803395</v>
      </c>
      <c r="AB39" s="21">
        <f>EXP(-LN(2)/2)*AB38+(1-EXP(-LN(2)/2))/(LN(2)/2)*V39*Y39*VLOOKUP('Données projet'!$B$9,Paramètres!$A$1:$I$89,3,0)*0.475*44/12</f>
        <v>0.71889043910185979</v>
      </c>
      <c r="AC39" s="22">
        <f t="shared" si="3"/>
        <v>31.41954861627735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61.744827084393094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262.57692309999999</v>
      </c>
      <c r="AG39" s="12">
        <f>VLOOKUP(A39,'Données projet'!$A$61:$I$81,9,0)</f>
        <v>14.298901102197801</v>
      </c>
      <c r="AH39" s="12">
        <f t="array" ref="AH39">INDEX(AG:AG,MIN(IF(ISNUMBER(AG39:AG235),ROW(AG39:AG235),"")))</f>
        <v>14.298901102197801</v>
      </c>
      <c r="AI39" s="13">
        <f>IF('Données projet'!$A$62&gt;35,AI38+AH39-AQ38,IF(A39&lt;'Données projet'!$A$62,$AF$205^A39,IF(A39='Données projet'!$A$62,'Données projet'!$B$62,AI38+AH39-AQ38)))</f>
        <v>262.57692309999993</v>
      </c>
      <c r="AJ39" s="13">
        <f>AI39*VLOOKUP('Données projet'!$B$10,Paramètres!$A$1:$I$89,3,0)*VLOOKUP('Données projet'!$B$10,Paramètres!$A$1:$I$89,5,0)</f>
        <v>157.02100001379995</v>
      </c>
      <c r="AK39" s="13">
        <f t="shared" si="35"/>
        <v>40.169860447398378</v>
      </c>
      <c r="AL39" s="20">
        <f t="shared" si="4"/>
        <v>343.4407486365871</v>
      </c>
      <c r="AM39" s="59">
        <f t="shared" si="5"/>
        <v>606.50511461269514</v>
      </c>
      <c r="AN39" s="59">
        <f ca="1">AVERAGE(OFFSET($AM$3,0,0,'Données projet'!$E$10+1,1))-AVERAGE(OFFSET($H$3,0,0,'Données projet'!$E$10+1,1))</f>
        <v>270.29397440778314</v>
      </c>
      <c r="AO39" s="59">
        <f t="shared" si="36"/>
        <v>281.95928682679596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64.553846149999998</v>
      </c>
      <c r="AR39" s="16">
        <f>IF(ISNA(VLOOKUP(A39,'Données projet'!$A$61:$I$81,5,0)),0%,VLOOKUP(A39,'Données projet'!$A$61:$I$81,5,0)*VLOOKUP('Données projet'!$B$10,Paramètres!$A$1:$I$89,7,0))</f>
        <v>0.315</v>
      </c>
      <c r="AS39" s="16">
        <f>IF(ISNA(VLOOKUP(A39,'Données projet'!$A$61:$I$81,6,0)),0%,VLOOKUP(A39,'Données projet'!$A$61:$I$81,6,0)*VLOOKUP('Données projet'!$B$10,Paramètres!$A$1:$I$89,7,0))</f>
        <v>7.5600000000000001E-2</v>
      </c>
      <c r="AT39" s="16">
        <f>IF(ISNA(VLOOKUP(A39,'Données projet'!$A$61:$I$81,7,0)),0%,VLOOKUP(A39,'Données projet'!$A$61:$I$81,7,0))</f>
        <v>0.13200000000000001</v>
      </c>
      <c r="AU39" s="21">
        <f>EXP(-LN(2)/35)*AU38+(1-EXP(-LN(2)/35))/(LN(2)/35)*AQ39*AR39*VLOOKUP('Données projet'!$B$10,Paramètres!$A$1:$I$89,3,0)*0.475*44/12</f>
        <v>26.499205402902163</v>
      </c>
      <c r="AV39" s="21">
        <f>EXP(-LN(2)/25)*AV38+(1-EXP(-LN(2)/25))/(LN(2)/25)*Calculateur!AQ39*Calculateur!AS39*VLOOKUP('Données projet'!$B$10,Paramètres!$A$1:$I$89,3,0)*0.475*44/12</f>
        <v>18.661777774113204</v>
      </c>
      <c r="AW39" s="21">
        <f>EXP(-LN(2)/2)*AW38+(1-EXP(-LN(2)/2))/(LN(2)/2)*AQ39*AT39*VLOOKUP('Données projet'!$B$10,Paramètres!$A$1:$I$89,3,0)*0.475*44/12</f>
        <v>6.3413214336435502</v>
      </c>
      <c r="AX39" s="21">
        <f t="shared" si="6"/>
        <v>51.502304610658918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61.744827084393094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11.443589743589744</v>
      </c>
      <c r="BD39" s="12">
        <f>IF('Données projet'!$A$88&gt;35,BD38+BC39-BL38,IF(A39&lt;'Données projet'!$A$88,$BA$205^A39,IF(A39='Données projet'!$A$88,'Données projet'!$B$88,BD38+BC39-BL38)))</f>
        <v>215.9153846153846</v>
      </c>
      <c r="BE39" s="13">
        <f>BD39*VLOOKUP('Données projet'!$B$11,Paramètres!$A$1:$I$89,3,0)*VLOOKUP('Données projet'!$B$11,Paramètres!$A$1:$I$89,5,0)</f>
        <v>101.04839999999999</v>
      </c>
      <c r="BF39" s="13">
        <f t="shared" si="37"/>
        <v>27.21161258263702</v>
      </c>
      <c r="BG39" s="20">
        <f t="shared" si="7"/>
        <v>223.38618858142613</v>
      </c>
      <c r="BH39" s="59">
        <f t="shared" si="8"/>
        <v>486.45055455753413</v>
      </c>
      <c r="BI39" s="59">
        <f ca="1">AVERAGE(OFFSET($BH$3,0,0,'Données projet'!$E$11+1,1))-AVERAGE(OFFSET($H$3,0,0,'Données projet'!$E$11+1,1))</f>
        <v>308.70979446846718</v>
      </c>
      <c r="BJ39" s="59">
        <f t="shared" si="38"/>
        <v>202.33469175293314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61.744827084393094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61.744827084393094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61.744827084393094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61.744827084393094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61.744827084393094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61.744827084393094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61.744827084393094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3.1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11.366666666666667</v>
      </c>
      <c r="H40" s="67">
        <f t="shared" si="1"/>
        <v>211.20000000000002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61.888035878677115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268.16923076923075</v>
      </c>
      <c r="L40" s="12">
        <f>VLOOKUP(A40,'Données projet'!$A$35:$I$55,9,0)</f>
        <v>15.48351648351648</v>
      </c>
      <c r="M40" s="12">
        <f t="array" ref="M40">INDEX(L:L,MIN(IF(ISNUMBER(L40:L236),ROW(L40:L236),"")))</f>
        <v>15.48351648351648</v>
      </c>
      <c r="N40" s="13">
        <f>IF('Données projet'!$A$36&gt;35,N39+M40-V39,IF(A40&lt;'Données projet'!$A$36,$K$205^A40,IF(A40='Données projet'!$A$36,'Données projet'!$B$36,N39+M40-V39)))</f>
        <v>268.16923076923075</v>
      </c>
      <c r="O40" s="13">
        <f>N40*VLOOKUP('Données projet'!$B$9,Paramètres!$A$1:$I$89,3,0)*VLOOKUP('Données projet'!$B$9,Paramètres!$A$1:$I$89,5,0)</f>
        <v>160.36520000000002</v>
      </c>
      <c r="P40" s="13">
        <f t="shared" si="33"/>
        <v>40.924876352970031</v>
      </c>
      <c r="Q40" s="20">
        <f t="shared" si="53"/>
        <v>350.58021631475617</v>
      </c>
      <c r="R40" s="59">
        <f t="shared" si="0"/>
        <v>614.16968120323895</v>
      </c>
      <c r="S40" s="59">
        <f ca="1">AVERAGE(OFFSET($R$3,0,0,'Données projet'!$E$9+1,1))-AVERAGE(OFFSET($H$3,0,0,'Données projet'!$E$9+1,1))</f>
        <v>369.06880001017635</v>
      </c>
      <c r="T40" s="59">
        <f t="shared" si="34"/>
        <v>331.91233237772281</v>
      </c>
      <c r="U40" s="15">
        <f>IF(ISNA(VLOOKUP(A40,'Données projet'!$A$35:$I$55,3,0)),0,VLOOKUP(A40,'Données projet'!$A$35:$I$55,3,0))</f>
        <v>4</v>
      </c>
      <c r="V40" s="15">
        <f>IF(ISNA(VLOOKUP(A40,'Données projet'!$A$35:$I$55,4,0)),0,VLOOKUP(A40,'Données projet'!$A$35:$I$55,4,0))</f>
        <v>43.623076923076923</v>
      </c>
      <c r="W40" s="16">
        <f>IF(ISNA(VLOOKUP(A40,'Données projet'!$A$35:$I$55,5,0)),0%,VLOOKUP(A40,'Données projet'!$A$35:$I$55,5,0)*VLOOKUP('Données projet'!$B$9,Paramètres!$A$1:$I$89,7,0))</f>
        <v>0.315</v>
      </c>
      <c r="X40" s="16">
        <f>IF(ISNA(VLOOKUP(A40,'Données projet'!$A$35:$I$55,6,0)),0%,VLOOKUP(A40,'Données projet'!$A$35:$I$55,6,0)*VLOOKUP('Données projet'!$B$9,Paramètres!$A$1:$I$89,7,0))</f>
        <v>7.5600000000000001E-2</v>
      </c>
      <c r="Y40" s="16">
        <f>IF(ISNA(VLOOKUP(A40,'Données projet'!$A$35:$I$55,7,0)),0%,VLOOKUP(A40,'Données projet'!$A$35:$I$55,7,0))</f>
        <v>0.13200000000000001</v>
      </c>
      <c r="Z40" s="21">
        <f>EXP(-LN(2)/35)*Z39+(1-EXP(-LN(2)/35))/(LN(2)/35)*V40*W40*VLOOKUP('Données projet'!$B$9,Paramètres!$A$1:$I$89,3,0)*0.475*44/12</f>
        <v>30.861248982537887</v>
      </c>
      <c r="AA40" s="21">
        <f>EXP(-LN(2)/25)*AA39+(1-EXP(-LN(2)/25))/(LN(2)/25)*Calculateur!V40*Calculateur!X40*VLOOKUP('Données projet'!$B$9,Paramètres!$A$1:$I$89,3,0)*0.475*44/12</f>
        <v>12.664023568731189</v>
      </c>
      <c r="AB40" s="21">
        <f>EXP(-LN(2)/2)*AB39+(1-EXP(-LN(2)/2))/(LN(2)/2)*V40*Y40*VLOOKUP('Données projet'!$B$9,Paramètres!$A$1:$I$89,3,0)*0.475*44/12</f>
        <v>4.4070963233694158</v>
      </c>
      <c r="AC40" s="22">
        <f t="shared" si="3"/>
        <v>47.932368874638492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61.888035878677115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13.141346156249998</v>
      </c>
      <c r="AI40" s="13">
        <f>IF('Données projet'!$A$62&gt;35,AI39+AH40-AQ39,IF(A40&lt;'Données projet'!$A$62,$AF$205^A40,IF(A40='Données projet'!$A$62,'Données projet'!$B$62,AI39+AH40-AQ39)))</f>
        <v>211.16442310624993</v>
      </c>
      <c r="AJ40" s="13">
        <f>AI40*VLOOKUP('Données projet'!$B$10,Paramètres!$A$1:$I$89,3,0)*VLOOKUP('Données projet'!$B$10,Paramètres!$A$1:$I$89,5,0)</f>
        <v>126.27632501753746</v>
      </c>
      <c r="AK40" s="13">
        <f t="shared" si="35"/>
        <v>33.134477455937727</v>
      </c>
      <c r="AL40" s="20">
        <f t="shared" si="4"/>
        <v>277.64048097463598</v>
      </c>
      <c r="AM40" s="59">
        <f t="shared" si="5"/>
        <v>541.2299458631187</v>
      </c>
      <c r="AN40" s="59">
        <f ca="1">AVERAGE(OFFSET($AM$3,0,0,'Données projet'!$E$10+1,1))-AVERAGE(OFFSET($H$3,0,0,'Données projet'!$E$10+1,1))</f>
        <v>270.29397440778314</v>
      </c>
      <c r="AO40" s="59">
        <f t="shared" si="36"/>
        <v>281.95928682679596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25.979572147870591</v>
      </c>
      <c r="AV40" s="21">
        <f>EXP(-LN(2)/25)*AV39+(1-EXP(-LN(2)/25))/(LN(2)/25)*Calculateur!AQ40*Calculateur!AS40*VLOOKUP('Données projet'!$B$10,Paramètres!$A$1:$I$89,3,0)*0.475*44/12</f>
        <v>18.151470479499839</v>
      </c>
      <c r="AW40" s="21">
        <f>EXP(-LN(2)/2)*AW39+(1-EXP(-LN(2)/2))/(LN(2)/2)*AQ40*AT40*VLOOKUP('Données projet'!$B$10,Paramètres!$A$1:$I$89,3,0)*0.475*44/12</f>
        <v>4.4839913874129538</v>
      </c>
      <c r="AX40" s="21">
        <f t="shared" si="6"/>
        <v>48.61503401478339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61.888035878677115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11.443589743589744</v>
      </c>
      <c r="BD40" s="12">
        <f>IF('Données projet'!$A$88&gt;35,BD39+BC40-BL39,IF(A40&lt;'Données projet'!$A$88,$BA$205^A40,IF(A40='Données projet'!$A$88,'Données projet'!$B$88,BD39+BC40-BL39)))</f>
        <v>227.35897435897434</v>
      </c>
      <c r="BE40" s="13">
        <f>BD40*VLOOKUP('Données projet'!$B$11,Paramètres!$A$1:$I$89,3,0)*VLOOKUP('Données projet'!$B$11,Paramètres!$A$1:$I$89,5,0)</f>
        <v>106.40399999999998</v>
      </c>
      <c r="BF40" s="13">
        <f t="shared" si="37"/>
        <v>28.482106989387589</v>
      </c>
      <c r="BG40" s="20">
        <f t="shared" si="7"/>
        <v>234.92663633985001</v>
      </c>
      <c r="BH40" s="59">
        <f t="shared" si="8"/>
        <v>498.51610122833273</v>
      </c>
      <c r="BI40" s="59">
        <f ca="1">AVERAGE(OFFSET($BH$3,0,0,'Données projet'!$E$11+1,1))-AVERAGE(OFFSET($H$3,0,0,'Données projet'!$E$11+1,1))</f>
        <v>308.70979446846718</v>
      </c>
      <c r="BJ40" s="59">
        <f t="shared" si="38"/>
        <v>202.33469175293314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61.888035878677115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61.888035878677115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61.888035878677115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61.888035878677115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61.888035878677115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61.888035878677115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61.888035878677115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3.1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11.366666666666667</v>
      </c>
      <c r="H41" s="67">
        <f t="shared" si="1"/>
        <v>211.20000000000002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62.028760320547207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15.364102564102561</v>
      </c>
      <c r="N41" s="13">
        <f>IF('Données projet'!$A$36&gt;35,N40+M41-V40,IF(A41&lt;'Données projet'!$A$36,$K$205^A41,IF(A41='Données projet'!$A$36,'Données projet'!$B$36,N40+M41-V40)))</f>
        <v>239.91025641025638</v>
      </c>
      <c r="O41" s="13">
        <f>N41*VLOOKUP('Données projet'!$B$9,Paramètres!$A$1:$I$89,3,0)*VLOOKUP('Données projet'!$B$9,Paramètres!$A$1:$I$89,5,0)</f>
        <v>143.46633333333332</v>
      </c>
      <c r="P41" s="13">
        <f t="shared" si="33"/>
        <v>37.089959908428597</v>
      </c>
      <c r="Q41" s="20">
        <f t="shared" si="53"/>
        <v>314.46887739606865</v>
      </c>
      <c r="R41" s="59">
        <f t="shared" si="0"/>
        <v>578.57433190474171</v>
      </c>
      <c r="S41" s="59">
        <f ca="1">AVERAGE(OFFSET($R$3,0,0,'Données projet'!$E$9+1,1))-AVERAGE(OFFSET($H$3,0,0,'Données projet'!$E$9+1,1))</f>
        <v>369.06880001017635</v>
      </c>
      <c r="T41" s="59">
        <f t="shared" si="34"/>
        <v>331.91233237772281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30.256078713493533</v>
      </c>
      <c r="AA41" s="21">
        <f>EXP(-LN(2)/25)*AA40+(1-EXP(-LN(2)/25))/(LN(2)/25)*Calculateur!V41*Calculateur!X41*VLOOKUP('Données projet'!$B$9,Paramètres!$A$1:$I$89,3,0)*0.475*44/12</f>
        <v>12.317725178272179</v>
      </c>
      <c r="AB41" s="21">
        <f>EXP(-LN(2)/2)*AB40+(1-EXP(-LN(2)/2))/(LN(2)/2)*V41*Y41*VLOOKUP('Données projet'!$B$9,Paramètres!$A$1:$I$89,3,0)*0.475*44/12</f>
        <v>3.116287695596816</v>
      </c>
      <c r="AC41" s="22">
        <f t="shared" si="3"/>
        <v>45.690091587362531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62.028760320547207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13.141346156249998</v>
      </c>
      <c r="AI41" s="13">
        <f>IF('Données projet'!$A$62&gt;35,AI40+AH41-AQ40,IF(A41&lt;'Données projet'!$A$62,$AF$205^A41,IF(A41='Données projet'!$A$62,'Données projet'!$B$62,AI40+AH41-AQ40)))</f>
        <v>224.30576926249992</v>
      </c>
      <c r="AJ41" s="13">
        <f>AI41*VLOOKUP('Données projet'!$B$10,Paramètres!$A$1:$I$89,3,0)*VLOOKUP('Données projet'!$B$10,Paramètres!$A$1:$I$89,5,0)</f>
        <v>134.13485001897496</v>
      </c>
      <c r="AK41" s="13">
        <f t="shared" si="35"/>
        <v>34.950053700171743</v>
      </c>
      <c r="AL41" s="20">
        <f t="shared" si="4"/>
        <v>294.48954064418047</v>
      </c>
      <c r="AM41" s="59">
        <f t="shared" si="5"/>
        <v>558.59499515285347</v>
      </c>
      <c r="AN41" s="59">
        <f ca="1">AVERAGE(OFFSET($AM$3,0,0,'Données projet'!$E$10+1,1))-AVERAGE(OFFSET($H$3,0,0,'Données projet'!$E$10+1,1))</f>
        <v>270.29397440778314</v>
      </c>
      <c r="AO41" s="59">
        <f t="shared" si="36"/>
        <v>281.95928682679596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25.470128584025201</v>
      </c>
      <c r="AV41" s="21">
        <f>EXP(-LN(2)/25)*AV40+(1-EXP(-LN(2)/25))/(LN(2)/25)*Calculateur!AQ41*Calculateur!AS41*VLOOKUP('Données projet'!$B$10,Paramètres!$A$1:$I$89,3,0)*0.475*44/12</f>
        <v>17.655117564693569</v>
      </c>
      <c r="AW41" s="21">
        <f>EXP(-LN(2)/2)*AW40+(1-EXP(-LN(2)/2))/(LN(2)/2)*AQ41*AT41*VLOOKUP('Données projet'!$B$10,Paramètres!$A$1:$I$89,3,0)*0.475*44/12</f>
        <v>3.1706607168217755</v>
      </c>
      <c r="AX41" s="21">
        <f t="shared" si="6"/>
        <v>46.295906865540552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62.028760320547207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11.443589743589744</v>
      </c>
      <c r="BD41" s="12">
        <f>IF('Données projet'!$A$88&gt;35,BD40+BC41-BL40,IF(A41&lt;'Données projet'!$A$88,$BA$205^A41,IF(A41='Données projet'!$A$88,'Données projet'!$B$88,BD40+BC41-BL40)))</f>
        <v>238.80256410256408</v>
      </c>
      <c r="BE41" s="13">
        <f>BD41*VLOOKUP('Données projet'!$B$11,Paramètres!$A$1:$I$89,3,0)*VLOOKUP('Données projet'!$B$11,Paramètres!$A$1:$I$89,5,0)</f>
        <v>111.75959999999998</v>
      </c>
      <c r="BF41" s="13">
        <f t="shared" si="37"/>
        <v>29.745176370290782</v>
      </c>
      <c r="BG41" s="20">
        <f t="shared" si="7"/>
        <v>246.45415217825635</v>
      </c>
      <c r="BH41" s="59">
        <f t="shared" si="8"/>
        <v>510.55960668692944</v>
      </c>
      <c r="BI41" s="59">
        <f ca="1">AVERAGE(OFFSET($BH$3,0,0,'Données projet'!$E$11+1,1))-AVERAGE(OFFSET($H$3,0,0,'Données projet'!$E$11+1,1))</f>
        <v>308.70979446846718</v>
      </c>
      <c r="BJ41" s="59">
        <f t="shared" si="38"/>
        <v>202.33469175293314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62.028760320547207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62.028760320547207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62.028760320547207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62.028760320547207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62.028760320547207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62.028760320547207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62.028760320547207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3.1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11.366666666666667</v>
      </c>
      <c r="H42" s="67">
        <f t="shared" si="1"/>
        <v>211.20000000000002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62.167043507963569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15.364102564102561</v>
      </c>
      <c r="N42" s="13">
        <f>IF('Données projet'!$A$36&gt;35,N41+M42-V41,IF(A42&lt;'Données projet'!$A$36,$K$205^A42,IF(A42='Données projet'!$A$36,'Données projet'!$B$36,N41+M42-V41)))</f>
        <v>255.27435897435893</v>
      </c>
      <c r="O42" s="13">
        <f>N42*VLOOKUP('Données projet'!$B$9,Paramètres!$A$1:$I$89,3,0)*VLOOKUP('Données projet'!$B$9,Paramètres!$A$1:$I$89,5,0)</f>
        <v>152.65406666666664</v>
      </c>
      <c r="P42" s="13">
        <f t="shared" si="33"/>
        <v>39.18111473980327</v>
      </c>
      <c r="Q42" s="20">
        <f t="shared" si="53"/>
        <v>334.11294094960175</v>
      </c>
      <c r="R42" s="59">
        <f t="shared" si="0"/>
        <v>598.72543381213484</v>
      </c>
      <c r="S42" s="59">
        <f ca="1">AVERAGE(OFFSET($R$3,0,0,'Données projet'!$E$9+1,1))-AVERAGE(OFFSET($H$3,0,0,'Données projet'!$E$9+1,1))</f>
        <v>369.06880001017635</v>
      </c>
      <c r="T42" s="59">
        <f t="shared" si="34"/>
        <v>331.91233237772281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29.662775464307721</v>
      </c>
      <c r="AA42" s="21">
        <f>EXP(-LN(2)/25)*AA41+(1-EXP(-LN(2)/25))/(LN(2)/25)*Calculateur!V42*Calculateur!X42*VLOOKUP('Données projet'!$B$9,Paramètres!$A$1:$I$89,3,0)*0.475*44/12</f>
        <v>11.980896335511311</v>
      </c>
      <c r="AB42" s="21">
        <f>EXP(-LN(2)/2)*AB41+(1-EXP(-LN(2)/2))/(LN(2)/2)*V42*Y42*VLOOKUP('Données projet'!$B$9,Paramètres!$A$1:$I$89,3,0)*0.475*44/12</f>
        <v>2.2035481616847084</v>
      </c>
      <c r="AC42" s="22">
        <f t="shared" si="3"/>
        <v>43.84721996150374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62.167043507963569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13.141346156249998</v>
      </c>
      <c r="AI42" s="13">
        <f>IF('Données projet'!$A$62&gt;35,AI41+AH42-AQ41,IF(A42&lt;'Données projet'!$A$62,$AF$205^A42,IF(A42='Données projet'!$A$62,'Données projet'!$B$62,AI41+AH42-AQ41)))</f>
        <v>237.44711541874992</v>
      </c>
      <c r="AJ42" s="13">
        <f>AI42*VLOOKUP('Données projet'!$B$10,Paramètres!$A$1:$I$89,3,0)*VLOOKUP('Données projet'!$B$10,Paramètres!$A$1:$I$89,5,0)</f>
        <v>141.99337502041246</v>
      </c>
      <c r="AK42" s="13">
        <f t="shared" si="35"/>
        <v>36.753283292697269</v>
      </c>
      <c r="AL42" s="20">
        <f t="shared" si="4"/>
        <v>311.31709656199939</v>
      </c>
      <c r="AM42" s="59">
        <f t="shared" si="5"/>
        <v>575.92958942453242</v>
      </c>
      <c r="AN42" s="59">
        <f ca="1">AVERAGE(OFFSET($AM$3,0,0,'Données projet'!$E$10+1,1))-AVERAGE(OFFSET($H$3,0,0,'Données projet'!$E$10+1,1))</f>
        <v>270.29397440778314</v>
      </c>
      <c r="AO42" s="59">
        <f t="shared" si="36"/>
        <v>281.95928682679596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24.970674897736924</v>
      </c>
      <c r="AV42" s="21">
        <f>EXP(-LN(2)/25)*AV41+(1-EXP(-LN(2)/25))/(LN(2)/25)*Calculateur!AQ42*Calculateur!AS42*VLOOKUP('Données projet'!$B$10,Paramètres!$A$1:$I$89,3,0)*0.475*44/12</f>
        <v>17.172337446444743</v>
      </c>
      <c r="AW42" s="21">
        <f>EXP(-LN(2)/2)*AW41+(1-EXP(-LN(2)/2))/(LN(2)/2)*AQ42*AT42*VLOOKUP('Données projet'!$B$10,Paramètres!$A$1:$I$89,3,0)*0.475*44/12</f>
        <v>2.2419956937064773</v>
      </c>
      <c r="AX42" s="21">
        <f t="shared" si="6"/>
        <v>44.385008037888149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62.167043507963569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11.443589743589744</v>
      </c>
      <c r="BD42" s="12">
        <f>IF('Données projet'!$A$88&gt;35,BD41+BC42-BL41,IF(A42&lt;'Données projet'!$A$88,$BA$205^A42,IF(A42='Données projet'!$A$88,'Données projet'!$B$88,BD41+BC42-BL41)))</f>
        <v>250.24615384615382</v>
      </c>
      <c r="BE42" s="13">
        <f>BD42*VLOOKUP('Données projet'!$B$11,Paramètres!$A$1:$I$89,3,0)*VLOOKUP('Données projet'!$B$11,Paramètres!$A$1:$I$89,5,0)</f>
        <v>117.11519999999997</v>
      </c>
      <c r="BF42" s="13">
        <f t="shared" si="37"/>
        <v>31.001217159106822</v>
      </c>
      <c r="BG42" s="20">
        <f t="shared" si="7"/>
        <v>257.96942655211097</v>
      </c>
      <c r="BH42" s="59">
        <f t="shared" si="8"/>
        <v>522.58191941464406</v>
      </c>
      <c r="BI42" s="59">
        <f ca="1">AVERAGE(OFFSET($BH$3,0,0,'Données projet'!$E$11+1,1))-AVERAGE(OFFSET($H$3,0,0,'Données projet'!$E$11+1,1))</f>
        <v>308.70979446846718</v>
      </c>
      <c r="BJ42" s="59">
        <f t="shared" si="38"/>
        <v>202.33469175293314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62.167043507963569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62.167043507963569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62.167043507963569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62.167043507963569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62.167043507963569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62.167043507963569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62.167043507963569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3.1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11.366666666666667</v>
      </c>
      <c r="H43" s="67">
        <f t="shared" si="1"/>
        <v>211.20000000000002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62.302927791233159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15.364102564102561</v>
      </c>
      <c r="N43" s="13">
        <f>IF('Données projet'!$A$36&gt;35,N42+M43-V42,IF(A43&lt;'Données projet'!$A$36,$K$205^A43,IF(A43='Données projet'!$A$36,'Données projet'!$B$36,N42+M43-V42)))</f>
        <v>270.63846153846151</v>
      </c>
      <c r="O43" s="13">
        <f>N43*VLOOKUP('Données projet'!$B$9,Paramètres!$A$1:$I$89,3,0)*VLOOKUP('Données projet'!$B$9,Paramètres!$A$1:$I$89,5,0)</f>
        <v>161.84180000000001</v>
      </c>
      <c r="P43" s="13">
        <f t="shared" si="33"/>
        <v>41.257661408086413</v>
      </c>
      <c r="Q43" s="20">
        <f t="shared" si="53"/>
        <v>353.73156195241717</v>
      </c>
      <c r="R43" s="59">
        <f t="shared" si="0"/>
        <v>618.84229718693882</v>
      </c>
      <c r="S43" s="59">
        <f ca="1">AVERAGE(OFFSET($R$3,0,0,'Données projet'!$E$9+1,1))-AVERAGE(OFFSET($H$3,0,0,'Données projet'!$E$9+1,1))</f>
        <v>369.06880001017635</v>
      </c>
      <c r="T43" s="59">
        <f t="shared" si="34"/>
        <v>331.91233237772281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29.081106529959193</v>
      </c>
      <c r="AA43" s="21">
        <f>EXP(-LN(2)/25)*AA42+(1-EXP(-LN(2)/25))/(LN(2)/25)*Calculateur!V43*Calculateur!X43*VLOOKUP('Données projet'!$B$9,Paramètres!$A$1:$I$89,3,0)*0.475*44/12</f>
        <v>11.653278095168798</v>
      </c>
      <c r="AB43" s="21">
        <f>EXP(-LN(2)/2)*AB42+(1-EXP(-LN(2)/2))/(LN(2)/2)*V43*Y43*VLOOKUP('Données projet'!$B$9,Paramètres!$A$1:$I$89,3,0)*0.475*44/12</f>
        <v>1.5581438477984082</v>
      </c>
      <c r="AC43" s="22">
        <f t="shared" si="3"/>
        <v>42.292528472926392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62.302927791233159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13.141346156249998</v>
      </c>
      <c r="AI43" s="13">
        <f>IF('Données projet'!$A$62&gt;35,AI42+AH43-AQ42,IF(A43&lt;'Données projet'!$A$62,$AF$205^A43,IF(A43='Données projet'!$A$62,'Données projet'!$B$62,AI42+AH43-AQ42)))</f>
        <v>250.58846157499991</v>
      </c>
      <c r="AJ43" s="13">
        <f>AI43*VLOOKUP('Données projet'!$B$10,Paramètres!$A$1:$I$89,3,0)*VLOOKUP('Données projet'!$B$10,Paramètres!$A$1:$I$89,5,0)</f>
        <v>149.85190002184996</v>
      </c>
      <c r="AK43" s="13">
        <f t="shared" si="35"/>
        <v>38.54492743468937</v>
      </c>
      <c r="AL43" s="20">
        <f t="shared" si="4"/>
        <v>328.12447448680598</v>
      </c>
      <c r="AM43" s="59">
        <f t="shared" si="5"/>
        <v>593.23520972132758</v>
      </c>
      <c r="AN43" s="59">
        <f ca="1">AVERAGE(OFFSET($AM$3,0,0,'Données projet'!$E$10+1,1))-AVERAGE(OFFSET($H$3,0,0,'Données projet'!$E$10+1,1))</f>
        <v>270.29397440778314</v>
      </c>
      <c r="AO43" s="59">
        <f t="shared" si="36"/>
        <v>281.95928682679596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24.481015193600093</v>
      </c>
      <c r="AV43" s="21">
        <f>EXP(-LN(2)/25)*AV42+(1-EXP(-LN(2)/25))/(LN(2)/25)*Calculateur!AQ43*Calculateur!AS43*VLOOKUP('Données projet'!$B$10,Paramètres!$A$1:$I$89,3,0)*0.475*44/12</f>
        <v>16.702758975917732</v>
      </c>
      <c r="AW43" s="21">
        <f>EXP(-LN(2)/2)*AW42+(1-EXP(-LN(2)/2))/(LN(2)/2)*AQ43*AT43*VLOOKUP('Données projet'!$B$10,Paramètres!$A$1:$I$89,3,0)*0.475*44/12</f>
        <v>1.585330358410888</v>
      </c>
      <c r="AX43" s="21">
        <f t="shared" si="6"/>
        <v>42.769104527928711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62.302927791233159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11.443589743589744</v>
      </c>
      <c r="BD43" s="12">
        <f>IF('Données projet'!$A$88&gt;35,BD42+BC43-BL42,IF(A43&lt;'Données projet'!$A$88,$BA$205^A43,IF(A43='Données projet'!$A$88,'Données projet'!$B$88,BD42+BC43-BL42)))</f>
        <v>261.68974358974356</v>
      </c>
      <c r="BE43" s="13">
        <f>BD43*VLOOKUP('Données projet'!$B$11,Paramètres!$A$1:$I$89,3,0)*VLOOKUP('Données projet'!$B$11,Paramètres!$A$1:$I$89,5,0)</f>
        <v>122.47079999999997</v>
      </c>
      <c r="BF43" s="13">
        <f t="shared" si="37"/>
        <v>32.25058748290914</v>
      </c>
      <c r="BG43" s="20">
        <f t="shared" si="7"/>
        <v>269.47308319939998</v>
      </c>
      <c r="BH43" s="59">
        <f t="shared" si="8"/>
        <v>534.58381843392158</v>
      </c>
      <c r="BI43" s="59">
        <f ca="1">AVERAGE(OFFSET($BH$3,0,0,'Données projet'!$E$11+1,1))-AVERAGE(OFFSET($H$3,0,0,'Données projet'!$E$11+1,1))</f>
        <v>308.70979446846718</v>
      </c>
      <c r="BJ43" s="59">
        <f t="shared" si="38"/>
        <v>202.33469175293314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62.302927791233159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62.302927791233159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62.302927791233159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62.302927791233159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62.302927791233159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62.302927791233159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62.302927791233159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3.1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11.366666666666667</v>
      </c>
      <c r="H44" s="67">
        <f t="shared" si="1"/>
        <v>211.20000000000002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62.436454785979755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15.364102564102561</v>
      </c>
      <c r="N44" s="13">
        <f>IF('Données projet'!$A$36&gt;35,N43+M44-V43,IF(A44&lt;'Données projet'!$A$36,$K$205^A44,IF(A44='Données projet'!$A$36,'Données projet'!$B$36,N43+M44-V43)))</f>
        <v>286.00256410256407</v>
      </c>
      <c r="O44" s="13">
        <f>N44*VLOOKUP('Données projet'!$B$9,Paramètres!$A$1:$I$89,3,0)*VLOOKUP('Données projet'!$B$9,Paramètres!$A$1:$I$89,5,0)</f>
        <v>171.02953333333335</v>
      </c>
      <c r="P44" s="13">
        <f t="shared" si="33"/>
        <v>43.320523714936215</v>
      </c>
      <c r="Q44" s="20">
        <f t="shared" si="53"/>
        <v>373.32634935906952</v>
      </c>
      <c r="R44" s="59">
        <f t="shared" si="0"/>
        <v>638.92668357432854</v>
      </c>
      <c r="S44" s="59">
        <f ca="1">AVERAGE(OFFSET($R$3,0,0,'Données projet'!$E$9+1,1))-AVERAGE(OFFSET($H$3,0,0,'Données projet'!$E$9+1,1))</f>
        <v>369.06880001017635</v>
      </c>
      <c r="T44" s="59">
        <f t="shared" si="34"/>
        <v>331.91233237772281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28.51084376863022</v>
      </c>
      <c r="AA44" s="21">
        <f>EXP(-LN(2)/25)*AA43+(1-EXP(-LN(2)/25))/(LN(2)/25)*Calculateur!V44*Calculateur!X44*VLOOKUP('Données projet'!$B$9,Paramètres!$A$1:$I$89,3,0)*0.475*44/12</f>
        <v>11.334618592837145</v>
      </c>
      <c r="AB44" s="21">
        <f>EXP(-LN(2)/2)*AB43+(1-EXP(-LN(2)/2))/(LN(2)/2)*V44*Y44*VLOOKUP('Données projet'!$B$9,Paramètres!$A$1:$I$89,3,0)*0.475*44/12</f>
        <v>1.1017740808423544</v>
      </c>
      <c r="AC44" s="22">
        <f t="shared" si="3"/>
        <v>40.947236442309723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62.436454785979755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13.141346156249998</v>
      </c>
      <c r="AI44" s="13">
        <f>IF('Données projet'!$A$62&gt;35,AI43+AH44-AQ43,IF(A44&lt;'Données projet'!$A$62,$AF$205^A44,IF(A44='Données projet'!$A$62,'Données projet'!$B$62,AI43+AH44-AQ43)))</f>
        <v>263.72980773124993</v>
      </c>
      <c r="AJ44" s="13">
        <f>AI44*VLOOKUP('Données projet'!$B$10,Paramètres!$A$1:$I$89,3,0)*VLOOKUP('Données projet'!$B$10,Paramètres!$A$1:$I$89,5,0)</f>
        <v>157.71042502328748</v>
      </c>
      <c r="AK44" s="13">
        <f t="shared" si="35"/>
        <v>40.325662980335863</v>
      </c>
      <c r="AL44" s="20">
        <f t="shared" si="4"/>
        <v>344.91285327297737</v>
      </c>
      <c r="AM44" s="59">
        <f t="shared" si="5"/>
        <v>610.51318748823644</v>
      </c>
      <c r="AN44" s="59">
        <f ca="1">AVERAGE(OFFSET($AM$3,0,0,'Données projet'!$E$10+1,1))-AVERAGE(OFFSET($H$3,0,0,'Données projet'!$E$10+1,1))</f>
        <v>270.29397440778314</v>
      </c>
      <c r="AO44" s="59">
        <f t="shared" si="36"/>
        <v>281.95928682679596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24.000957417598457</v>
      </c>
      <c r="AV44" s="21">
        <f>EXP(-LN(2)/25)*AV43+(1-EXP(-LN(2)/25))/(LN(2)/25)*Calculateur!AQ44*Calculateur!AS44*VLOOKUP('Données projet'!$B$10,Paramètres!$A$1:$I$89,3,0)*0.475*44/12</f>
        <v>16.24602115336134</v>
      </c>
      <c r="AW44" s="21">
        <f>EXP(-LN(2)/2)*AW43+(1-EXP(-LN(2)/2))/(LN(2)/2)*AQ44*AT44*VLOOKUP('Données projet'!$B$10,Paramètres!$A$1:$I$89,3,0)*0.475*44/12</f>
        <v>1.1209978468532389</v>
      </c>
      <c r="AX44" s="21">
        <f t="shared" si="6"/>
        <v>41.367976417813033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62.436454785979755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11.443589743589744</v>
      </c>
      <c r="BD44" s="12">
        <f>IF('Données projet'!$A$88&gt;35,BD43+BC44-BL43,IF(A44&lt;'Données projet'!$A$88,$BA$205^A44,IF(A44='Données projet'!$A$88,'Données projet'!$B$88,BD43+BC44-BL43)))</f>
        <v>273.13333333333333</v>
      </c>
      <c r="BE44" s="13">
        <f>BD44*VLOOKUP('Données projet'!$B$11,Paramètres!$A$1:$I$89,3,0)*VLOOKUP('Données projet'!$B$11,Paramètres!$A$1:$I$89,5,0)</f>
        <v>127.82639999999999</v>
      </c>
      <c r="BF44" s="13">
        <f t="shared" si="37"/>
        <v>33.493612376128482</v>
      </c>
      <c r="BG44" s="20">
        <f t="shared" si="7"/>
        <v>280.96568822175709</v>
      </c>
      <c r="BH44" s="59">
        <f t="shared" si="8"/>
        <v>546.56602243701616</v>
      </c>
      <c r="BI44" s="59">
        <f ca="1">AVERAGE(OFFSET($BH$3,0,0,'Données projet'!$E$11+1,1))-AVERAGE(OFFSET($H$3,0,0,'Données projet'!$E$11+1,1))</f>
        <v>308.70979446846718</v>
      </c>
      <c r="BJ44" s="59">
        <f t="shared" si="38"/>
        <v>202.33469175293314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62.436454785979755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62.436454785979755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62.436454785979755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62.436454785979755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62.436454785979755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62.436454785979755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62.436454785979755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3.1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11.366666666666667</v>
      </c>
      <c r="H45" s="67">
        <f t="shared" si="1"/>
        <v>211.20000000000002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62.567665385889143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15.364102564102561</v>
      </c>
      <c r="N45" s="13">
        <f>IF('Données projet'!$A$36&gt;35,N44+M45-V44,IF(A45&lt;'Données projet'!$A$36,$K$205^A45,IF(A45='Données projet'!$A$36,'Données projet'!$B$36,N44+M45-V44)))</f>
        <v>301.36666666666662</v>
      </c>
      <c r="O45" s="13">
        <f>N45*VLOOKUP('Données projet'!$B$9,Paramètres!$A$1:$I$89,3,0)*VLOOKUP('Données projet'!$B$9,Paramètres!$A$1:$I$89,5,0)</f>
        <v>180.21726666666666</v>
      </c>
      <c r="P45" s="13">
        <f t="shared" si="33"/>
        <v>45.370520602809727</v>
      </c>
      <c r="Q45" s="20">
        <f t="shared" si="53"/>
        <v>392.89872949433806</v>
      </c>
      <c r="R45" s="59">
        <f t="shared" si="0"/>
        <v>658.98016924259832</v>
      </c>
      <c r="S45" s="59">
        <f ca="1">AVERAGE(OFFSET($R$3,0,0,'Données projet'!$E$9+1,1))-AVERAGE(OFFSET($H$3,0,0,'Données projet'!$E$9+1,1))</f>
        <v>369.06880001017635</v>
      </c>
      <c r="T45" s="59">
        <f t="shared" si="34"/>
        <v>331.91233237772281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27.951763512224971</v>
      </c>
      <c r="AA45" s="21">
        <f>EXP(-LN(2)/25)*AA44+(1-EXP(-LN(2)/25))/(LN(2)/25)*Calculateur!V45*Calculateur!X45*VLOOKUP('Données projet'!$B$9,Paramètres!$A$1:$I$89,3,0)*0.475*44/12</f>
        <v>11.024672851354328</v>
      </c>
      <c r="AB45" s="21">
        <f>EXP(-LN(2)/2)*AB44+(1-EXP(-LN(2)/2))/(LN(2)/2)*V45*Y45*VLOOKUP('Données projet'!$B$9,Paramètres!$A$1:$I$89,3,0)*0.475*44/12</f>
        <v>0.77907192389920432</v>
      </c>
      <c r="AC45" s="22">
        <f t="shared" si="3"/>
        <v>39.755508287478499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62.567665385889143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13.141346156249998</v>
      </c>
      <c r="AI45" s="13">
        <f>IF('Données projet'!$A$62&gt;35,AI44+AH45-AQ44,IF(A45&lt;'Données projet'!$A$62,$AF$205^A45,IF(A45='Données projet'!$A$62,'Données projet'!$B$62,AI44+AH45-AQ44)))</f>
        <v>276.87115388749993</v>
      </c>
      <c r="AJ45" s="13">
        <f>AI45*VLOOKUP('Données projet'!$B$10,Paramètres!$A$1:$I$89,3,0)*VLOOKUP('Données projet'!$B$10,Paramètres!$A$1:$I$89,5,0)</f>
        <v>165.56895002472496</v>
      </c>
      <c r="AK45" s="13">
        <f t="shared" si="35"/>
        <v>42.096095519640414</v>
      </c>
      <c r="AL45" s="20">
        <f t="shared" si="4"/>
        <v>361.68328765643633</v>
      </c>
      <c r="AM45" s="59">
        <f t="shared" si="5"/>
        <v>627.76472740469649</v>
      </c>
      <c r="AN45" s="59">
        <f ca="1">AVERAGE(OFFSET($AM$3,0,0,'Données projet'!$E$10+1,1))-AVERAGE(OFFSET($H$3,0,0,'Données projet'!$E$10+1,1))</f>
        <v>270.29397440778314</v>
      </c>
      <c r="AO45" s="59">
        <f t="shared" si="36"/>
        <v>281.95928682679596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23.530313281777882</v>
      </c>
      <c r="AV45" s="21">
        <f>EXP(-LN(2)/25)*AV44+(1-EXP(-LN(2)/25))/(LN(2)/25)*Calculateur!AQ45*Calculateur!AS45*VLOOKUP('Données projet'!$B$10,Paramètres!$A$1:$I$89,3,0)*0.475*44/12</f>
        <v>15.801772850581553</v>
      </c>
      <c r="AW45" s="21">
        <f>EXP(-LN(2)/2)*AW44+(1-EXP(-LN(2)/2))/(LN(2)/2)*AQ45*AT45*VLOOKUP('Données projet'!$B$10,Paramètres!$A$1:$I$89,3,0)*0.475*44/12</f>
        <v>0.7926651792054441</v>
      </c>
      <c r="AX45" s="21">
        <f t="shared" si="6"/>
        <v>40.124751311564879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62.567665385889143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11.443589743589744</v>
      </c>
      <c r="BD45" s="12">
        <f>IF('Données projet'!$A$88&gt;35,BD44+BC45-BL44,IF(A45&lt;'Données projet'!$A$88,$BA$205^A45,IF(A45='Données projet'!$A$88,'Données projet'!$B$88,BD44+BC45-BL44)))</f>
        <v>284.57692307692309</v>
      </c>
      <c r="BE45" s="13">
        <f>BD45*VLOOKUP('Données projet'!$B$11,Paramètres!$A$1:$I$89,3,0)*VLOOKUP('Données projet'!$B$11,Paramètres!$A$1:$I$89,5,0)</f>
        <v>133.18200000000002</v>
      </c>
      <c r="BF45" s="13">
        <f t="shared" si="37"/>
        <v>34.730588096149795</v>
      </c>
      <c r="BG45" s="20">
        <f t="shared" si="7"/>
        <v>292.44775760079426</v>
      </c>
      <c r="BH45" s="59">
        <f t="shared" si="8"/>
        <v>558.52919734905447</v>
      </c>
      <c r="BI45" s="59">
        <f ca="1">AVERAGE(OFFSET($BH$3,0,0,'Données projet'!$E$11+1,1))-AVERAGE(OFFSET($H$3,0,0,'Données projet'!$E$11+1,1))</f>
        <v>308.70979446846718</v>
      </c>
      <c r="BJ45" s="59">
        <f t="shared" si="38"/>
        <v>202.33469175293314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62.567665385889143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62.567665385889143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62.567665385889143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62.567665385889143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62.567665385889143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62.567665385889143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62.567665385889143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3.1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11.366666666666667</v>
      </c>
      <c r="H46" s="67">
        <f t="shared" si="1"/>
        <v>211.20000000000002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62.696599775233054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15.364102564102561</v>
      </c>
      <c r="N46" s="13">
        <f>IF('Données projet'!$A$36&gt;35,N45+M46-V45,IF(A46&lt;'Données projet'!$A$36,$K$205^A46,IF(A46='Données projet'!$A$36,'Données projet'!$B$36,N45+M46-V45)))</f>
        <v>316.73076923076917</v>
      </c>
      <c r="O46" s="13">
        <f>N46*VLOOKUP('Données projet'!$B$9,Paramètres!$A$1:$I$89,3,0)*VLOOKUP('Données projet'!$B$9,Paramètres!$A$1:$I$89,5,0)</f>
        <v>189.405</v>
      </c>
      <c r="P46" s="13">
        <f t="shared" si="33"/>
        <v>47.408382795872441</v>
      </c>
      <c r="Q46" s="20">
        <f t="shared" si="53"/>
        <v>412.44997503614445</v>
      </c>
      <c r="R46" s="59">
        <f t="shared" si="0"/>
        <v>679.00417421199904</v>
      </c>
      <c r="S46" s="59">
        <f ca="1">AVERAGE(OFFSET($R$3,0,0,'Données projet'!$E$9+1,1))-AVERAGE(OFFSET($H$3,0,0,'Données projet'!$E$9+1,1))</f>
        <v>369.06880001017635</v>
      </c>
      <c r="T46" s="59">
        <f t="shared" si="34"/>
        <v>331.91233237772281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27.403646478642543</v>
      </c>
      <c r="AA46" s="21">
        <f>EXP(-LN(2)/25)*AA45+(1-EXP(-LN(2)/25))/(LN(2)/25)*Calculateur!V46*Calculateur!X46*VLOOKUP('Données projet'!$B$9,Paramètres!$A$1:$I$89,3,0)*0.475*44/12</f>
        <v>10.723202592471695</v>
      </c>
      <c r="AB46" s="21">
        <f>EXP(-LN(2)/2)*AB45+(1-EXP(-LN(2)/2))/(LN(2)/2)*V46*Y46*VLOOKUP('Données projet'!$B$9,Paramètres!$A$1:$I$89,3,0)*0.475*44/12</f>
        <v>0.55088704042117731</v>
      </c>
      <c r="AC46" s="22">
        <f t="shared" si="3"/>
        <v>38.677736111535417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62.696599775233054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13.141346156249998</v>
      </c>
      <c r="AI46" s="13">
        <f>IF('Données projet'!$A$62&gt;35,AI45+AH46-AQ45,IF(A46&lt;'Données projet'!$A$62,$AF$205^A46,IF(A46='Données projet'!$A$62,'Données projet'!$B$62,AI45+AH46-AQ45)))</f>
        <v>290.01250004374992</v>
      </c>
      <c r="AJ46" s="13">
        <f>AI46*VLOOKUP('Données projet'!$B$10,Paramètres!$A$1:$I$89,3,0)*VLOOKUP('Données projet'!$B$10,Paramètres!$A$1:$I$89,5,0)</f>
        <v>173.42747502616245</v>
      </c>
      <c r="AK46" s="13">
        <f t="shared" si="35"/>
        <v>43.856769907026361</v>
      </c>
      <c r="AL46" s="20">
        <f t="shared" si="4"/>
        <v>378.43672659197046</v>
      </c>
      <c r="AM46" s="59">
        <f t="shared" si="5"/>
        <v>644.99092576782505</v>
      </c>
      <c r="AN46" s="59">
        <f ca="1">AVERAGE(OFFSET($AM$3,0,0,'Données projet'!$E$10+1,1))-AVERAGE(OFFSET($H$3,0,0,'Données projet'!$E$10+1,1))</f>
        <v>270.29397440778314</v>
      </c>
      <c r="AO46" s="59">
        <f t="shared" si="36"/>
        <v>281.95928682679596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23.068898190396169</v>
      </c>
      <c r="AV46" s="21">
        <f>EXP(-LN(2)/25)*AV45+(1-EXP(-LN(2)/25))/(LN(2)/25)*Calculateur!AQ46*Calculateur!AS46*VLOOKUP('Données projet'!$B$10,Paramètres!$A$1:$I$89,3,0)*0.475*44/12</f>
        <v>15.369672541003283</v>
      </c>
      <c r="AW46" s="21">
        <f>EXP(-LN(2)/2)*AW45+(1-EXP(-LN(2)/2))/(LN(2)/2)*AQ46*AT46*VLOOKUP('Données projet'!$B$10,Paramètres!$A$1:$I$89,3,0)*0.475*44/12</f>
        <v>0.56049892342661944</v>
      </c>
      <c r="AX46" s="21">
        <f t="shared" si="6"/>
        <v>38.999069654826073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62.696599775233054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11.443589743589744</v>
      </c>
      <c r="BD46" s="12">
        <f>IF('Données projet'!$A$88&gt;35,BD45+BC46-BL45,IF(A46&lt;'Données projet'!$A$88,$BA$205^A46,IF(A46='Données projet'!$A$88,'Données projet'!$B$88,BD45+BC46-BL45)))</f>
        <v>296.02051282051286</v>
      </c>
      <c r="BE46" s="13">
        <f>BD46*VLOOKUP('Données projet'!$B$11,Paramètres!$A$1:$I$89,3,0)*VLOOKUP('Données projet'!$B$11,Paramètres!$A$1:$I$89,5,0)</f>
        <v>138.53760000000003</v>
      </c>
      <c r="BF46" s="13">
        <f t="shared" si="37"/>
        <v>35.9617857252005</v>
      </c>
      <c r="BG46" s="20">
        <f t="shared" si="7"/>
        <v>303.91976347139087</v>
      </c>
      <c r="BH46" s="59">
        <f t="shared" si="8"/>
        <v>570.47396264724534</v>
      </c>
      <c r="BI46" s="59">
        <f ca="1">AVERAGE(OFFSET($BH$3,0,0,'Données projet'!$E$11+1,1))-AVERAGE(OFFSET($H$3,0,0,'Données projet'!$E$11+1,1))</f>
        <v>308.70979446846718</v>
      </c>
      <c r="BJ46" s="59">
        <f t="shared" si="38"/>
        <v>202.33469175293314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62.696599775233054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62.696599775233054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62.696599775233054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62.696599775233054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62.696599775233054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62.696599775233054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62.696599775233054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3.1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11.366666666666667</v>
      </c>
      <c r="H47" s="67">
        <f t="shared" si="1"/>
        <v>211.20000000000002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62.823297441175967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15.364102564102561</v>
      </c>
      <c r="N47" s="13">
        <f>IF('Données projet'!$A$36&gt;35,N46+M47-V46,IF(A47&lt;'Données projet'!$A$36,$K$205^A47,IF(A47='Données projet'!$A$36,'Données projet'!$B$36,N46+M47-V46)))</f>
        <v>332.09487179487172</v>
      </c>
      <c r="O47" s="13">
        <f>N47*VLOOKUP('Données projet'!$B$9,Paramètres!$A$1:$I$89,3,0)*VLOOKUP('Données projet'!$B$9,Paramètres!$A$1:$I$89,5,0)</f>
        <v>198.59273333333329</v>
      </c>
      <c r="P47" s="13">
        <f t="shared" si="33"/>
        <v>49.434766120428968</v>
      </c>
      <c r="Q47" s="20">
        <f t="shared" si="53"/>
        <v>431.98122821530256</v>
      </c>
      <c r="R47" s="59">
        <f t="shared" si="0"/>
        <v>698.99998549961447</v>
      </c>
      <c r="S47" s="59">
        <f ca="1">AVERAGE(OFFSET($R$3,0,0,'Données projet'!$E$9+1,1))-AVERAGE(OFFSET($H$3,0,0,'Données projet'!$E$9+1,1))</f>
        <v>369.06880001017635</v>
      </c>
      <c r="T47" s="59">
        <f t="shared" si="34"/>
        <v>331.91233237772281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26.866277685770289</v>
      </c>
      <c r="AA47" s="21">
        <f>EXP(-LN(2)/25)*AA46+(1-EXP(-LN(2)/25))/(LN(2)/25)*Calculateur!V47*Calculateur!X47*VLOOKUP('Données projet'!$B$9,Paramètres!$A$1:$I$89,3,0)*0.475*44/12</f>
        <v>10.42997605367184</v>
      </c>
      <c r="AB47" s="21">
        <f>EXP(-LN(2)/2)*AB46+(1-EXP(-LN(2)/2))/(LN(2)/2)*V47*Y47*VLOOKUP('Données projet'!$B$9,Paramètres!$A$1:$I$89,3,0)*0.475*44/12</f>
        <v>0.38953596194960222</v>
      </c>
      <c r="AC47" s="22">
        <f t="shared" si="3"/>
        <v>37.685789701391734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62.823297441175967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303.15384619999998</v>
      </c>
      <c r="AG47" s="12">
        <f>VLOOKUP(A47,'Données projet'!$A$61:$I$81,9,0)</f>
        <v>13.141346156249998</v>
      </c>
      <c r="AH47" s="12">
        <f t="array" ref="AH47">INDEX(AG:AG,MIN(IF(ISNUMBER(AG47:AG243),ROW(AG47:AG243),"")))</f>
        <v>13.141346156249998</v>
      </c>
      <c r="AI47" s="13">
        <f>IF('Données projet'!$A$62&gt;35,AI46+AH47-AQ46,IF(A47&lt;'Données projet'!$A$62,$AF$205^A47,IF(A47='Données projet'!$A$62,'Données projet'!$B$62,AI46+AH47-AQ46)))</f>
        <v>303.15384619999992</v>
      </c>
      <c r="AJ47" s="13">
        <f>AI47*VLOOKUP('Données projet'!$B$10,Paramètres!$A$1:$I$89,3,0)*VLOOKUP('Données projet'!$B$10,Paramètres!$A$1:$I$89,5,0)</f>
        <v>181.28600002759995</v>
      </c>
      <c r="AK47" s="13">
        <f t="shared" si="35"/>
        <v>45.608178827671999</v>
      </c>
      <c r="AL47" s="20">
        <f t="shared" si="4"/>
        <v>395.17402817293191</v>
      </c>
      <c r="AM47" s="59">
        <f t="shared" si="5"/>
        <v>662.19278545724387</v>
      </c>
      <c r="AN47" s="59">
        <f ca="1">AVERAGE(OFFSET($AM$3,0,0,'Données projet'!$E$10+1,1))-AVERAGE(OFFSET($H$3,0,0,'Données projet'!$E$10+1,1))</f>
        <v>270.29397440778314</v>
      </c>
      <c r="AO47" s="59">
        <f t="shared" si="36"/>
        <v>281.95928682679596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64.476923080000006</v>
      </c>
      <c r="AR47" s="16">
        <f>IF(ISNA(VLOOKUP(A47,'Données projet'!$A$61:$I$81,5,0)),0%,VLOOKUP(A47,'Données projet'!$A$61:$I$81,5,0)*VLOOKUP('Données projet'!$B$10,Paramètres!$A$1:$I$89,7,0))</f>
        <v>0.315</v>
      </c>
      <c r="AS47" s="16">
        <f>IF(ISNA(VLOOKUP(A47,'Données projet'!$A$61:$I$81,6,0)),0%,VLOOKUP(A47,'Données projet'!$A$61:$I$81,6,0)*VLOOKUP('Données projet'!$B$10,Paramètres!$A$1:$I$89,7,0))</f>
        <v>7.5600000000000001E-2</v>
      </c>
      <c r="AT47" s="16">
        <f>IF(ISNA(VLOOKUP(A47,'Données projet'!$A$61:$I$81,7,0)),0%,VLOOKUP(A47,'Données projet'!$A$61:$I$81,7,0))</f>
        <v>0.13200000000000001</v>
      </c>
      <c r="AU47" s="21">
        <f>EXP(-LN(2)/35)*AU46+(1-EXP(-LN(2)/35))/(LN(2)/35)*AQ47*AR47*VLOOKUP('Données projet'!$B$10,Paramètres!$A$1:$I$89,3,0)*0.475*44/12</f>
        <v>38.728343639991046</v>
      </c>
      <c r="AV47" s="21">
        <f>EXP(-LN(2)/25)*AV46+(1-EXP(-LN(2)/25))/(LN(2)/25)*Calculateur!AQ47*Calculateur!AS47*VLOOKUP('Données projet'!$B$10,Paramètres!$A$1:$I$89,3,0)*0.475*44/12</f>
        <v>18.800997827757769</v>
      </c>
      <c r="AW47" s="21">
        <f>EXP(-LN(2)/2)*AW46+(1-EXP(-LN(2)/2))/(LN(2)/2)*AQ47*AT47*VLOOKUP('Données projet'!$B$10,Paramètres!$A$1:$I$89,3,0)*0.475*44/12</f>
        <v>6.1588859326464638</v>
      </c>
      <c r="AX47" s="21">
        <f t="shared" si="6"/>
        <v>63.688227400395277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62.823297441175967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11.443589743589744</v>
      </c>
      <c r="BD47" s="12">
        <f>IF('Données projet'!$A$88&gt;35,BD46+BC47-BL46,IF(A47&lt;'Données projet'!$A$88,$BA$205^A47,IF(A47='Données projet'!$A$88,'Données projet'!$B$88,BD46+BC47-BL46)))</f>
        <v>307.46410256410263</v>
      </c>
      <c r="BE47" s="13">
        <f>BD47*VLOOKUP('Données projet'!$B$11,Paramètres!$A$1:$I$89,3,0)*VLOOKUP('Données projet'!$B$11,Paramètres!$A$1:$I$89,5,0)</f>
        <v>143.89320000000004</v>
      </c>
      <c r="BF47" s="13">
        <f t="shared" si="37"/>
        <v>37.187454199603145</v>
      </c>
      <c r="BG47" s="20">
        <f t="shared" si="7"/>
        <v>315.38213939764222</v>
      </c>
      <c r="BH47" s="59">
        <f t="shared" si="8"/>
        <v>582.40089668195412</v>
      </c>
      <c r="BI47" s="59">
        <f ca="1">AVERAGE(OFFSET($BH$3,0,0,'Données projet'!$E$11+1,1))-AVERAGE(OFFSET($H$3,0,0,'Données projet'!$E$11+1,1))</f>
        <v>308.70979446846718</v>
      </c>
      <c r="BJ47" s="59">
        <f t="shared" si="38"/>
        <v>202.33469175293314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62.823297441175967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62.823297441175967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62.823297441175967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62.823297441175967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62.823297441175967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62.823297441175967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62.823297441175967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3.1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11.366666666666667</v>
      </c>
      <c r="H48" s="67">
        <f t="shared" si="1"/>
        <v>211.20000000000002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62.947797185868311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15.364102564102561</v>
      </c>
      <c r="N48" s="13">
        <f>IF('Données projet'!$A$36&gt;35,N47+M48-V47,IF(A48&lt;'Données projet'!$A$36,$K$205^A48,IF(A48='Données projet'!$A$36,'Données projet'!$B$36,N47+M48-V47)))</f>
        <v>347.45897435897427</v>
      </c>
      <c r="O48" s="13">
        <f>N48*VLOOKUP('Données projet'!$B$9,Paramètres!$A$1:$I$89,3,0)*VLOOKUP('Données projet'!$B$9,Paramètres!$A$1:$I$89,5,0)</f>
        <v>207.78046666666665</v>
      </c>
      <c r="P48" s="13">
        <f t="shared" si="33"/>
        <v>51.450262290579353</v>
      </c>
      <c r="Q48" s="20">
        <f t="shared" si="53"/>
        <v>451.49351960053679</v>
      </c>
      <c r="R48" s="59">
        <f t="shared" si="0"/>
        <v>718.96877594872058</v>
      </c>
      <c r="S48" s="59">
        <f ca="1">AVERAGE(OFFSET($R$3,0,0,'Données projet'!$E$9+1,1))-AVERAGE(OFFSET($H$3,0,0,'Données projet'!$E$9+1,1))</f>
        <v>369.06880001017635</v>
      </c>
      <c r="T48" s="59">
        <f t="shared" si="34"/>
        <v>331.91233237772281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26.33944636716366</v>
      </c>
      <c r="AA48" s="21">
        <f>EXP(-LN(2)/25)*AA47+(1-EXP(-LN(2)/25))/(LN(2)/25)*Calculateur!V48*Calculateur!X48*VLOOKUP('Données projet'!$B$9,Paramètres!$A$1:$I$89,3,0)*0.475*44/12</f>
        <v>10.144767809995582</v>
      </c>
      <c r="AB48" s="21">
        <f>EXP(-LN(2)/2)*AB47+(1-EXP(-LN(2)/2))/(LN(2)/2)*V48*Y48*VLOOKUP('Données projet'!$B$9,Paramètres!$A$1:$I$89,3,0)*0.475*44/12</f>
        <v>0.27544352021058871</v>
      </c>
      <c r="AC48" s="22">
        <f t="shared" si="3"/>
        <v>36.759657697369832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62.947797185868311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11.642307685000006</v>
      </c>
      <c r="AI48" s="13">
        <f>IF('Données projet'!$A$62&gt;35,AI47+AH48-AQ47,IF(A48&lt;'Données projet'!$A$62,$AF$205^A48,IF(A48='Données projet'!$A$62,'Données projet'!$B$62,AI47+AH48-AQ47)))</f>
        <v>250.3192308049999</v>
      </c>
      <c r="AJ48" s="13">
        <f>AI48*VLOOKUP('Données projet'!$B$10,Paramètres!$A$1:$I$89,3,0)*VLOOKUP('Données projet'!$B$10,Paramètres!$A$1:$I$89,5,0)</f>
        <v>149.69090002138995</v>
      </c>
      <c r="AK48" s="13">
        <f t="shared" si="35"/>
        <v>38.508333110656025</v>
      </c>
      <c r="AL48" s="20">
        <f t="shared" si="4"/>
        <v>327.78033103831336</v>
      </c>
      <c r="AM48" s="59">
        <f t="shared" si="5"/>
        <v>595.25558738649715</v>
      </c>
      <c r="AN48" s="59">
        <f ca="1">AVERAGE(OFFSET($AM$3,0,0,'Données projet'!$E$10+1,1))-AVERAGE(OFFSET($H$3,0,0,'Données projet'!$E$10+1,1))</f>
        <v>270.29397440778314</v>
      </c>
      <c r="AO48" s="59">
        <f t="shared" si="36"/>
        <v>281.95928682679596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37.968904443167965</v>
      </c>
      <c r="AV48" s="21">
        <f>EXP(-LN(2)/25)*AV47+(1-EXP(-LN(2)/25))/(LN(2)/25)*Calculateur!AQ48*Calculateur!AS48*VLOOKUP('Données projet'!$B$10,Paramètres!$A$1:$I$89,3,0)*0.475*44/12</f>
        <v>18.286883553456228</v>
      </c>
      <c r="AW48" s="21">
        <f>EXP(-LN(2)/2)*AW47+(1-EXP(-LN(2)/2))/(LN(2)/2)*AQ48*AT48*VLOOKUP('Données projet'!$B$10,Paramètres!$A$1:$I$89,3,0)*0.475*44/12</f>
        <v>4.3549900075287491</v>
      </c>
      <c r="AX48" s="21">
        <f t="shared" si="6"/>
        <v>60.610778004152941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62.947797185868311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11.443589743589744</v>
      </c>
      <c r="BD48" s="12">
        <f>IF('Données projet'!$A$88&gt;35,BD47+BC48-BL47,IF(A48&lt;'Données projet'!$A$88,$BA$205^A48,IF(A48='Données projet'!$A$88,'Données projet'!$B$88,BD47+BC48-BL47)))</f>
        <v>318.9076923076924</v>
      </c>
      <c r="BE48" s="13">
        <f>BD48*VLOOKUP('Données projet'!$B$11,Paramètres!$A$1:$I$89,3,0)*VLOOKUP('Données projet'!$B$11,Paramètres!$A$1:$I$89,5,0)</f>
        <v>149.24880000000005</v>
      </c>
      <c r="BF48" s="13">
        <f t="shared" si="37"/>
        <v>38.40782287536252</v>
      </c>
      <c r="BG48" s="20">
        <f t="shared" si="7"/>
        <v>326.83528484125645</v>
      </c>
      <c r="BH48" s="59">
        <f t="shared" si="8"/>
        <v>594.3105411894403</v>
      </c>
      <c r="BI48" s="59">
        <f ca="1">AVERAGE(OFFSET($BH$3,0,0,'Données projet'!$E$11+1,1))-AVERAGE(OFFSET($H$3,0,0,'Données projet'!$E$11+1,1))</f>
        <v>308.70979446846718</v>
      </c>
      <c r="BJ48" s="59">
        <f t="shared" si="38"/>
        <v>202.33469175293314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62.947797185868311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62.947797185868311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62.947797185868311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62.947797185868311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62.947797185868311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62.947797185868311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62.947797185868311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3.1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11.366666666666667</v>
      </c>
      <c r="H49" s="67">
        <f t="shared" si="1"/>
        <v>211.20000000000002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63.070137138329976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362.82307692307688</v>
      </c>
      <c r="L49" s="12">
        <f>VLOOKUP(A49,'Données projet'!$A$35:$I$55,9,0)</f>
        <v>15.364102564102561</v>
      </c>
      <c r="M49" s="12">
        <f t="array" ref="M49">INDEX(L:L,MIN(IF(ISNUMBER(L49:L245),ROW(L49:L245),"")))</f>
        <v>15.364102564102561</v>
      </c>
      <c r="N49" s="13">
        <f>IF('Données projet'!$A$36&gt;35,N48+M49-V48,IF(A49&lt;'Données projet'!$A$36,$K$205^A49,IF(A49='Données projet'!$A$36,'Données projet'!$B$36,N48+M49-V48)))</f>
        <v>362.82307692307683</v>
      </c>
      <c r="O49" s="13">
        <f>N49*VLOOKUP('Données projet'!$B$9,Paramètres!$A$1:$I$89,3,0)*VLOOKUP('Données projet'!$B$9,Paramètres!$A$1:$I$89,5,0)</f>
        <v>216.96819999999994</v>
      </c>
      <c r="P49" s="13">
        <f t="shared" si="33"/>
        <v>53.455407732310803</v>
      </c>
      <c r="Q49" s="20">
        <f t="shared" si="53"/>
        <v>470.98778346710793</v>
      </c>
      <c r="R49" s="59">
        <f t="shared" si="0"/>
        <v>738.91161964098455</v>
      </c>
      <c r="S49" s="59">
        <f ca="1">AVERAGE(OFFSET($R$3,0,0,'Données projet'!$E$9+1,1))-AVERAGE(OFFSET($H$3,0,0,'Données projet'!$E$9+1,1))</f>
        <v>369.06880001017635</v>
      </c>
      <c r="T49" s="59">
        <f t="shared" si="34"/>
        <v>331.91233237772281</v>
      </c>
      <c r="U49" s="15">
        <f>IF(ISNA(VLOOKUP(A49,'Données projet'!$A$35:$I$55,3,0)),0,VLOOKUP(A49,'Données projet'!$A$35:$I$55,3,0))</f>
        <v>5</v>
      </c>
      <c r="V49" s="15">
        <f>IF(ISNA(VLOOKUP(A49,'Données projet'!$A$35:$I$55,4,0)),0,VLOOKUP(A49,'Données projet'!$A$35:$I$55,4,0))</f>
        <v>72.561538461538461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7.5600000000000001E-2</v>
      </c>
      <c r="Y49" s="16">
        <f>IF(ISNA(VLOOKUP(A49,'Données projet'!$A$35:$I$55,7,0)),0%,VLOOKUP(A49,'Données projet'!$A$35:$I$55,7,0))</f>
        <v>0.13200000000000001</v>
      </c>
      <c r="Z49" s="21">
        <f>EXP(-LN(2)/35)*Z48+(1-EXP(-LN(2)/35))/(LN(2)/35)*V49*W49*VLOOKUP('Données projet'!$B$9,Paramètres!$A$1:$I$89,3,0)*0.475*44/12</f>
        <v>43.95498204370508</v>
      </c>
      <c r="AA49" s="21">
        <f>EXP(-LN(2)/25)*AA48+(1-EXP(-LN(2)/25))/(LN(2)/25)*Calculateur!V49*Calculateur!X49*VLOOKUP('Données projet'!$B$9,Paramètres!$A$1:$I$89,3,0)*0.475*44/12</f>
        <v>14.201913021334352</v>
      </c>
      <c r="AB49" s="21">
        <f>EXP(-LN(2)/2)*AB48+(1-EXP(-LN(2)/2))/(LN(2)/2)*V49*Y49*VLOOKUP('Données projet'!$B$9,Paramètres!$A$1:$I$89,3,0)*0.475*44/12</f>
        <v>6.6798748388055769</v>
      </c>
      <c r="AC49" s="22">
        <f t="shared" si="3"/>
        <v>64.83676990384501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63.070137138329976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11.642307685000006</v>
      </c>
      <c r="AI49" s="13">
        <f>IF('Données projet'!$A$62&gt;35,AI48+AH49-AQ48,IF(A49&lt;'Données projet'!$A$62,$AF$205^A49,IF(A49='Données projet'!$A$62,'Données projet'!$B$62,AI48+AH49-AQ48)))</f>
        <v>261.9615384899999</v>
      </c>
      <c r="AJ49" s="13">
        <f>AI49*VLOOKUP('Données projet'!$B$10,Paramètres!$A$1:$I$89,3,0)*VLOOKUP('Données projet'!$B$10,Paramètres!$A$1:$I$89,5,0)</f>
        <v>156.65300001701996</v>
      </c>
      <c r="AK49" s="13">
        <f t="shared" si="35"/>
        <v>40.086663883204878</v>
      </c>
      <c r="AL49" s="20">
        <f t="shared" si="4"/>
        <v>342.65491462622498</v>
      </c>
      <c r="AM49" s="59">
        <f t="shared" si="5"/>
        <v>610.5787508001016</v>
      </c>
      <c r="AN49" s="59">
        <f ca="1">AVERAGE(OFFSET($AM$3,0,0,'Données projet'!$E$10+1,1))-AVERAGE(OFFSET($H$3,0,0,'Données projet'!$E$10+1,1))</f>
        <v>270.29397440778314</v>
      </c>
      <c r="AO49" s="59">
        <f t="shared" si="36"/>
        <v>281.95928682679596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37.224357385782412</v>
      </c>
      <c r="AV49" s="21">
        <f>EXP(-LN(2)/25)*AV48+(1-EXP(-LN(2)/25))/(LN(2)/25)*Calculateur!AQ49*Calculateur!AS49*VLOOKUP('Données projet'!$B$10,Paramètres!$A$1:$I$89,3,0)*0.475*44/12</f>
        <v>17.786827761021556</v>
      </c>
      <c r="AW49" s="21">
        <f>EXP(-LN(2)/2)*AW48+(1-EXP(-LN(2)/2))/(LN(2)/2)*AQ49*AT49*VLOOKUP('Données projet'!$B$10,Paramètres!$A$1:$I$89,3,0)*0.475*44/12</f>
        <v>3.0794429663232323</v>
      </c>
      <c r="AX49" s="21">
        <f t="shared" si="6"/>
        <v>58.090628113127202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63.070137138329976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11.443589743589744</v>
      </c>
      <c r="BD49" s="12">
        <f>IF('Données projet'!$A$88&gt;35,BD48+BC49-BL48,IF(A49&lt;'Données projet'!$A$88,$BA$205^A49,IF(A49='Données projet'!$A$88,'Données projet'!$B$88,BD48+BC49-BL48)))</f>
        <v>330.35128205128217</v>
      </c>
      <c r="BE49" s="13">
        <f>BD49*VLOOKUP('Données projet'!$B$11,Paramètres!$A$1:$I$89,3,0)*VLOOKUP('Données projet'!$B$11,Paramètres!$A$1:$I$89,5,0)</f>
        <v>154.60440000000006</v>
      </c>
      <c r="BF49" s="13">
        <f t="shared" si="37"/>
        <v>39.623103715153171</v>
      </c>
      <c r="BG49" s="20">
        <f t="shared" si="7"/>
        <v>338.2795689705585</v>
      </c>
      <c r="BH49" s="59">
        <f t="shared" si="8"/>
        <v>606.20340514443512</v>
      </c>
      <c r="BI49" s="59">
        <f ca="1">AVERAGE(OFFSET($BH$3,0,0,'Données projet'!$E$11+1,1))-AVERAGE(OFFSET($H$3,0,0,'Données projet'!$E$11+1,1))</f>
        <v>308.70979446846718</v>
      </c>
      <c r="BJ49" s="59">
        <f t="shared" si="38"/>
        <v>202.33469175293314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63.070137138329976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63.070137138329976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63.070137138329976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63.070137138329976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63.070137138329976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63.070137138329976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63.070137138329976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3.1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11.366666666666667</v>
      </c>
      <c r="H50" s="67">
        <f t="shared" si="1"/>
        <v>211.20000000000002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63.190354766127591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13.793846153846165</v>
      </c>
      <c r="N50" s="13">
        <f>IF('Données projet'!$A$36&gt;35,N49+M50-V49,IF(A50&lt;'Données projet'!$A$36,$K$205^A50,IF(A50='Données projet'!$A$36,'Données projet'!$B$36,N49+M50-V49)))</f>
        <v>304.05538461538453</v>
      </c>
      <c r="O50" s="13">
        <f>N50*VLOOKUP('Données projet'!$B$9,Paramètres!$A$1:$I$89,3,0)*VLOOKUP('Données projet'!$B$9,Paramètres!$A$1:$I$89,5,0)</f>
        <v>181.82511999999997</v>
      </c>
      <c r="P50" s="13">
        <f t="shared" si="33"/>
        <v>45.72800301768045</v>
      </c>
      <c r="Q50" s="20">
        <f t="shared" si="53"/>
        <v>396.32168925579339</v>
      </c>
      <c r="R50" s="59">
        <f t="shared" si="0"/>
        <v>664.68632339826127</v>
      </c>
      <c r="S50" s="59">
        <f ca="1">AVERAGE(OFFSET($R$3,0,0,'Données projet'!$E$9+1,1))-AVERAGE(OFFSET($H$3,0,0,'Données projet'!$E$9+1,1))</f>
        <v>369.06880001017635</v>
      </c>
      <c r="T50" s="59">
        <f t="shared" si="34"/>
        <v>331.91233237772281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43.093051655719812</v>
      </c>
      <c r="AA50" s="21">
        <f>EXP(-LN(2)/25)*AA49+(1-EXP(-LN(2)/25))/(LN(2)/25)*Calculateur!V50*Calculateur!X50*VLOOKUP('Données projet'!$B$9,Paramètres!$A$1:$I$89,3,0)*0.475*44/12</f>
        <v>13.813560962919817</v>
      </c>
      <c r="AB50" s="21">
        <f>EXP(-LN(2)/2)*AB49+(1-EXP(-LN(2)/2))/(LN(2)/2)*V50*Y50*VLOOKUP('Données projet'!$B$9,Paramètres!$A$1:$I$89,3,0)*0.475*44/12</f>
        <v>4.7233847959968198</v>
      </c>
      <c r="AC50" s="22">
        <f t="shared" si="3"/>
        <v>61.629997414636449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63.190354766127591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11.642307685000006</v>
      </c>
      <c r="AI50" s="13">
        <f>IF('Données projet'!$A$62&gt;35,AI49+AH50-AQ49,IF(A50&lt;'Données projet'!$A$62,$AF$205^A50,IF(A50='Données projet'!$A$62,'Données projet'!$B$62,AI49+AH50-AQ49)))</f>
        <v>273.60384617499989</v>
      </c>
      <c r="AJ50" s="13">
        <f>AI50*VLOOKUP('Données projet'!$B$10,Paramètres!$A$1:$I$89,3,0)*VLOOKUP('Données projet'!$B$10,Paramètres!$A$1:$I$89,5,0)</f>
        <v>163.61510001264995</v>
      </c>
      <c r="AK50" s="13">
        <f t="shared" si="35"/>
        <v>41.656847975137872</v>
      </c>
      <c r="AL50" s="20">
        <f t="shared" si="4"/>
        <v>357.5153094120638</v>
      </c>
      <c r="AM50" s="59">
        <f t="shared" si="5"/>
        <v>625.87994355453168</v>
      </c>
      <c r="AN50" s="59">
        <f ca="1">AVERAGE(OFFSET($AM$3,0,0,'Données projet'!$E$10+1,1))-AVERAGE(OFFSET($H$3,0,0,'Données projet'!$E$10+1,1))</f>
        <v>270.29397440778314</v>
      </c>
      <c r="AO50" s="59">
        <f t="shared" si="36"/>
        <v>281.95928682679596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36.494410442063327</v>
      </c>
      <c r="AV50" s="21">
        <f>EXP(-LN(2)/25)*AV49+(1-EXP(-LN(2)/25))/(LN(2)/25)*Calculateur!AQ50*Calculateur!AS50*VLOOKUP('Données projet'!$B$10,Paramètres!$A$1:$I$89,3,0)*0.475*44/12</f>
        <v>17.300446020527801</v>
      </c>
      <c r="AW50" s="21">
        <f>EXP(-LN(2)/2)*AW49+(1-EXP(-LN(2)/2))/(LN(2)/2)*AQ50*AT50*VLOOKUP('Données projet'!$B$10,Paramètres!$A$1:$I$89,3,0)*0.475*44/12</f>
        <v>2.177495003764375</v>
      </c>
      <c r="AX50" s="21">
        <f t="shared" si="6"/>
        <v>55.972351466355505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63.190354766127591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11.443589743589744</v>
      </c>
      <c r="BD50" s="12">
        <f>IF('Données projet'!$A$88&gt;35,BD49+BC50-BL49,IF(A50&lt;'Données projet'!$A$88,$BA$205^A50,IF(A50='Données projet'!$A$88,'Données projet'!$B$88,BD49+BC50-BL49)))</f>
        <v>341.79487179487194</v>
      </c>
      <c r="BE50" s="13">
        <f>BD50*VLOOKUP('Données projet'!$B$11,Paramètres!$A$1:$I$89,3,0)*VLOOKUP('Données projet'!$B$11,Paramètres!$A$1:$I$89,5,0)</f>
        <v>159.96000000000006</v>
      </c>
      <c r="BF50" s="13">
        <f t="shared" si="37"/>
        <v>40.833493163758575</v>
      </c>
      <c r="BG50" s="20">
        <f t="shared" si="7"/>
        <v>349.71533392687957</v>
      </c>
      <c r="BH50" s="59">
        <f t="shared" si="8"/>
        <v>618.07996806934739</v>
      </c>
      <c r="BI50" s="59">
        <f ca="1">AVERAGE(OFFSET($BH$3,0,0,'Données projet'!$E$11+1,1))-AVERAGE(OFFSET($H$3,0,0,'Données projet'!$E$11+1,1))</f>
        <v>308.70979446846718</v>
      </c>
      <c r="BJ50" s="59">
        <f t="shared" si="38"/>
        <v>202.33469175293314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63.190354766127591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63.190354766127591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63.190354766127591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63.190354766127591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63.190354766127591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63.190354766127591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63.190354766127591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3.1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11.366666666666667</v>
      </c>
      <c r="H51" s="67">
        <f t="shared" si="1"/>
        <v>211.20000000000002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63.308486886849266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13.793846153846165</v>
      </c>
      <c r="N51" s="13">
        <f>IF('Données projet'!$A$36&gt;35,N50+M51-V50,IF(A51&lt;'Données projet'!$A$36,$K$205^A51,IF(A51='Données projet'!$A$36,'Données projet'!$B$36,N50+M51-V50)))</f>
        <v>317.8492307692307</v>
      </c>
      <c r="O51" s="13">
        <f>N51*VLOOKUP('Données projet'!$B$9,Paramètres!$A$1:$I$89,3,0)*VLOOKUP('Données projet'!$B$9,Paramètres!$A$1:$I$89,5,0)</f>
        <v>190.07383999999999</v>
      </c>
      <c r="P51" s="13">
        <f t="shared" si="33"/>
        <v>47.556277457641151</v>
      </c>
      <c r="Q51" s="20">
        <f t="shared" si="53"/>
        <v>413.87245457205836</v>
      </c>
      <c r="R51" s="59">
        <f t="shared" si="0"/>
        <v>682.67023982383898</v>
      </c>
      <c r="S51" s="59">
        <f ca="1">AVERAGE(OFFSET($R$3,0,0,'Données projet'!$E$9+1,1))-AVERAGE(OFFSET($H$3,0,0,'Données projet'!$E$9+1,1))</f>
        <v>369.06880001017635</v>
      </c>
      <c r="T51" s="59">
        <f t="shared" si="34"/>
        <v>331.91233237772281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42.248023196917309</v>
      </c>
      <c r="AA51" s="21">
        <f>EXP(-LN(2)/25)*AA50+(1-EXP(-LN(2)/25))/(LN(2)/25)*Calculateur!V51*Calculateur!X51*VLOOKUP('Données projet'!$B$9,Paramètres!$A$1:$I$89,3,0)*0.475*44/12</f>
        <v>13.435828411965176</v>
      </c>
      <c r="AB51" s="21">
        <f>EXP(-LN(2)/2)*AB50+(1-EXP(-LN(2)/2))/(LN(2)/2)*V51*Y51*VLOOKUP('Données projet'!$B$9,Paramètres!$A$1:$I$89,3,0)*0.475*44/12</f>
        <v>3.3399374194027889</v>
      </c>
      <c r="AC51" s="22">
        <f t="shared" si="3"/>
        <v>59.023789028285272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63.308486886849266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11.642307685000006</v>
      </c>
      <c r="AI51" s="13">
        <f>IF('Données projet'!$A$62&gt;35,AI50+AH51-AQ50,IF(A51&lt;'Données projet'!$A$62,$AF$205^A51,IF(A51='Données projet'!$A$62,'Données projet'!$B$62,AI50+AH51-AQ50)))</f>
        <v>285.24615385999988</v>
      </c>
      <c r="AJ51" s="13">
        <f>AI51*VLOOKUP('Données projet'!$B$10,Paramètres!$A$1:$I$89,3,0)*VLOOKUP('Données projet'!$B$10,Paramètres!$A$1:$I$89,5,0)</f>
        <v>170.57720000827996</v>
      </c>
      <c r="AK51" s="13">
        <f t="shared" si="35"/>
        <v>43.219271673198911</v>
      </c>
      <c r="AL51" s="20">
        <f t="shared" si="4"/>
        <v>372.36218817857565</v>
      </c>
      <c r="AM51" s="59">
        <f t="shared" si="5"/>
        <v>641.15997343035633</v>
      </c>
      <c r="AN51" s="59">
        <f ca="1">AVERAGE(OFFSET($AM$3,0,0,'Données projet'!$E$10+1,1))-AVERAGE(OFFSET($H$3,0,0,'Données projet'!$E$10+1,1))</f>
        <v>270.29397440778314</v>
      </c>
      <c r="AO51" s="59">
        <f t="shared" si="36"/>
        <v>281.95928682679596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35.778777312686906</v>
      </c>
      <c r="AV51" s="21">
        <f>EXP(-LN(2)/25)*AV50+(1-EXP(-LN(2)/25))/(LN(2)/25)*Calculateur!AQ51*Calculateur!AS51*VLOOKUP('Données projet'!$B$10,Paramètres!$A$1:$I$89,3,0)*0.475*44/12</f>
        <v>16.827364414305553</v>
      </c>
      <c r="AW51" s="21">
        <f>EXP(-LN(2)/2)*AW50+(1-EXP(-LN(2)/2))/(LN(2)/2)*AQ51*AT51*VLOOKUP('Données projet'!$B$10,Paramètres!$A$1:$I$89,3,0)*0.475*44/12</f>
        <v>1.5397214831616164</v>
      </c>
      <c r="AX51" s="21">
        <f t="shared" si="6"/>
        <v>54.145863210154076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63.308486886849266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11.443589743589744</v>
      </c>
      <c r="BD51" s="12">
        <f>IF('Données projet'!$A$88&gt;35,BD50+BC51-BL50,IF(A51&lt;'Données projet'!$A$88,$BA$205^A51,IF(A51='Données projet'!$A$88,'Données projet'!$B$88,BD50+BC51-BL50)))</f>
        <v>353.23846153846171</v>
      </c>
      <c r="BE51" s="13">
        <f>BD51*VLOOKUP('Données projet'!$B$11,Paramètres!$A$1:$I$89,3,0)*VLOOKUP('Données projet'!$B$11,Paramètres!$A$1:$I$89,5,0)</f>
        <v>165.31560000000007</v>
      </c>
      <c r="BF51" s="13">
        <f t="shared" si="37"/>
        <v>42.039173765288623</v>
      </c>
      <c r="BG51" s="20">
        <f t="shared" si="7"/>
        <v>361.14289764121116</v>
      </c>
      <c r="BH51" s="59">
        <f t="shared" si="8"/>
        <v>629.94068289299184</v>
      </c>
      <c r="BI51" s="59">
        <f ca="1">AVERAGE(OFFSET($BH$3,0,0,'Données projet'!$E$11+1,1))-AVERAGE(OFFSET($H$3,0,0,'Données projet'!$E$11+1,1))</f>
        <v>308.70979446846718</v>
      </c>
      <c r="BJ51" s="59">
        <f t="shared" si="38"/>
        <v>202.33469175293314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63.308486886849266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63.308486886849266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63.308486886849266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63.308486886849266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63.308486886849266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63.308486886849266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63.308486886849266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3.1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11.366666666666667</v>
      </c>
      <c r="H52" s="67">
        <f t="shared" si="1"/>
        <v>211.20000000000002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63.424569679380276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13.793846153846165</v>
      </c>
      <c r="N52" s="13">
        <f>IF('Données projet'!$A$36&gt;35,N51+M52-V51,IF(A52&lt;'Données projet'!$A$36,$K$205^A52,IF(A52='Données projet'!$A$36,'Données projet'!$B$36,N51+M52-V51)))</f>
        <v>331.64307692307688</v>
      </c>
      <c r="O52" s="13">
        <f>N52*VLOOKUP('Données projet'!$B$9,Paramètres!$A$1:$I$89,3,0)*VLOOKUP('Données projet'!$B$9,Paramètres!$A$1:$I$89,5,0)</f>
        <v>198.32255999999998</v>
      </c>
      <c r="P52" s="13">
        <f t="shared" si="33"/>
        <v>49.375336669033487</v>
      </c>
      <c r="Q52" s="20">
        <f t="shared" si="53"/>
        <v>431.40717003189997</v>
      </c>
      <c r="R52" s="59">
        <f t="shared" si="0"/>
        <v>700.63059218962769</v>
      </c>
      <c r="S52" s="59">
        <f ca="1">AVERAGE(OFFSET($R$3,0,0,'Données projet'!$E$9+1,1))-AVERAGE(OFFSET($H$3,0,0,'Données projet'!$E$9+1,1))</f>
        <v>369.06880001017635</v>
      </c>
      <c r="T52" s="59">
        <f t="shared" si="34"/>
        <v>331.91233237772281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41.419565230775461</v>
      </c>
      <c r="AA52" s="21">
        <f>EXP(-LN(2)/25)*AA51+(1-EXP(-LN(2)/25))/(LN(2)/25)*Calculateur!V52*Calculateur!X52*VLOOKUP('Données projet'!$B$9,Paramètres!$A$1:$I$89,3,0)*0.475*44/12</f>
        <v>13.068424977480479</v>
      </c>
      <c r="AB52" s="21">
        <f>EXP(-LN(2)/2)*AB51+(1-EXP(-LN(2)/2))/(LN(2)/2)*V52*Y52*VLOOKUP('Données projet'!$B$9,Paramètres!$A$1:$I$89,3,0)*0.475*44/12</f>
        <v>2.3616923979984104</v>
      </c>
      <c r="AC52" s="22">
        <f t="shared" si="3"/>
        <v>56.849682606254348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63.424569679380276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11.642307685000006</v>
      </c>
      <c r="AI52" s="13">
        <f>IF('Données projet'!$A$62&gt;35,AI51+AH52-AQ51,IF(A52&lt;'Données projet'!$A$62,$AF$205^A52,IF(A52='Données projet'!$A$62,'Données projet'!$B$62,AI51+AH52-AQ51)))</f>
        <v>296.88846154499987</v>
      </c>
      <c r="AJ52" s="13">
        <f>AI52*VLOOKUP('Données projet'!$B$10,Paramètres!$A$1:$I$89,3,0)*VLOOKUP('Données projet'!$B$10,Paramètres!$A$1:$I$89,5,0)</f>
        <v>177.53930000390994</v>
      </c>
      <c r="AK52" s="13">
        <f t="shared" si="35"/>
        <v>44.774287947173278</v>
      </c>
      <c r="AL52" s="20">
        <f t="shared" si="4"/>
        <v>387.19616568146989</v>
      </c>
      <c r="AM52" s="59">
        <f t="shared" si="5"/>
        <v>656.41958783919767</v>
      </c>
      <c r="AN52" s="59">
        <f ca="1">AVERAGE(OFFSET($AM$3,0,0,'Données projet'!$E$10+1,1))-AVERAGE(OFFSET($H$3,0,0,'Données projet'!$E$10+1,1))</f>
        <v>270.29397440778314</v>
      </c>
      <c r="AO52" s="59">
        <f t="shared" si="36"/>
        <v>281.95928682679596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35.077177312484444</v>
      </c>
      <c r="AV52" s="21">
        <f>EXP(-LN(2)/25)*AV51+(1-EXP(-LN(2)/25))/(LN(2)/25)*Calculateur!AQ52*Calculateur!AS52*VLOOKUP('Données projet'!$B$10,Paramètres!$A$1:$I$89,3,0)*0.475*44/12</f>
        <v>16.367219249483732</v>
      </c>
      <c r="AW52" s="21">
        <f>EXP(-LN(2)/2)*AW51+(1-EXP(-LN(2)/2))/(LN(2)/2)*AQ52*AT52*VLOOKUP('Données projet'!$B$10,Paramètres!$A$1:$I$89,3,0)*0.475*44/12</f>
        <v>1.0887475018821875</v>
      </c>
      <c r="AX52" s="21">
        <f t="shared" si="6"/>
        <v>52.533144063850365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63.424569679380276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11.443589743589744</v>
      </c>
      <c r="BD52" s="12">
        <f>IF('Données projet'!$A$88&gt;35,BD51+BC52-BL51,IF(A52&lt;'Données projet'!$A$88,$BA$205^A52,IF(A52='Données projet'!$A$88,'Données projet'!$B$88,BD51+BC52-BL51)))</f>
        <v>364.68205128205148</v>
      </c>
      <c r="BE52" s="13">
        <f>BD52*VLOOKUP('Données projet'!$B$11,Paramètres!$A$1:$I$89,3,0)*VLOOKUP('Données projet'!$B$11,Paramètres!$A$1:$I$89,5,0)</f>
        <v>170.67120000000008</v>
      </c>
      <c r="BF52" s="13">
        <f t="shared" si="37"/>
        <v>43.240315564943899</v>
      </c>
      <c r="BG52" s="20">
        <f t="shared" si="7"/>
        <v>372.56255627561069</v>
      </c>
      <c r="BH52" s="59">
        <f t="shared" si="8"/>
        <v>641.78597843333841</v>
      </c>
      <c r="BI52" s="59">
        <f ca="1">AVERAGE(OFFSET($BH$3,0,0,'Données projet'!$E$11+1,1))-AVERAGE(OFFSET($H$3,0,0,'Données projet'!$E$11+1,1))</f>
        <v>308.70979446846718</v>
      </c>
      <c r="BJ52" s="59">
        <f t="shared" si="38"/>
        <v>202.33469175293314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63.424569679380276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63.424569679380276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63.424569679380276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63.424569679380276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63.424569679380276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63.424569679380276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63.424569679380276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3.1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11.366666666666667</v>
      </c>
      <c r="H53" s="67">
        <f t="shared" si="1"/>
        <v>211.20000000000002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63.538638694983121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13.793846153846165</v>
      </c>
      <c r="N53" s="13">
        <f>IF('Données projet'!$A$36&gt;35,N52+M53-V52,IF(A53&lt;'Données projet'!$A$36,$K$205^A53,IF(A53='Données projet'!$A$36,'Données projet'!$B$36,N52+M53-V52)))</f>
        <v>345.43692307692305</v>
      </c>
      <c r="O53" s="13">
        <f>N53*VLOOKUP('Données projet'!$B$9,Paramètres!$A$1:$I$89,3,0)*VLOOKUP('Données projet'!$B$9,Paramètres!$A$1:$I$89,5,0)</f>
        <v>206.57128</v>
      </c>
      <c r="P53" s="13">
        <f t="shared" si="33"/>
        <v>51.185607766999659</v>
      </c>
      <c r="Q53" s="20">
        <f t="shared" si="53"/>
        <v>448.92657952752438</v>
      </c>
      <c r="R53" s="59">
        <f t="shared" si="0"/>
        <v>718.5682547424625</v>
      </c>
      <c r="S53" s="59">
        <f ca="1">AVERAGE(OFFSET($R$3,0,0,'Données projet'!$E$9+1,1))-AVERAGE(OFFSET($H$3,0,0,'Données projet'!$E$9+1,1))</f>
        <v>369.06880001017635</v>
      </c>
      <c r="T53" s="59">
        <f t="shared" si="34"/>
        <v>331.91233237772281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40.607352820040191</v>
      </c>
      <c r="AA53" s="21">
        <f>EXP(-LN(2)/25)*AA52+(1-EXP(-LN(2)/25))/(LN(2)/25)*Calculateur!V53*Calculateur!X53*VLOOKUP('Données projet'!$B$9,Paramètres!$A$1:$I$89,3,0)*0.475*44/12</f>
        <v>12.711068209232675</v>
      </c>
      <c r="AB53" s="21">
        <f>EXP(-LN(2)/2)*AB52+(1-EXP(-LN(2)/2))/(LN(2)/2)*V53*Y53*VLOOKUP('Données projet'!$B$9,Paramètres!$A$1:$I$89,3,0)*0.475*44/12</f>
        <v>1.6699687097013949</v>
      </c>
      <c r="AC53" s="22">
        <f t="shared" si="3"/>
        <v>54.988389738974263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63.538638694983121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11.642307685000006</v>
      </c>
      <c r="AI53" s="13">
        <f>IF('Données projet'!$A$62&gt;35,AI52+AH53-AQ52,IF(A53&lt;'Données projet'!$A$62,$AF$205^A53,IF(A53='Données projet'!$A$62,'Données projet'!$B$62,AI52+AH53-AQ52)))</f>
        <v>308.53076922999986</v>
      </c>
      <c r="AJ53" s="13">
        <f>AI53*VLOOKUP('Données projet'!$B$10,Paramètres!$A$1:$I$89,3,0)*VLOOKUP('Données projet'!$B$10,Paramètres!$A$1:$I$89,5,0)</f>
        <v>184.50139999953993</v>
      </c>
      <c r="AK53" s="13">
        <f t="shared" si="35"/>
        <v>46.322220516504473</v>
      </c>
      <c r="AL53" s="20">
        <f t="shared" si="4"/>
        <v>402.01780573211067</v>
      </c>
      <c r="AM53" s="59">
        <f t="shared" si="5"/>
        <v>671.65948094704879</v>
      </c>
      <c r="AN53" s="59">
        <f ca="1">AVERAGE(OFFSET($AM$3,0,0,'Données projet'!$E$10+1,1))-AVERAGE(OFFSET($H$3,0,0,'Données projet'!$E$10+1,1))</f>
        <v>270.29397440778314</v>
      </c>
      <c r="AO53" s="59">
        <f t="shared" si="36"/>
        <v>281.95928682679596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34.389335260352205</v>
      </c>
      <c r="AV53" s="21">
        <f>EXP(-LN(2)/25)*AV52+(1-EXP(-LN(2)/25))/(LN(2)/25)*Calculateur!AQ53*Calculateur!AS53*VLOOKUP('Données projet'!$B$10,Paramètres!$A$1:$I$89,3,0)*0.475*44/12</f>
        <v>15.919656778391946</v>
      </c>
      <c r="AW53" s="21">
        <f>EXP(-LN(2)/2)*AW52+(1-EXP(-LN(2)/2))/(LN(2)/2)*AQ53*AT53*VLOOKUP('Données projet'!$B$10,Paramètres!$A$1:$I$89,3,0)*0.475*44/12</f>
        <v>0.76986074158080819</v>
      </c>
      <c r="AX53" s="21">
        <f t="shared" si="6"/>
        <v>51.078852780324958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63.538638694983121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11.443589743589744</v>
      </c>
      <c r="BD53" s="12">
        <f>IF('Données projet'!$A$88&gt;35,BD52+BC53-BL52,IF(A53&lt;'Données projet'!$A$88,$BA$205^A53,IF(A53='Données projet'!$A$88,'Données projet'!$B$88,BD52+BC53-BL52)))</f>
        <v>376.12564102564124</v>
      </c>
      <c r="BE53" s="13">
        <f>BD53*VLOOKUP('Données projet'!$B$11,Paramètres!$A$1:$I$89,3,0)*VLOOKUP('Données projet'!$B$11,Paramètres!$A$1:$I$89,5,0)</f>
        <v>176.02680000000012</v>
      </c>
      <c r="BF53" s="13">
        <f t="shared" si="37"/>
        <v>44.437077329889675</v>
      </c>
      <c r="BG53" s="20">
        <f t="shared" si="7"/>
        <v>383.97458634955802</v>
      </c>
      <c r="BH53" s="59">
        <f t="shared" si="8"/>
        <v>653.6162615644962</v>
      </c>
      <c r="BI53" s="59">
        <f ca="1">AVERAGE(OFFSET($BH$3,0,0,'Données projet'!$E$11+1,1))-AVERAGE(OFFSET($H$3,0,0,'Données projet'!$E$11+1,1))</f>
        <v>308.70979446846718</v>
      </c>
      <c r="BJ53" s="59">
        <f t="shared" si="38"/>
        <v>202.33469175293314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63.538638694983121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63.538638694983121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63.538638694983121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63.538638694983121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63.538638694983121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63.538638694983121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63.538638694983121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3.1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11.366666666666667</v>
      </c>
      <c r="H54" s="67">
        <f t="shared" si="1"/>
        <v>211.20000000000002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63.650728868185368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13.793846153846165</v>
      </c>
      <c r="N54" s="13">
        <f>IF('Données projet'!$A$36&gt;35,N53+M54-V53,IF(A54&lt;'Données projet'!$A$36,$K$205^A54,IF(A54='Données projet'!$A$36,'Données projet'!$B$36,N53+M54-V53)))</f>
        <v>359.23076923076923</v>
      </c>
      <c r="O54" s="13">
        <f>N54*VLOOKUP('Données projet'!$B$9,Paramètres!$A$1:$I$89,3,0)*VLOOKUP('Données projet'!$B$9,Paramètres!$A$1:$I$89,5,0)</f>
        <v>214.82</v>
      </c>
      <c r="P54" s="13">
        <f t="shared" si="33"/>
        <v>52.987481825087599</v>
      </c>
      <c r="Q54" s="20">
        <f t="shared" si="53"/>
        <v>466.43136417869431</v>
      </c>
      <c r="R54" s="59">
        <f t="shared" si="0"/>
        <v>736.48403669537402</v>
      </c>
      <c r="S54" s="59">
        <f ca="1">AVERAGE(OFFSET($R$3,0,0,'Données projet'!$E$9+1,1))-AVERAGE(OFFSET($H$3,0,0,'Données projet'!$E$9+1,1))</f>
        <v>369.06880001017635</v>
      </c>
      <c r="T54" s="59">
        <f t="shared" si="34"/>
        <v>331.91233237772281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39.811067399278784</v>
      </c>
      <c r="AA54" s="21">
        <f>EXP(-LN(2)/25)*AA53+(1-EXP(-LN(2)/25))/(LN(2)/25)*Calculateur!V54*Calculateur!X54*VLOOKUP('Données projet'!$B$9,Paramètres!$A$1:$I$89,3,0)*0.475*44/12</f>
        <v>12.363483380605182</v>
      </c>
      <c r="AB54" s="21">
        <f>EXP(-LN(2)/2)*AB53+(1-EXP(-LN(2)/2))/(LN(2)/2)*V54*Y54*VLOOKUP('Données projet'!$B$9,Paramètres!$A$1:$I$89,3,0)*0.475*44/12</f>
        <v>1.1808461989992054</v>
      </c>
      <c r="AC54" s="22">
        <f t="shared" si="3"/>
        <v>53.355396978883171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63.650728868185368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11.642307685000006</v>
      </c>
      <c r="AI54" s="13">
        <f>IF('Données projet'!$A$62&gt;35,AI53+AH54-AQ53,IF(A54&lt;'Données projet'!$A$62,$AF$205^A54,IF(A54='Données projet'!$A$62,'Données projet'!$B$62,AI53+AH54-AQ53)))</f>
        <v>320.17307691499985</v>
      </c>
      <c r="AJ54" s="13">
        <f>AI54*VLOOKUP('Données projet'!$B$10,Paramètres!$A$1:$I$89,3,0)*VLOOKUP('Données projet'!$B$10,Paramètres!$A$1:$I$89,5,0)</f>
        <v>191.46349999516994</v>
      </c>
      <c r="AK54" s="13">
        <f t="shared" si="35"/>
        <v>47.863367285841179</v>
      </c>
      <c r="AL54" s="20">
        <f t="shared" si="4"/>
        <v>416.82762718109433</v>
      </c>
      <c r="AM54" s="59">
        <f t="shared" si="5"/>
        <v>686.88029969777403</v>
      </c>
      <c r="AN54" s="59">
        <f ca="1">AVERAGE(OFFSET($AM$3,0,0,'Données projet'!$E$10+1,1))-AVERAGE(OFFSET($H$3,0,0,'Données projet'!$E$10+1,1))</f>
        <v>270.29397440778314</v>
      </c>
      <c r="AO54" s="59">
        <f t="shared" si="36"/>
        <v>281.95928682679596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33.714981371320057</v>
      </c>
      <c r="AV54" s="21">
        <f>EXP(-LN(2)/25)*AV53+(1-EXP(-LN(2)/25))/(LN(2)/25)*Calculateur!AQ54*Calculateur!AS54*VLOOKUP('Données projet'!$B$10,Paramètres!$A$1:$I$89,3,0)*0.475*44/12</f>
        <v>15.484332926608454</v>
      </c>
      <c r="AW54" s="21">
        <f>EXP(-LN(2)/2)*AW53+(1-EXP(-LN(2)/2))/(LN(2)/2)*AQ54*AT54*VLOOKUP('Données projet'!$B$10,Paramètres!$A$1:$I$89,3,0)*0.475*44/12</f>
        <v>0.54437375094109375</v>
      </c>
      <c r="AX54" s="21">
        <f t="shared" si="6"/>
        <v>49.7436880488696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63.650728868185368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387.56923076923078</v>
      </c>
      <c r="BB54" s="12">
        <f>VLOOKUP(A54,'Données projet'!$A$87:$I$107,9,0)</f>
        <v>11.443589743589744</v>
      </c>
      <c r="BC54" s="12">
        <f t="array" ref="BC54">INDEX(BB:BB,MIN(IF(ISNUMBER(BB54:BB250),ROW(BB54:BB250),"")))</f>
        <v>11.443589743589744</v>
      </c>
      <c r="BD54" s="12">
        <f>IF('Données projet'!$A$88&gt;35,BD53+BC54-BL53,IF(A54&lt;'Données projet'!$A$88,$BA$205^A54,IF(A54='Données projet'!$A$88,'Données projet'!$B$88,BD53+BC54-BL53)))</f>
        <v>387.56923076923101</v>
      </c>
      <c r="BE54" s="13">
        <f>BD54*VLOOKUP('Données projet'!$B$11,Paramètres!$A$1:$I$89,3,0)*VLOOKUP('Données projet'!$B$11,Paramètres!$A$1:$I$89,5,0)</f>
        <v>181.3824000000001</v>
      </c>
      <c r="BF54" s="13">
        <f t="shared" si="37"/>
        <v>45.629607617375228</v>
      </c>
      <c r="BG54" s="20">
        <f t="shared" si="7"/>
        <v>395.37924660026198</v>
      </c>
      <c r="BH54" s="59">
        <f t="shared" si="8"/>
        <v>665.43191911694169</v>
      </c>
      <c r="BI54" s="59">
        <f ca="1">AVERAGE(OFFSET($BH$3,0,0,'Données projet'!$E$11+1,1))-AVERAGE(OFFSET($H$3,0,0,'Données projet'!$E$11+1,1))</f>
        <v>308.70979446846718</v>
      </c>
      <c r="BJ54" s="59">
        <f t="shared" si="38"/>
        <v>202.33469175293314</v>
      </c>
      <c r="BK54" s="15">
        <f>IF(ISNA(VLOOKUP(A54,'Données projet'!$A$87:$I$107,3,0)),0,VLOOKUP(A54,'Données projet'!$A$87:$I$107,3,0))</f>
        <v>1</v>
      </c>
      <c r="BL54" s="15">
        <f>IF(ISNA(VLOOKUP(A54,'Données projet'!$A$87:$I$107,4,0)),0,VLOOKUP(A54,'Données projet'!$A$87:$I$107,4,0))</f>
        <v>170.16153846153847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0.30800000000000005</v>
      </c>
      <c r="BO54" s="16">
        <f>IF(ISNA(VLOOKUP(A54,'Données projet'!$A$87:$I$107,7,0)),0%,VLOOKUP(A54,'Données projet'!$A$87:$I$107,7,0))</f>
        <v>0.44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32.409547786060251</v>
      </c>
      <c r="BR54" s="21">
        <f>EXP(-LN(2)/2)*BR53+(1-EXP(-LN(2)/2))/(LN(2)/2)*BL54*BO54*VLOOKUP('Données projet'!$B$11,Paramètres!$A$1:$I$89,3,0)*0.475*44/12</f>
        <v>39.673039275275386</v>
      </c>
      <c r="BS54" s="22">
        <f t="shared" si="9"/>
        <v>72.08258706133563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63.650728868185368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63.650728868185368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63.650728868185368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63.650728868185368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63.650728868185368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63.650728868185368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63.650728868185368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3.1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11.366666666666667</v>
      </c>
      <c r="H55" s="67">
        <f t="shared" si="1"/>
        <v>211.20000000000002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63.760874527478641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13.793846153846165</v>
      </c>
      <c r="N55" s="13">
        <f>IF('Données projet'!$A$36&gt;35,N54+M55-V54,IF(A55&lt;'Données projet'!$A$36,$K$205^A55,IF(A55='Données projet'!$A$36,'Données projet'!$B$36,N54+M55-V54)))</f>
        <v>373.0246153846154</v>
      </c>
      <c r="O55" s="13">
        <f>N55*VLOOKUP('Données projet'!$B$9,Paramètres!$A$1:$I$89,3,0)*VLOOKUP('Données projet'!$B$9,Paramètres!$A$1:$I$89,5,0)</f>
        <v>223.06872000000001</v>
      </c>
      <c r="P55" s="13">
        <f t="shared" si="33"/>
        <v>54.78131818288734</v>
      </c>
      <c r="Q55" s="20">
        <f t="shared" si="53"/>
        <v>483.92214983519551</v>
      </c>
      <c r="R55" s="59">
        <f t="shared" si="0"/>
        <v>754.37868976928394</v>
      </c>
      <c r="S55" s="59">
        <f ca="1">AVERAGE(OFFSET($R$3,0,0,'Données projet'!$E$9+1,1))-AVERAGE(OFFSET($H$3,0,0,'Données projet'!$E$9+1,1))</f>
        <v>369.06880001017635</v>
      </c>
      <c r="T55" s="59">
        <f t="shared" si="34"/>
        <v>331.91233237772281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39.030396649932356</v>
      </c>
      <c r="AA55" s="21">
        <f>EXP(-LN(2)/25)*AA54+(1-EXP(-LN(2)/25))/(LN(2)/25)*Calculateur!V55*Calculateur!X55*VLOOKUP('Données projet'!$B$9,Paramètres!$A$1:$I$89,3,0)*0.475*44/12</f>
        <v>12.025403277395199</v>
      </c>
      <c r="AB55" s="21">
        <f>EXP(-LN(2)/2)*AB54+(1-EXP(-LN(2)/2))/(LN(2)/2)*V55*Y55*VLOOKUP('Données projet'!$B$9,Paramètres!$A$1:$I$89,3,0)*0.475*44/12</f>
        <v>0.83498435485069755</v>
      </c>
      <c r="AC55" s="22">
        <f t="shared" si="3"/>
        <v>51.890784282178252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63.760874527478641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331.81538460000002</v>
      </c>
      <c r="AG55" s="12">
        <f>VLOOKUP(A55,'Données projet'!$A$61:$I$81,9,0)</f>
        <v>11.642307685000006</v>
      </c>
      <c r="AH55" s="12">
        <f t="array" ref="AH55">INDEX(AG:AG,MIN(IF(ISNUMBER(AG55:AG251),ROW(AG55:AG251),"")))</f>
        <v>11.642307685000006</v>
      </c>
      <c r="AI55" s="13">
        <f>IF('Données projet'!$A$62&gt;35,AI54+AH55-AQ54,IF(A55&lt;'Données projet'!$A$62,$AF$205^A55,IF(A55='Données projet'!$A$62,'Données projet'!$B$62,AI54+AH55-AQ54)))</f>
        <v>331.81538459999985</v>
      </c>
      <c r="AJ55" s="13">
        <f>AI55*VLOOKUP('Données projet'!$B$10,Paramètres!$A$1:$I$89,3,0)*VLOOKUP('Données projet'!$B$10,Paramètres!$A$1:$I$89,5,0)</f>
        <v>198.42559999079992</v>
      </c>
      <c r="AK55" s="13">
        <f t="shared" si="35"/>
        <v>49.39800326683892</v>
      </c>
      <c r="AL55" s="20">
        <f t="shared" si="4"/>
        <v>431.62610900705425</v>
      </c>
      <c r="AM55" s="59">
        <f t="shared" si="5"/>
        <v>702.08264894114268</v>
      </c>
      <c r="AN55" s="59">
        <f ca="1">AVERAGE(OFFSET($AM$3,0,0,'Données projet'!$E$10+1,1))-AVERAGE(OFFSET($H$3,0,0,'Données projet'!$E$10+1,1))</f>
        <v>270.29397440778314</v>
      </c>
      <c r="AO55" s="59">
        <f t="shared" si="36"/>
        <v>281.95928682679596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61.784615379999998</v>
      </c>
      <c r="AR55" s="16">
        <f>IF(ISNA(VLOOKUP(A55,'Données projet'!$A$61:$I$81,5,0)),0%,VLOOKUP(A55,'Données projet'!$A$61:$I$81,5,0)*VLOOKUP('Données projet'!$B$10,Paramètres!$A$1:$I$89,7,0))</f>
        <v>0.315</v>
      </c>
      <c r="AS55" s="16">
        <f>IF(ISNA(VLOOKUP(A55,'Données projet'!$A$61:$I$81,6,0)),0%,VLOOKUP(A55,'Données projet'!$A$61:$I$81,6,0)*VLOOKUP('Données projet'!$B$10,Paramètres!$A$1:$I$89,7,0))</f>
        <v>7.5600000000000001E-2</v>
      </c>
      <c r="AT55" s="16">
        <f>IF(ISNA(VLOOKUP(A55,'Données projet'!$A$61:$I$81,7,0)),0%,VLOOKUP(A55,'Données projet'!$A$61:$I$81,7,0))</f>
        <v>0.13200000000000001</v>
      </c>
      <c r="AU55" s="21">
        <f>EXP(-LN(2)/35)*AU54+(1-EXP(-LN(2)/35))/(LN(2)/35)*AQ55*AR55*VLOOKUP('Données projet'!$B$10,Paramètres!$A$1:$I$89,3,0)*0.475*44/12</f>
        <v>48.492896457708227</v>
      </c>
      <c r="AV55" s="21">
        <f>EXP(-LN(2)/25)*AV54+(1-EXP(-LN(2)/25))/(LN(2)/25)*Calculateur!AQ55*Calculateur!AS55*VLOOKUP('Données projet'!$B$10,Paramètres!$A$1:$I$89,3,0)*0.475*44/12</f>
        <v>18.751694445131221</v>
      </c>
      <c r="AW55" s="21">
        <f>EXP(-LN(2)/2)*AW54+(1-EXP(-LN(2)/2))/(LN(2)/2)*AQ55*AT55*VLOOKUP('Données projet'!$B$10,Paramètres!$A$1:$I$89,3,0)*0.475*44/12</f>
        <v>5.9068617052763281</v>
      </c>
      <c r="AX55" s="21">
        <f t="shared" si="6"/>
        <v>73.151452608115775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63.760874527478641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11.170769230769233</v>
      </c>
      <c r="BD55" s="12">
        <f>IF('Données projet'!$A$88&gt;35,BD54+BC55-BL54,IF(A55&lt;'Données projet'!$A$88,$BA$205^A55,IF(A55='Données projet'!$A$88,'Données projet'!$B$88,BD54+BC55-BL54)))</f>
        <v>228.57846153846177</v>
      </c>
      <c r="BE55" s="13">
        <f>BD55*VLOOKUP('Données projet'!$B$11,Paramètres!$A$1:$I$89,3,0)*VLOOKUP('Données projet'!$B$11,Paramètres!$A$1:$I$89,5,0)</f>
        <v>106.9747200000001</v>
      </c>
      <c r="BF55" s="13">
        <f t="shared" si="37"/>
        <v>28.617052249308387</v>
      </c>
      <c r="BG55" s="20">
        <f t="shared" si="7"/>
        <v>236.15567000087893</v>
      </c>
      <c r="BH55" s="59">
        <f t="shared" si="8"/>
        <v>506.61220993496727</v>
      </c>
      <c r="BI55" s="59">
        <f ca="1">AVERAGE(OFFSET($BH$3,0,0,'Données projet'!$E$11+1,1))-AVERAGE(OFFSET($H$3,0,0,'Données projet'!$E$11+1,1))</f>
        <v>308.70979446846718</v>
      </c>
      <c r="BJ55" s="59">
        <f t="shared" si="38"/>
        <v>202.33469175293314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31.523306997506388</v>
      </c>
      <c r="BR55" s="21">
        <f>EXP(-LN(2)/2)*BR54+(1-EXP(-LN(2)/2))/(LN(2)/2)*BL55*BO55*VLOOKUP('Données projet'!$B$11,Paramètres!$A$1:$I$89,3,0)*0.475*44/12</f>
        <v>28.05307510182746</v>
      </c>
      <c r="BS55" s="22">
        <f t="shared" si="9"/>
        <v>59.576382099333848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63.760874527478641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63.760874527478641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63.760874527478641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63.760874527478641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63.760874527478641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63.760874527478641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63.760874527478641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3.1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11.366666666666667</v>
      </c>
      <c r="H56" s="67">
        <f t="shared" si="1"/>
        <v>211.20000000000002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63.869109405831985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13.793846153846165</v>
      </c>
      <c r="N56" s="13">
        <f>IF('Données projet'!$A$36&gt;35,N55+M56-V55,IF(A56&lt;'Données projet'!$A$36,$K$205^A56,IF(A56='Données projet'!$A$36,'Données projet'!$B$36,N55+M56-V55)))</f>
        <v>386.81846153846158</v>
      </c>
      <c r="O56" s="13">
        <f>N56*VLOOKUP('Données projet'!$B$9,Paramètres!$A$1:$I$89,3,0)*VLOOKUP('Données projet'!$B$9,Paramètres!$A$1:$I$89,5,0)</f>
        <v>231.31744000000003</v>
      </c>
      <c r="P56" s="13">
        <f t="shared" si="33"/>
        <v>56.567448098598192</v>
      </c>
      <c r="Q56" s="20">
        <f t="shared" si="53"/>
        <v>501.39951343839198</v>
      </c>
      <c r="R56" s="59">
        <f t="shared" si="0"/>
        <v>772.25291459310915</v>
      </c>
      <c r="S56" s="59">
        <f ca="1">AVERAGE(OFFSET($R$3,0,0,'Données projet'!$E$9+1,1))-AVERAGE(OFFSET($H$3,0,0,'Données projet'!$E$9+1,1))</f>
        <v>369.06880001017635</v>
      </c>
      <c r="T56" s="59">
        <f t="shared" si="34"/>
        <v>331.91233237772281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38.265034377818473</v>
      </c>
      <c r="AA56" s="21">
        <f>EXP(-LN(2)/25)*AA55+(1-EXP(-LN(2)/25))/(LN(2)/25)*Calculateur!V56*Calculateur!X56*VLOOKUP('Données projet'!$B$9,Paramètres!$A$1:$I$89,3,0)*0.475*44/12</f>
        <v>11.696567992386353</v>
      </c>
      <c r="AB56" s="21">
        <f>EXP(-LN(2)/2)*AB55+(1-EXP(-LN(2)/2))/(LN(2)/2)*V56*Y56*VLOOKUP('Données projet'!$B$9,Paramètres!$A$1:$I$89,3,0)*0.475*44/12</f>
        <v>0.59042309949960281</v>
      </c>
      <c r="AC56" s="22">
        <f t="shared" si="3"/>
        <v>50.552025469704432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63.869109405831985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10.433653847499997</v>
      </c>
      <c r="AI56" s="13">
        <f>IF('Données projet'!$A$62&gt;35,AI55+AH56-AQ55,IF(A56&lt;'Données projet'!$A$62,$AF$205^A56,IF(A56='Données projet'!$A$62,'Données projet'!$B$62,AI55+AH56-AQ55)))</f>
        <v>280.46442306749987</v>
      </c>
      <c r="AJ56" s="13">
        <f>AI56*VLOOKUP('Données projet'!$B$10,Paramètres!$A$1:$I$89,3,0)*VLOOKUP('Données projet'!$B$10,Paramètres!$A$1:$I$89,5,0)</f>
        <v>167.71772499436494</v>
      </c>
      <c r="AK56" s="13">
        <f t="shared" si="35"/>
        <v>42.578468509162143</v>
      </c>
      <c r="AL56" s="20">
        <f t="shared" si="4"/>
        <v>366.26587035197628</v>
      </c>
      <c r="AM56" s="59">
        <f t="shared" si="5"/>
        <v>637.11927150669351</v>
      </c>
      <c r="AN56" s="59">
        <f ca="1">AVERAGE(OFFSET($AM$3,0,0,'Données projet'!$E$10+1,1))-AVERAGE(OFFSET($H$3,0,0,'Données projet'!$E$10+1,1))</f>
        <v>270.29397440778314</v>
      </c>
      <c r="AO56" s="59">
        <f t="shared" si="36"/>
        <v>281.95928682679596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47.541980335918851</v>
      </c>
      <c r="AV56" s="21">
        <f>EXP(-LN(2)/25)*AV55+(1-EXP(-LN(2)/25))/(LN(2)/25)*Calculateur!AQ56*Calculateur!AS56*VLOOKUP('Données projet'!$B$10,Paramètres!$A$1:$I$89,3,0)*0.475*44/12</f>
        <v>18.238928374420354</v>
      </c>
      <c r="AW56" s="21">
        <f>EXP(-LN(2)/2)*AW55+(1-EXP(-LN(2)/2))/(LN(2)/2)*AQ56*AT56*VLOOKUP('Données projet'!$B$10,Paramètres!$A$1:$I$89,3,0)*0.475*44/12</f>
        <v>4.1767819673320261</v>
      </c>
      <c r="AX56" s="21">
        <f t="shared" si="6"/>
        <v>69.957690677671224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63.869109405831985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11.170769230769233</v>
      </c>
      <c r="BD56" s="12">
        <f>IF('Données projet'!$A$88&gt;35,BD55+BC56-BL55,IF(A56&lt;'Données projet'!$A$88,$BA$205^A56,IF(A56='Données projet'!$A$88,'Données projet'!$B$88,BD55+BC56-BL55)))</f>
        <v>239.74923076923099</v>
      </c>
      <c r="BE56" s="13">
        <f>BD56*VLOOKUP('Données projet'!$B$11,Paramètres!$A$1:$I$89,3,0)*VLOOKUP('Données projet'!$B$11,Paramètres!$A$1:$I$89,5,0)</f>
        <v>112.2026400000001</v>
      </c>
      <c r="BF56" s="13">
        <f t="shared" si="37"/>
        <v>29.84934340268536</v>
      </c>
      <c r="BG56" s="20">
        <f t="shared" si="7"/>
        <v>247.40720442634384</v>
      </c>
      <c r="BH56" s="59">
        <f t="shared" si="8"/>
        <v>518.2606055810611</v>
      </c>
      <c r="BI56" s="59">
        <f ca="1">AVERAGE(OFFSET($BH$3,0,0,'Données projet'!$E$11+1,1))-AVERAGE(OFFSET($H$3,0,0,'Données projet'!$E$11+1,1))</f>
        <v>308.70979446846718</v>
      </c>
      <c r="BJ56" s="59">
        <f t="shared" si="38"/>
        <v>202.33469175293314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30.66130050992091</v>
      </c>
      <c r="BR56" s="21">
        <f>EXP(-LN(2)/2)*BR55+(1-EXP(-LN(2)/2))/(LN(2)/2)*BL56*BO56*VLOOKUP('Données projet'!$B$11,Paramètres!$A$1:$I$89,3,0)*0.475*44/12</f>
        <v>19.836519637637696</v>
      </c>
      <c r="BS56" s="22">
        <f t="shared" si="9"/>
        <v>50.497820147558606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63.869109405831985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63.869109405831985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63.869109405831985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63.869109405831985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63.869109405831985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63.869109405831985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63.869109405831985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3.1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11.366666666666667</v>
      </c>
      <c r="H57" s="67">
        <f t="shared" si="1"/>
        <v>211.20000000000002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63.975466651022828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13.793846153846165</v>
      </c>
      <c r="N57" s="13">
        <f>IF('Données projet'!$A$36&gt;35,N56+M57-V56,IF(A57&lt;'Données projet'!$A$36,$K$205^A57,IF(A57='Données projet'!$A$36,'Données projet'!$B$36,N56+M57-V56)))</f>
        <v>400.61230769230775</v>
      </c>
      <c r="O57" s="13">
        <f>N57*VLOOKUP('Données projet'!$B$9,Paramètres!$A$1:$I$89,3,0)*VLOOKUP('Données projet'!$B$9,Paramètres!$A$1:$I$89,5,0)</f>
        <v>239.56616000000005</v>
      </c>
      <c r="P57" s="13">
        <f t="shared" si="33"/>
        <v>58.346177865957287</v>
      </c>
      <c r="Q57" s="20">
        <f t="shared" si="53"/>
        <v>518.86398844987571</v>
      </c>
      <c r="R57" s="59">
        <f t="shared" si="0"/>
        <v>790.10736617029283</v>
      </c>
      <c r="S57" s="59">
        <f ca="1">AVERAGE(OFFSET($R$3,0,0,'Données projet'!$E$9+1,1))-AVERAGE(OFFSET($H$3,0,0,'Données projet'!$E$9+1,1))</f>
        <v>369.06880001017635</v>
      </c>
      <c r="T57" s="59">
        <f t="shared" si="34"/>
        <v>331.91233237772281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37.514680393035853</v>
      </c>
      <c r="AA57" s="21">
        <f>EXP(-LN(2)/25)*AA56+(1-EXP(-LN(2)/25))/(LN(2)/25)*Calculateur!V57*Calculateur!X57*VLOOKUP('Données projet'!$B$9,Paramètres!$A$1:$I$89,3,0)*0.475*44/12</f>
        <v>11.37672472553877</v>
      </c>
      <c r="AB57" s="21">
        <f>EXP(-LN(2)/2)*AB56+(1-EXP(-LN(2)/2))/(LN(2)/2)*V57*Y57*VLOOKUP('Données projet'!$B$9,Paramètres!$A$1:$I$89,3,0)*0.475*44/12</f>
        <v>0.41749217742534883</v>
      </c>
      <c r="AC57" s="22">
        <f t="shared" si="3"/>
        <v>49.308897295999977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63.975466651022828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10.433653847499997</v>
      </c>
      <c r="AI57" s="13">
        <f>IF('Données projet'!$A$62&gt;35,AI56+AH57-AQ56,IF(A57&lt;'Données projet'!$A$62,$AF$205^A57,IF(A57='Données projet'!$A$62,'Données projet'!$B$62,AI56+AH57-AQ56)))</f>
        <v>290.89807691499988</v>
      </c>
      <c r="AJ57" s="13">
        <f>AI57*VLOOKUP('Données projet'!$B$10,Paramètres!$A$1:$I$89,3,0)*VLOOKUP('Données projet'!$B$10,Paramètres!$A$1:$I$89,5,0)</f>
        <v>173.95704999516994</v>
      </c>
      <c r="AK57" s="13">
        <f t="shared" si="35"/>
        <v>43.975080817470442</v>
      </c>
      <c r="AL57" s="20">
        <f t="shared" si="4"/>
        <v>379.56512783201532</v>
      </c>
      <c r="AM57" s="59">
        <f t="shared" si="5"/>
        <v>650.80850555243239</v>
      </c>
      <c r="AN57" s="59">
        <f ca="1">AVERAGE(OFFSET($AM$3,0,0,'Données projet'!$E$10+1,1))-AVERAGE(OFFSET($H$3,0,0,'Données projet'!$E$10+1,1))</f>
        <v>270.29397440778314</v>
      </c>
      <c r="AO57" s="59">
        <f t="shared" si="36"/>
        <v>281.95928682679596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46.609711099276197</v>
      </c>
      <c r="AV57" s="21">
        <f>EXP(-LN(2)/25)*AV56+(1-EXP(-LN(2)/25))/(LN(2)/25)*Calculateur!AQ57*Calculateur!AS57*VLOOKUP('Données projet'!$B$10,Paramètres!$A$1:$I$89,3,0)*0.475*44/12</f>
        <v>17.740183918878273</v>
      </c>
      <c r="AW57" s="21">
        <f>EXP(-LN(2)/2)*AW56+(1-EXP(-LN(2)/2))/(LN(2)/2)*AQ57*AT57*VLOOKUP('Données projet'!$B$10,Paramètres!$A$1:$I$89,3,0)*0.475*44/12</f>
        <v>2.9534308526381645</v>
      </c>
      <c r="AX57" s="21">
        <f t="shared" si="6"/>
        <v>67.303325870792634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63.975466651022828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11.170769230769233</v>
      </c>
      <c r="BD57" s="12">
        <f>IF('Données projet'!$A$88&gt;35,BD56+BC57-BL56,IF(A57&lt;'Données projet'!$A$88,$BA$205^A57,IF(A57='Données projet'!$A$88,'Données projet'!$B$88,BD56+BC57-BL56)))</f>
        <v>250.92000000000021</v>
      </c>
      <c r="BE57" s="13">
        <f>BD57*VLOOKUP('Données projet'!$B$11,Paramètres!$A$1:$I$89,3,0)*VLOOKUP('Données projet'!$B$11,Paramètres!$A$1:$I$89,5,0)</f>
        <v>117.43056000000011</v>
      </c>
      <c r="BF57" s="13">
        <f t="shared" si="37"/>
        <v>31.074966780724139</v>
      </c>
      <c r="BG57" s="20">
        <f t="shared" si="7"/>
        <v>258.64712580976141</v>
      </c>
      <c r="BH57" s="59">
        <f t="shared" si="8"/>
        <v>529.89050353017842</v>
      </c>
      <c r="BI57" s="59">
        <f ca="1">AVERAGE(OFFSET($BH$3,0,0,'Données projet'!$E$11+1,1))-AVERAGE(OFFSET($H$3,0,0,'Données projet'!$E$11+1,1))</f>
        <v>308.70979446846718</v>
      </c>
      <c r="BJ57" s="59">
        <f t="shared" si="38"/>
        <v>202.33469175293314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29.822865635069405</v>
      </c>
      <c r="BR57" s="21">
        <f>EXP(-LN(2)/2)*BR56+(1-EXP(-LN(2)/2))/(LN(2)/2)*BL57*BO57*VLOOKUP('Données projet'!$B$11,Paramètres!$A$1:$I$89,3,0)*0.475*44/12</f>
        <v>14.026537550913732</v>
      </c>
      <c r="BS57" s="22">
        <f t="shared" si="9"/>
        <v>43.849403185983135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63.975466651022828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63.975466651022828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63.975466651022828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63.975466651022828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63.975466651022828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63.975466651022828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63.975466651022828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3.1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11.366666666666667</v>
      </c>
      <c r="H58" s="67">
        <f t="shared" si="1"/>
        <v>211.20000000000002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64.079978835788793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13.793846153846165</v>
      </c>
      <c r="N58" s="13">
        <f>IF('Données projet'!$A$36&gt;35,N57+M58-V57,IF(A58&lt;'Données projet'!$A$36,$K$205^A58,IF(A58='Données projet'!$A$36,'Données projet'!$B$36,N57+M58-V57)))</f>
        <v>414.40615384615393</v>
      </c>
      <c r="O58" s="13">
        <f>N58*VLOOKUP('Données projet'!$B$9,Paramètres!$A$1:$I$89,3,0)*VLOOKUP('Données projet'!$B$9,Paramètres!$A$1:$I$89,5,0)</f>
        <v>247.81488000000007</v>
      </c>
      <c r="P58" s="13">
        <f t="shared" si="33"/>
        <v>60.117791489820576</v>
      </c>
      <c r="Q58" s="20">
        <f t="shared" si="53"/>
        <v>536.3160695114376</v>
      </c>
      <c r="R58" s="59">
        <f t="shared" si="0"/>
        <v>807.94265857599657</v>
      </c>
      <c r="S58" s="59">
        <f ca="1">AVERAGE(OFFSET($R$3,0,0,'Données projet'!$E$9+1,1))-AVERAGE(OFFSET($H$3,0,0,'Données projet'!$E$9+1,1))</f>
        <v>369.06880001017635</v>
      </c>
      <c r="T58" s="59">
        <f t="shared" si="34"/>
        <v>331.91233237772281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36.779040392224083</v>
      </c>
      <c r="AA58" s="21">
        <f>EXP(-LN(2)/25)*AA57+(1-EXP(-LN(2)/25))/(LN(2)/25)*Calculateur!V58*Calculateur!X58*VLOOKUP('Données projet'!$B$9,Paramètres!$A$1:$I$89,3,0)*0.475*44/12</f>
        <v>11.065627589642961</v>
      </c>
      <c r="AB58" s="21">
        <f>EXP(-LN(2)/2)*AB57+(1-EXP(-LN(2)/2))/(LN(2)/2)*V58*Y58*VLOOKUP('Données projet'!$B$9,Paramètres!$A$1:$I$89,3,0)*0.475*44/12</f>
        <v>0.29521154974980141</v>
      </c>
      <c r="AC58" s="22">
        <f t="shared" si="3"/>
        <v>48.139879531616849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64.079978835788793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10.433653847499997</v>
      </c>
      <c r="AI58" s="13">
        <f>IF('Données projet'!$A$62&gt;35,AI57+AH58-AQ57,IF(A58&lt;'Données projet'!$A$62,$AF$205^A58,IF(A58='Données projet'!$A$62,'Données projet'!$B$62,AI57+AH58-AQ57)))</f>
        <v>301.33173076249989</v>
      </c>
      <c r="AJ58" s="13">
        <f>AI58*VLOOKUP('Données projet'!$B$10,Paramètres!$A$1:$I$89,3,0)*VLOOKUP('Données projet'!$B$10,Paramètres!$A$1:$I$89,5,0)</f>
        <v>180.19637499597496</v>
      </c>
      <c r="AK58" s="13">
        <f t="shared" si="35"/>
        <v>45.365873212232607</v>
      </c>
      <c r="AL58" s="20">
        <f t="shared" si="4"/>
        <v>392.85424896262816</v>
      </c>
      <c r="AM58" s="59">
        <f t="shared" si="5"/>
        <v>664.48083802718702</v>
      </c>
      <c r="AN58" s="59">
        <f ca="1">AVERAGE(OFFSET($AM$3,0,0,'Données projet'!$E$10+1,1))-AVERAGE(OFFSET($H$3,0,0,'Données projet'!$E$10+1,1))</f>
        <v>270.29397440778314</v>
      </c>
      <c r="AO58" s="59">
        <f t="shared" si="36"/>
        <v>281.95928682679596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45.695723093736021</v>
      </c>
      <c r="AV58" s="21">
        <f>EXP(-LN(2)/25)*AV57+(1-EXP(-LN(2)/25))/(LN(2)/25)*Calculateur!AQ58*Calculateur!AS58*VLOOKUP('Données projet'!$B$10,Paramètres!$A$1:$I$89,3,0)*0.475*44/12</f>
        <v>17.25507765670082</v>
      </c>
      <c r="AW58" s="21">
        <f>EXP(-LN(2)/2)*AW57+(1-EXP(-LN(2)/2))/(LN(2)/2)*AQ58*AT58*VLOOKUP('Données projet'!$B$10,Paramètres!$A$1:$I$89,3,0)*0.475*44/12</f>
        <v>2.0883909836660131</v>
      </c>
      <c r="AX58" s="21">
        <f t="shared" si="6"/>
        <v>65.039191734102857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64.079978835788793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11.170769230769233</v>
      </c>
      <c r="BD58" s="12">
        <f>IF('Données projet'!$A$88&gt;35,BD57+BC58-BL57,IF(A58&lt;'Données projet'!$A$88,$BA$205^A58,IF(A58='Données projet'!$A$88,'Données projet'!$B$88,BD57+BC58-BL57)))</f>
        <v>262.09076923076947</v>
      </c>
      <c r="BE58" s="13">
        <f>BD58*VLOOKUP('Données projet'!$B$11,Paramètres!$A$1:$I$89,3,0)*VLOOKUP('Données projet'!$B$11,Paramètres!$A$1:$I$89,5,0)</f>
        <v>122.6584800000001</v>
      </c>
      <c r="BF58" s="13">
        <f t="shared" si="37"/>
        <v>32.294253146422101</v>
      </c>
      <c r="BG58" s="20">
        <f t="shared" si="7"/>
        <v>269.87601023001861</v>
      </c>
      <c r="BH58" s="59">
        <f t="shared" si="8"/>
        <v>541.50259929457752</v>
      </c>
      <c r="BI58" s="59">
        <f ca="1">AVERAGE(OFFSET($BH$3,0,0,'Données projet'!$E$11+1,1))-AVERAGE(OFFSET($H$3,0,0,'Données projet'!$E$11+1,1))</f>
        <v>308.70979446846718</v>
      </c>
      <c r="BJ58" s="59">
        <f t="shared" si="38"/>
        <v>202.33469175293314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29.007357805962091</v>
      </c>
      <c r="BR58" s="21">
        <f>EXP(-LN(2)/2)*BR57+(1-EXP(-LN(2)/2))/(LN(2)/2)*BL58*BO58*VLOOKUP('Données projet'!$B$11,Paramètres!$A$1:$I$89,3,0)*0.475*44/12</f>
        <v>9.9182598188188482</v>
      </c>
      <c r="BS58" s="22">
        <f t="shared" si="9"/>
        <v>38.925617624780941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64.079978835788793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64.079978835788793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64.079978835788793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64.079978835788793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64.079978835788793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64.079978835788793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64.079978835788793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3.1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11.366666666666667</v>
      </c>
      <c r="H59" s="67">
        <f t="shared" si="1"/>
        <v>211.20000000000002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64.182677967803301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428.20000000000005</v>
      </c>
      <c r="L59" s="12">
        <f>VLOOKUP(A59,'Données projet'!$A$35:$I$55,9,0)</f>
        <v>13.793846153846165</v>
      </c>
      <c r="M59" s="12">
        <f t="array" ref="M59">INDEX(L:L,MIN(IF(ISNUMBER(L59:L255),ROW(L59:L255),"")))</f>
        <v>13.793846153846165</v>
      </c>
      <c r="N59" s="13">
        <f>IF('Données projet'!$A$36&gt;35,N58+M59-V58,IF(A59&lt;'Données projet'!$A$36,$K$205^A59,IF(A59='Données projet'!$A$36,'Données projet'!$B$36,N58+M59-V58)))</f>
        <v>428.2000000000001</v>
      </c>
      <c r="O59" s="13">
        <f>N59*VLOOKUP('Données projet'!$B$9,Paramètres!$A$1:$I$89,3,0)*VLOOKUP('Données projet'!$B$9,Paramètres!$A$1:$I$89,5,0)</f>
        <v>256.06360000000012</v>
      </c>
      <c r="P59" s="13">
        <f t="shared" si="33"/>
        <v>61.882552995500411</v>
      </c>
      <c r="Q59" s="20">
        <f t="shared" si="53"/>
        <v>553.75621646716343</v>
      </c>
      <c r="R59" s="59">
        <f t="shared" si="0"/>
        <v>825.75936901577552</v>
      </c>
      <c r="S59" s="59">
        <f ca="1">AVERAGE(OFFSET($R$3,0,0,'Données projet'!$E$9+1,1))-AVERAGE(OFFSET($H$3,0,0,'Données projet'!$E$9+1,1))</f>
        <v>369.06880001017635</v>
      </c>
      <c r="T59" s="59">
        <f t="shared" si="34"/>
        <v>331.91233237772281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60.092307692307692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51.073988934152091</v>
      </c>
      <c r="AA59" s="21">
        <f>EXP(-LN(2)/25)*AA58+(1-EXP(-LN(2)/25))/(LN(2)/25)*Calculateur!V59*Calculateur!X59*VLOOKUP('Données projet'!$B$9,Paramètres!$A$1:$I$89,3,0)*0.475*44/12</f>
        <v>14.352726717765847</v>
      </c>
      <c r="AB59" s="21">
        <f>EXP(-LN(2)/2)*AB58+(1-EXP(-LN(2)/2))/(LN(2)/2)*V59*Y59*VLOOKUP('Données projet'!$B$9,Paramètres!$A$1:$I$89,3,0)*0.475*44/12</f>
        <v>5.5794293043783174</v>
      </c>
      <c r="AC59" s="22">
        <f t="shared" si="3"/>
        <v>71.006144956296254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64.182677967803301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10.433653847499997</v>
      </c>
      <c r="AI59" s="13">
        <f>IF('Données projet'!$A$62&gt;35,AI58+AH59-AQ58,IF(A59&lt;'Données projet'!$A$62,$AF$205^A59,IF(A59='Données projet'!$A$62,'Données projet'!$B$62,AI58+AH59-AQ58)))</f>
        <v>311.7653846099999</v>
      </c>
      <c r="AJ59" s="13">
        <f>AI59*VLOOKUP('Données projet'!$B$10,Paramètres!$A$1:$I$89,3,0)*VLOOKUP('Données projet'!$B$10,Paramètres!$A$1:$I$89,5,0)</f>
        <v>186.43569999677996</v>
      </c>
      <c r="AK59" s="13">
        <f t="shared" si="35"/>
        <v>46.751070303630897</v>
      </c>
      <c r="AL59" s="20">
        <f t="shared" si="4"/>
        <v>406.13362493988217</v>
      </c>
      <c r="AM59" s="59">
        <f t="shared" si="5"/>
        <v>678.13677748849432</v>
      </c>
      <c r="AN59" s="59">
        <f ca="1">AVERAGE(OFFSET($AM$3,0,0,'Données projet'!$E$10+1,1))-AVERAGE(OFFSET($H$3,0,0,'Données projet'!$E$10+1,1))</f>
        <v>270.29397440778314</v>
      </c>
      <c r="AO59" s="59">
        <f t="shared" si="36"/>
        <v>281.95928682679596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44.799657835506849</v>
      </c>
      <c r="AV59" s="21">
        <f>EXP(-LN(2)/25)*AV58+(1-EXP(-LN(2)/25))/(LN(2)/25)*Calculateur!AQ59*Calculateur!AS59*VLOOKUP('Données projet'!$B$10,Paramètres!$A$1:$I$89,3,0)*0.475*44/12</f>
        <v>16.78323665077324</v>
      </c>
      <c r="AW59" s="21">
        <f>EXP(-LN(2)/2)*AW58+(1-EXP(-LN(2)/2))/(LN(2)/2)*AQ59*AT59*VLOOKUP('Données projet'!$B$10,Paramètres!$A$1:$I$89,3,0)*0.475*44/12</f>
        <v>1.4767154263190823</v>
      </c>
      <c r="AX59" s="21">
        <f t="shared" si="6"/>
        <v>63.059609912599171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64.182677967803301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11.170769230769233</v>
      </c>
      <c r="BD59" s="12">
        <f>IF('Données projet'!$A$88&gt;35,BD58+BC59-BL58,IF(A59&lt;'Données projet'!$A$88,$BA$205^A59,IF(A59='Données projet'!$A$88,'Données projet'!$B$88,BD58+BC59-BL58)))</f>
        <v>273.26153846153869</v>
      </c>
      <c r="BE59" s="13">
        <f>BD59*VLOOKUP('Données projet'!$B$11,Paramètres!$A$1:$I$89,3,0)*VLOOKUP('Données projet'!$B$11,Paramètres!$A$1:$I$89,5,0)</f>
        <v>127.88640000000011</v>
      </c>
      <c r="BF59" s="13">
        <f t="shared" si="37"/>
        <v>33.507503472593491</v>
      </c>
      <c r="BG59" s="20">
        <f t="shared" si="7"/>
        <v>281.09438188143378</v>
      </c>
      <c r="BH59" s="59">
        <f t="shared" si="8"/>
        <v>553.09753443004593</v>
      </c>
      <c r="BI59" s="59">
        <f ca="1">AVERAGE(OFFSET($BH$3,0,0,'Données projet'!$E$11+1,1))-AVERAGE(OFFSET($H$3,0,0,'Données projet'!$E$11+1,1))</f>
        <v>308.70979446846718</v>
      </c>
      <c r="BJ59" s="59">
        <f t="shared" si="38"/>
        <v>202.33469175293314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28.214150081327407</v>
      </c>
      <c r="BR59" s="21">
        <f>EXP(-LN(2)/2)*BR58+(1-EXP(-LN(2)/2))/(LN(2)/2)*BL59*BO59*VLOOKUP('Données projet'!$B$11,Paramètres!$A$1:$I$89,3,0)*0.475*44/12</f>
        <v>7.0132687754568659</v>
      </c>
      <c r="BS59" s="22">
        <f t="shared" si="9"/>
        <v>35.227418856784276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64.182677967803301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64.182677967803301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64.182677967803301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64.182677967803301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64.182677967803301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64.182677967803301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64.182677967803301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3.1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11.366666666666667</v>
      </c>
      <c r="H60" s="67">
        <f t="shared" si="1"/>
        <v>211.20000000000002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64.283595499478224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12.05461538461538</v>
      </c>
      <c r="N60" s="13">
        <f>IF('Données projet'!$A$36&gt;35,N59+M60-V59,IF(A60&lt;'Données projet'!$A$36,$K$205^A60,IF(A60='Données projet'!$A$36,'Données projet'!$B$36,N59+M60-V59)))</f>
        <v>380.16230769230776</v>
      </c>
      <c r="O60" s="13">
        <f>N60*VLOOKUP('Données projet'!$B$9,Paramètres!$A$1:$I$89,3,0)*VLOOKUP('Données projet'!$B$9,Paramètres!$A$1:$I$89,5,0)</f>
        <v>227.33706000000004</v>
      </c>
      <c r="P60" s="13">
        <f t="shared" si="33"/>
        <v>55.70650197157245</v>
      </c>
      <c r="Q60" s="20">
        <f t="shared" si="53"/>
        <v>492.9675371004887</v>
      </c>
      <c r="R60" s="59">
        <f t="shared" si="0"/>
        <v>765.34072059857544</v>
      </c>
      <c r="S60" s="59">
        <f ca="1">AVERAGE(OFFSET($R$3,0,0,'Données projet'!$E$9+1,1))-AVERAGE(OFFSET($H$3,0,0,'Données projet'!$E$9+1,1))</f>
        <v>369.06880001017635</v>
      </c>
      <c r="T60" s="59">
        <f t="shared" si="34"/>
        <v>331.91233237772281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50.07245916321061</v>
      </c>
      <c r="AA60" s="21">
        <f>EXP(-LN(2)/25)*AA59+(1-EXP(-LN(2)/25))/(LN(2)/25)*Calculateur!V60*Calculateur!X60*VLOOKUP('Données projet'!$B$9,Paramètres!$A$1:$I$89,3,0)*0.475*44/12</f>
        <v>13.960250650891446</v>
      </c>
      <c r="AB60" s="21">
        <f>EXP(-LN(2)/2)*AB59+(1-EXP(-LN(2)/2))/(LN(2)/2)*V60*Y60*VLOOKUP('Données projet'!$B$9,Paramètres!$A$1:$I$89,3,0)*0.475*44/12</f>
        <v>3.9452522962768501</v>
      </c>
      <c r="AC60" s="22">
        <f t="shared" si="3"/>
        <v>67.977962110378897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64.283595499478224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10.433653847499997</v>
      </c>
      <c r="AI60" s="13">
        <f>IF('Données projet'!$A$62&gt;35,AI59+AH60-AQ59,IF(A60&lt;'Données projet'!$A$62,$AF$205^A60,IF(A60='Données projet'!$A$62,'Données projet'!$B$62,AI59+AH60-AQ59)))</f>
        <v>322.19903845749991</v>
      </c>
      <c r="AJ60" s="13">
        <f>AI60*VLOOKUP('Données projet'!$B$10,Paramètres!$A$1:$I$89,3,0)*VLOOKUP('Données projet'!$B$10,Paramètres!$A$1:$I$89,5,0)</f>
        <v>192.67502499758498</v>
      </c>
      <c r="AK60" s="13">
        <f t="shared" si="35"/>
        <v>48.130880815036747</v>
      </c>
      <c r="AL60" s="20">
        <f t="shared" si="4"/>
        <v>419.40361929031616</v>
      </c>
      <c r="AM60" s="59">
        <f t="shared" si="5"/>
        <v>691.77680278840296</v>
      </c>
      <c r="AN60" s="59">
        <f ca="1">AVERAGE(OFFSET($AM$3,0,0,'Données projet'!$E$10+1,1))-AVERAGE(OFFSET($H$3,0,0,'Données projet'!$E$10+1,1))</f>
        <v>270.29397440778314</v>
      </c>
      <c r="AO60" s="59">
        <f t="shared" si="36"/>
        <v>281.95928682679596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43.92116387044571</v>
      </c>
      <c r="AV60" s="21">
        <f>EXP(-LN(2)/25)*AV59+(1-EXP(-LN(2)/25))/(LN(2)/25)*Calculateur!AQ60*Calculateur!AS60*VLOOKUP('Données projet'!$B$10,Paramètres!$A$1:$I$89,3,0)*0.475*44/12</f>
        <v>16.324298161965789</v>
      </c>
      <c r="AW60" s="21">
        <f>EXP(-LN(2)/2)*AW59+(1-EXP(-LN(2)/2))/(LN(2)/2)*AQ60*AT60*VLOOKUP('Données projet'!$B$10,Paramètres!$A$1:$I$89,3,0)*0.475*44/12</f>
        <v>1.0441954918330065</v>
      </c>
      <c r="AX60" s="21">
        <f t="shared" si="6"/>
        <v>61.289657524244504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64.283595499478224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11.170769230769233</v>
      </c>
      <c r="BD60" s="12">
        <f>IF('Données projet'!$A$88&gt;35,BD59+BC60-BL59,IF(A60&lt;'Données projet'!$A$88,$BA$205^A60,IF(A60='Données projet'!$A$88,'Données projet'!$B$88,BD59+BC60-BL59)))</f>
        <v>284.43230769230792</v>
      </c>
      <c r="BE60" s="13">
        <f>BD60*VLOOKUP('Données projet'!$B$11,Paramètres!$A$1:$I$89,3,0)*VLOOKUP('Données projet'!$B$11,Paramètres!$A$1:$I$89,5,0)</f>
        <v>133.11432000000011</v>
      </c>
      <c r="BF60" s="13">
        <f t="shared" si="37"/>
        <v>34.714992732392233</v>
      </c>
      <c r="BG60" s="20">
        <f t="shared" si="7"/>
        <v>292.30271967558332</v>
      </c>
      <c r="BH60" s="59">
        <f t="shared" si="8"/>
        <v>564.67590317367012</v>
      </c>
      <c r="BI60" s="59">
        <f ca="1">AVERAGE(OFFSET($BH$3,0,0,'Données projet'!$E$11+1,1))-AVERAGE(OFFSET($H$3,0,0,'Données projet'!$E$11+1,1))</f>
        <v>308.70979446846718</v>
      </c>
      <c r="BJ60" s="59">
        <f t="shared" si="38"/>
        <v>202.33469175293314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27.442632663635841</v>
      </c>
      <c r="BR60" s="21">
        <f>EXP(-LN(2)/2)*BR59+(1-EXP(-LN(2)/2))/(LN(2)/2)*BL60*BO60*VLOOKUP('Données projet'!$B$11,Paramètres!$A$1:$I$89,3,0)*0.475*44/12</f>
        <v>4.9591299094094241</v>
      </c>
      <c r="BS60" s="22">
        <f t="shared" si="9"/>
        <v>32.401762573045268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64.283595499478224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64.283595499478224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64.283595499478224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64.283595499478224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64.283595499478224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64.283595499478224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64.283595499478224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3.1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11.366666666666667</v>
      </c>
      <c r="H61" s="67">
        <f t="shared" si="1"/>
        <v>211.20000000000002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64.382762337596404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12.05461538461538</v>
      </c>
      <c r="N61" s="13">
        <f>IF('Données projet'!$A$36&gt;35,N60+M61-V60,IF(A61&lt;'Données projet'!$A$36,$K$205^A61,IF(A61='Données projet'!$A$36,'Données projet'!$B$36,N60+M61-V60)))</f>
        <v>392.21692307692314</v>
      </c>
      <c r="O61" s="13">
        <f>N61*VLOOKUP('Données projet'!$B$9,Paramètres!$A$1:$I$89,3,0)*VLOOKUP('Données projet'!$B$9,Paramètres!$A$1:$I$89,5,0)</f>
        <v>234.54572000000007</v>
      </c>
      <c r="P61" s="13">
        <f t="shared" si="33"/>
        <v>57.264450118616011</v>
      </c>
      <c r="Q61" s="20">
        <f t="shared" si="53"/>
        <v>508.23604628992302</v>
      </c>
      <c r="R61" s="59">
        <f t="shared" si="0"/>
        <v>780.9728415277765</v>
      </c>
      <c r="S61" s="59">
        <f ca="1">AVERAGE(OFFSET($R$3,0,0,'Données projet'!$E$9+1,1))-AVERAGE(OFFSET($H$3,0,0,'Données projet'!$E$9+1,1))</f>
        <v>369.06880001017635</v>
      </c>
      <c r="T61" s="59">
        <f t="shared" si="34"/>
        <v>331.91233237772281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49.09056878020445</v>
      </c>
      <c r="AA61" s="21">
        <f>EXP(-LN(2)/25)*AA60+(1-EXP(-LN(2)/25))/(LN(2)/25)*Calculateur!V61*Calculateur!X61*VLOOKUP('Données projet'!$B$9,Paramètres!$A$1:$I$89,3,0)*0.475*44/12</f>
        <v>13.578506862705144</v>
      </c>
      <c r="AB61" s="21">
        <f>EXP(-LN(2)/2)*AB60+(1-EXP(-LN(2)/2))/(LN(2)/2)*V61*Y61*VLOOKUP('Données projet'!$B$9,Paramètres!$A$1:$I$89,3,0)*0.475*44/12</f>
        <v>2.7897146521891591</v>
      </c>
      <c r="AC61" s="22">
        <f t="shared" si="3"/>
        <v>65.458790295098751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64.382762337596404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10.433653847499997</v>
      </c>
      <c r="AI61" s="13">
        <f>IF('Données projet'!$A$62&gt;35,AI60+AH61-AQ60,IF(A61&lt;'Données projet'!$A$62,$AF$205^A61,IF(A61='Données projet'!$A$62,'Données projet'!$B$62,AI60+AH61-AQ60)))</f>
        <v>332.63269230499992</v>
      </c>
      <c r="AJ61" s="13">
        <f>AI61*VLOOKUP('Données projet'!$B$10,Paramètres!$A$1:$I$89,3,0)*VLOOKUP('Données projet'!$B$10,Paramètres!$A$1:$I$89,5,0)</f>
        <v>198.91434999838998</v>
      </c>
      <c r="AK61" s="13">
        <f t="shared" si="35"/>
        <v>49.505499184388505</v>
      </c>
      <c r="AL61" s="20">
        <f t="shared" si="4"/>
        <v>432.66457066000584</v>
      </c>
      <c r="AM61" s="59">
        <f t="shared" si="5"/>
        <v>705.40136589785925</v>
      </c>
      <c r="AN61" s="59">
        <f ca="1">AVERAGE(OFFSET($AM$3,0,0,'Données projet'!$E$10+1,1))-AVERAGE(OFFSET($H$3,0,0,'Données projet'!$E$10+1,1))</f>
        <v>270.29397440778314</v>
      </c>
      <c r="AO61" s="59">
        <f t="shared" si="36"/>
        <v>281.95928682679596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43.059896636211008</v>
      </c>
      <c r="AV61" s="21">
        <f>EXP(-LN(2)/25)*AV60+(1-EXP(-LN(2)/25))/(LN(2)/25)*Calculateur!AQ61*Calculateur!AS61*VLOOKUP('Données projet'!$B$10,Paramètres!$A$1:$I$89,3,0)*0.475*44/12</f>
        <v>15.877909370269304</v>
      </c>
      <c r="AW61" s="21">
        <f>EXP(-LN(2)/2)*AW60+(1-EXP(-LN(2)/2))/(LN(2)/2)*AQ61*AT61*VLOOKUP('Données projet'!$B$10,Paramètres!$A$1:$I$89,3,0)*0.475*44/12</f>
        <v>0.73835771315954113</v>
      </c>
      <c r="AX61" s="21">
        <f t="shared" si="6"/>
        <v>59.67616371963986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64.382762337596404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11.170769230769233</v>
      </c>
      <c r="BD61" s="12">
        <f>IF('Données projet'!$A$88&gt;35,BD60+BC61-BL60,IF(A61&lt;'Données projet'!$A$88,$BA$205^A61,IF(A61='Données projet'!$A$88,'Données projet'!$B$88,BD60+BC61-BL60)))</f>
        <v>295.60307692307714</v>
      </c>
      <c r="BE61" s="13">
        <f>BD61*VLOOKUP('Données projet'!$B$11,Paramètres!$A$1:$I$89,3,0)*VLOOKUP('Données projet'!$B$11,Paramètres!$A$1:$I$89,5,0)</f>
        <v>138.34224000000009</v>
      </c>
      <c r="BF61" s="13">
        <f t="shared" si="37"/>
        <v>35.916973077604602</v>
      </c>
      <c r="BG61" s="20">
        <f t="shared" si="7"/>
        <v>303.50146277682819</v>
      </c>
      <c r="BH61" s="59">
        <f t="shared" si="8"/>
        <v>576.23825801468161</v>
      </c>
      <c r="BI61" s="59">
        <f ca="1">AVERAGE(OFFSET($BH$3,0,0,'Données projet'!$E$11+1,1))-AVERAGE(OFFSET($H$3,0,0,'Données projet'!$E$11+1,1))</f>
        <v>308.70979446846718</v>
      </c>
      <c r="BJ61" s="59">
        <f t="shared" si="38"/>
        <v>202.33469175293314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26.692212430303389</v>
      </c>
      <c r="BR61" s="21">
        <f>EXP(-LN(2)/2)*BR60+(1-EXP(-LN(2)/2))/(LN(2)/2)*BL61*BO61*VLOOKUP('Données projet'!$B$11,Paramètres!$A$1:$I$89,3,0)*0.475*44/12</f>
        <v>3.5066343877284329</v>
      </c>
      <c r="BS61" s="22">
        <f t="shared" si="9"/>
        <v>30.198846818031821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64.382762337596404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64.382762337596404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64.382762337596404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64.382762337596404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64.382762337596404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64.382762337596404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64.382762337596404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3.1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11.366666666666667</v>
      </c>
      <c r="H62" s="67">
        <f t="shared" si="1"/>
        <v>211.20000000000002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64.480208852777054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12.05461538461538</v>
      </c>
      <c r="N62" s="13">
        <f>IF('Données projet'!$A$36&gt;35,N61+M62-V61,IF(A62&lt;'Données projet'!$A$36,$K$205^A62,IF(A62='Données projet'!$A$36,'Données projet'!$B$36,N61+M62-V61)))</f>
        <v>404.27153846153851</v>
      </c>
      <c r="O62" s="13">
        <f>N62*VLOOKUP('Données projet'!$B$9,Paramètres!$A$1:$I$89,3,0)*VLOOKUP('Données projet'!$B$9,Paramètres!$A$1:$I$89,5,0)</f>
        <v>241.75438000000005</v>
      </c>
      <c r="P62" s="13">
        <f t="shared" si="33"/>
        <v>58.816833733689712</v>
      </c>
      <c r="Q62" s="20">
        <f t="shared" si="53"/>
        <v>523.49486391950961</v>
      </c>
      <c r="R62" s="59">
        <f t="shared" si="0"/>
        <v>796.5889630463588</v>
      </c>
      <c r="S62" s="59">
        <f ca="1">AVERAGE(OFFSET($R$3,0,0,'Données projet'!$E$9+1,1))-AVERAGE(OFFSET($H$3,0,0,'Données projet'!$E$9+1,1))</f>
        <v>369.06880001017635</v>
      </c>
      <c r="T62" s="59">
        <f t="shared" si="34"/>
        <v>331.91233237772281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48.12793266871504</v>
      </c>
      <c r="AA62" s="21">
        <f>EXP(-LN(2)/25)*AA61+(1-EXP(-LN(2)/25))/(LN(2)/25)*Calculateur!V62*Calculateur!X62*VLOOKUP('Données projet'!$B$9,Paramètres!$A$1:$I$89,3,0)*0.475*44/12</f>
        <v>13.207201878481829</v>
      </c>
      <c r="AB62" s="21">
        <f>EXP(-LN(2)/2)*AB61+(1-EXP(-LN(2)/2))/(LN(2)/2)*V62*Y62*VLOOKUP('Données projet'!$B$9,Paramètres!$A$1:$I$89,3,0)*0.475*44/12</f>
        <v>1.9726261481384255</v>
      </c>
      <c r="AC62" s="22">
        <f t="shared" si="3"/>
        <v>63.307760695335297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64.480208852777054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10.433653847499997</v>
      </c>
      <c r="AI62" s="13">
        <f>IF('Données projet'!$A$62&gt;35,AI61+AH62-AQ61,IF(A62&lt;'Données projet'!$A$62,$AF$205^A62,IF(A62='Données projet'!$A$62,'Données projet'!$B$62,AI61+AH62-AQ61)))</f>
        <v>343.06634615249993</v>
      </c>
      <c r="AJ62" s="13">
        <f>AI62*VLOOKUP('Données projet'!$B$10,Paramètres!$A$1:$I$89,3,0)*VLOOKUP('Données projet'!$B$10,Paramètres!$A$1:$I$89,5,0)</f>
        <v>205.15367499919495</v>
      </c>
      <c r="AK62" s="13">
        <f t="shared" si="35"/>
        <v>50.875106959004015</v>
      </c>
      <c r="AL62" s="20">
        <f t="shared" si="4"/>
        <v>445.91679524386319</v>
      </c>
      <c r="AM62" s="59">
        <f t="shared" si="5"/>
        <v>719.01089437071232</v>
      </c>
      <c r="AN62" s="59">
        <f ca="1">AVERAGE(OFFSET($AM$3,0,0,'Données projet'!$E$10+1,1))-AVERAGE(OFFSET($H$3,0,0,'Données projet'!$E$10+1,1))</f>
        <v>270.29397440778314</v>
      </c>
      <c r="AO62" s="59">
        <f t="shared" si="36"/>
        <v>281.95928682679596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42.215518327118509</v>
      </c>
      <c r="AV62" s="21">
        <f>EXP(-LN(2)/25)*AV61+(1-EXP(-LN(2)/25))/(LN(2)/25)*Calculateur!AQ62*Calculateur!AS62*VLOOKUP('Données projet'!$B$10,Paramètres!$A$1:$I$89,3,0)*0.475*44/12</f>
        <v>15.443727103556325</v>
      </c>
      <c r="AW62" s="21">
        <f>EXP(-LN(2)/2)*AW61+(1-EXP(-LN(2)/2))/(LN(2)/2)*AQ62*AT62*VLOOKUP('Données projet'!$B$10,Paramètres!$A$1:$I$89,3,0)*0.475*44/12</f>
        <v>0.52209774591650326</v>
      </c>
      <c r="AX62" s="21">
        <f t="shared" si="6"/>
        <v>58.181343176591341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64.480208852777054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11.170769230769233</v>
      </c>
      <c r="BD62" s="12">
        <f>IF('Données projet'!$A$88&gt;35,BD61+BC62-BL61,IF(A62&lt;'Données projet'!$A$88,$BA$205^A62,IF(A62='Données projet'!$A$88,'Données projet'!$B$88,BD61+BC62-BL61)))</f>
        <v>306.77384615384636</v>
      </c>
      <c r="BE62" s="13">
        <f>BD62*VLOOKUP('Données projet'!$B$11,Paramètres!$A$1:$I$89,3,0)*VLOOKUP('Données projet'!$B$11,Paramètres!$A$1:$I$89,5,0)</f>
        <v>143.5701600000001</v>
      </c>
      <c r="BF62" s="13">
        <f t="shared" si="37"/>
        <v>37.113676523004848</v>
      </c>
      <c r="BG62" s="20">
        <f t="shared" si="7"/>
        <v>314.69101527756692</v>
      </c>
      <c r="BH62" s="59">
        <f t="shared" si="8"/>
        <v>587.78511440441616</v>
      </c>
      <c r="BI62" s="59">
        <f ca="1">AVERAGE(OFFSET($BH$3,0,0,'Données projet'!$E$11+1,1))-AVERAGE(OFFSET($H$3,0,0,'Données projet'!$E$11+1,1))</f>
        <v>308.70979446846718</v>
      </c>
      <c r="BJ62" s="59">
        <f t="shared" si="38"/>
        <v>202.33469175293314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25.962312477714296</v>
      </c>
      <c r="BR62" s="21">
        <f>EXP(-LN(2)/2)*BR61+(1-EXP(-LN(2)/2))/(LN(2)/2)*BL62*BO62*VLOOKUP('Données projet'!$B$11,Paramètres!$A$1:$I$89,3,0)*0.475*44/12</f>
        <v>2.4795649547047121</v>
      </c>
      <c r="BS62" s="22">
        <f t="shared" si="9"/>
        <v>28.441877432419009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64.480208852777054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64.480208852777054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64.480208852777054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64.480208852777054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64.480208852777054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64.480208852777054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64.480208852777054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3.1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11.366666666666667</v>
      </c>
      <c r="H63" s="67">
        <f t="shared" si="1"/>
        <v>211.20000000000002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64.575964888777094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12.05461538461538</v>
      </c>
      <c r="N63" s="13">
        <f>IF('Données projet'!$A$36&gt;35,N62+M63-V62,IF(A63&lt;'Données projet'!$A$36,$K$205^A63,IF(A63='Données projet'!$A$36,'Données projet'!$B$36,N62+M63-V62)))</f>
        <v>416.32615384615389</v>
      </c>
      <c r="O63" s="13">
        <f>N63*VLOOKUP('Données projet'!$B$9,Paramètres!$A$1:$I$89,3,0)*VLOOKUP('Données projet'!$B$9,Paramètres!$A$1:$I$89,5,0)</f>
        <v>248.96304000000006</v>
      </c>
      <c r="P63" s="13">
        <f t="shared" si="33"/>
        <v>60.363837788674616</v>
      </c>
      <c r="Q63" s="20">
        <f t="shared" si="53"/>
        <v>538.7443121486084</v>
      </c>
      <c r="R63" s="59">
        <f t="shared" si="0"/>
        <v>812.18951674079108</v>
      </c>
      <c r="S63" s="59">
        <f ca="1">AVERAGE(OFFSET($R$3,0,0,'Données projet'!$E$9+1,1))-AVERAGE(OFFSET($H$3,0,0,'Données projet'!$E$9+1,1))</f>
        <v>369.06880001017635</v>
      </c>
      <c r="T63" s="59">
        <f t="shared" si="34"/>
        <v>331.91233237772281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47.18417326422189</v>
      </c>
      <c r="AA63" s="21">
        <f>EXP(-LN(2)/25)*AA62+(1-EXP(-LN(2)/25))/(LN(2)/25)*Calculateur!V63*Calculateur!X63*VLOOKUP('Données projet'!$B$9,Paramètres!$A$1:$I$89,3,0)*0.475*44/12</f>
        <v>12.846050248578182</v>
      </c>
      <c r="AB63" s="21">
        <f>EXP(-LN(2)/2)*AB62+(1-EXP(-LN(2)/2))/(LN(2)/2)*V63*Y63*VLOOKUP('Données projet'!$B$9,Paramètres!$A$1:$I$89,3,0)*0.475*44/12</f>
        <v>1.3948573260945798</v>
      </c>
      <c r="AC63" s="22">
        <f t="shared" si="3"/>
        <v>61.425080838894651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64.575964888777094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353.5</v>
      </c>
      <c r="AG63" s="12">
        <f>VLOOKUP(A63,'Données projet'!$A$61:$I$81,9,0)</f>
        <v>10.433653847499997</v>
      </c>
      <c r="AH63" s="12">
        <f t="array" ref="AH63">INDEX(AG:AG,MIN(IF(ISNUMBER(AG63:AG259),ROW(AG63:AG259),"")))</f>
        <v>10.433653847499997</v>
      </c>
      <c r="AI63" s="13">
        <f>IF('Données projet'!$A$62&gt;35,AI62+AH63-AQ62,IF(A63&lt;'Données projet'!$A$62,$AF$205^A63,IF(A63='Données projet'!$A$62,'Données projet'!$B$62,AI62+AH63-AQ62)))</f>
        <v>353.49999999999994</v>
      </c>
      <c r="AJ63" s="13">
        <f>AI63*VLOOKUP('Données projet'!$B$10,Paramètres!$A$1:$I$89,3,0)*VLOOKUP('Données projet'!$B$10,Paramètres!$A$1:$I$89,5,0)</f>
        <v>211.393</v>
      </c>
      <c r="AK63" s="13">
        <f t="shared" si="35"/>
        <v>52.239874015944089</v>
      </c>
      <c r="AL63" s="20">
        <f t="shared" si="4"/>
        <v>459.16058891110259</v>
      </c>
      <c r="AM63" s="59">
        <f t="shared" si="5"/>
        <v>732.60579350328521</v>
      </c>
      <c r="AN63" s="59">
        <f ca="1">AVERAGE(OFFSET($AM$3,0,0,'Données projet'!$E$10+1,1))-AVERAGE(OFFSET($H$3,0,0,'Données projet'!$E$10+1,1))</f>
        <v>270.29397440778314</v>
      </c>
      <c r="AO63" s="59">
        <f t="shared" si="36"/>
        <v>281.95928682679596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353.5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7.5600000000000001E-2</v>
      </c>
      <c r="AT63" s="16">
        <f>IF(ISNA(VLOOKUP(A63,'Données projet'!$A$61:$I$81,7,0)),0%,VLOOKUP(A63,'Données projet'!$A$61:$I$81,7,0))</f>
        <v>0.13200000000000001</v>
      </c>
      <c r="AU63" s="21">
        <f>EXP(-LN(2)/35)*AU62+(1-EXP(-LN(2)/35))/(LN(2)/35)*AQ63*AR63*VLOOKUP('Données projet'!$B$10,Paramètres!$A$1:$I$89,3,0)*0.475*44/12</f>
        <v>129.72202633919761</v>
      </c>
      <c r="AV63" s="21">
        <f>EXP(-LN(2)/25)*AV62+(1-EXP(-LN(2)/25))/(LN(2)/25)*Calculateur!AQ63*Calculateur!AS63*VLOOKUP('Données projet'!$B$10,Paramètres!$A$1:$I$89,3,0)*0.475*44/12</f>
        <v>36.138183014060644</v>
      </c>
      <c r="AW63" s="21">
        <f>EXP(-LN(2)/2)*AW62+(1-EXP(-LN(2)/2))/(LN(2)/2)*AQ63*AT63*VLOOKUP('Données projet'!$B$10,Paramètres!$A$1:$I$89,3,0)*0.475*44/12</f>
        <v>31.962848489953384</v>
      </c>
      <c r="AX63" s="21">
        <f t="shared" si="6"/>
        <v>197.82305784321164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64.575964888777094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11.170769230769233</v>
      </c>
      <c r="BD63" s="12">
        <f>IF('Données projet'!$A$88&gt;35,BD62+BC63-BL62,IF(A63&lt;'Données projet'!$A$88,$BA$205^A63,IF(A63='Données projet'!$A$88,'Données projet'!$B$88,BD62+BC63-BL62)))</f>
        <v>317.94461538461559</v>
      </c>
      <c r="BE63" s="13">
        <f>BD63*VLOOKUP('Données projet'!$B$11,Paramètres!$A$1:$I$89,3,0)*VLOOKUP('Données projet'!$B$11,Paramètres!$A$1:$I$89,5,0)</f>
        <v>148.79808000000008</v>
      </c>
      <c r="BF63" s="13">
        <f t="shared" si="37"/>
        <v>38.305317228732633</v>
      </c>
      <c r="BG63" s="20">
        <f t="shared" si="7"/>
        <v>325.87175017337614</v>
      </c>
      <c r="BH63" s="59">
        <f t="shared" si="8"/>
        <v>599.31695476555888</v>
      </c>
      <c r="BI63" s="59">
        <f ca="1">AVERAGE(OFFSET($BH$3,0,0,'Données projet'!$E$11+1,1))-AVERAGE(OFFSET($H$3,0,0,'Données projet'!$E$11+1,1))</f>
        <v>308.70979446846718</v>
      </c>
      <c r="BJ63" s="59">
        <f t="shared" si="38"/>
        <v>202.33469175293314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25.252371677712521</v>
      </c>
      <c r="BR63" s="21">
        <f>EXP(-LN(2)/2)*BR62+(1-EXP(-LN(2)/2))/(LN(2)/2)*BL63*BO63*VLOOKUP('Données projet'!$B$11,Paramètres!$A$1:$I$89,3,0)*0.475*44/12</f>
        <v>1.7533171938642165</v>
      </c>
      <c r="BS63" s="22">
        <f t="shared" si="9"/>
        <v>27.005688871576737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64.575964888777094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64.575964888777094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64.575964888777094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64.575964888777094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64.575964888777094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64.575964888777094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64.575964888777094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3.1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11.366666666666667</v>
      </c>
      <c r="H64" s="67">
        <f t="shared" si="1"/>
        <v>211.20000000000002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64.67005977163096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12.05461538461538</v>
      </c>
      <c r="N64" s="13">
        <f>IF('Données projet'!$A$36&gt;35,N63+M64-V63,IF(A64&lt;'Données projet'!$A$36,$K$205^A64,IF(A64='Données projet'!$A$36,'Données projet'!$B$36,N63+M64-V63)))</f>
        <v>428.38076923076926</v>
      </c>
      <c r="O64" s="13">
        <f>N64*VLOOKUP('Données projet'!$B$9,Paramètres!$A$1:$I$89,3,0)*VLOOKUP('Données projet'!$B$9,Paramètres!$A$1:$I$89,5,0)</f>
        <v>256.17170000000004</v>
      </c>
      <c r="P64" s="13">
        <f t="shared" si="33"/>
        <v>61.90563593470165</v>
      </c>
      <c r="Q64" s="20">
        <f t="shared" si="53"/>
        <v>553.98469341960538</v>
      </c>
      <c r="R64" s="59">
        <f t="shared" si="0"/>
        <v>827.77491258225223</v>
      </c>
      <c r="S64" s="59">
        <f ca="1">AVERAGE(OFFSET($R$3,0,0,'Données projet'!$E$9+1,1))-AVERAGE(OFFSET($H$3,0,0,'Données projet'!$E$9+1,1))</f>
        <v>369.06880001017635</v>
      </c>
      <c r="T64" s="59">
        <f t="shared" si="34"/>
        <v>331.91233237772281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46.258920406014447</v>
      </c>
      <c r="AA64" s="21">
        <f>EXP(-LN(2)/25)*AA63+(1-EXP(-LN(2)/25))/(LN(2)/25)*Calculateur!V64*Calculateur!X64*VLOOKUP('Données projet'!$B$9,Paramètres!$A$1:$I$89,3,0)*0.475*44/12</f>
        <v>12.49477432898639</v>
      </c>
      <c r="AB64" s="21">
        <f>EXP(-LN(2)/2)*AB63+(1-EXP(-LN(2)/2))/(LN(2)/2)*V64*Y64*VLOOKUP('Données projet'!$B$9,Paramètres!$A$1:$I$89,3,0)*0.475*44/12</f>
        <v>0.98631307406921287</v>
      </c>
      <c r="AC64" s="22">
        <f t="shared" si="3"/>
        <v>59.74000780907005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64.67005977163096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-5.6843418860808015E-14</v>
      </c>
      <c r="AJ64" s="13">
        <f>AI64*VLOOKUP('Données projet'!$B$10,Paramètres!$A$1:$I$89,3,0)*VLOOKUP('Données projet'!$B$10,Paramètres!$A$1:$I$89,5,0)</f>
        <v>-3.3992364478763198E-14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270.29397440778314</v>
      </c>
      <c r="AO64" s="59">
        <f t="shared" si="36"/>
        <v>281.95928682679596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127.17825652530931</v>
      </c>
      <c r="AV64" s="21">
        <f>EXP(-LN(2)/25)*AV63+(1-EXP(-LN(2)/25))/(LN(2)/25)*Calculateur!AQ64*Calculateur!AS64*VLOOKUP('Données projet'!$B$10,Paramètres!$A$1:$I$89,3,0)*0.475*44/12</f>
        <v>35.149982499116703</v>
      </c>
      <c r="AW64" s="21">
        <f>EXP(-LN(2)/2)*AW63+(1-EXP(-LN(2)/2))/(LN(2)/2)*AQ64*AT64*VLOOKUP('Données projet'!$B$10,Paramètres!$A$1:$I$89,3,0)*0.475*44/12</f>
        <v>22.601146913284239</v>
      </c>
      <c r="AX64" s="21">
        <f t="shared" si="6"/>
        <v>184.92938593771026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64.67005977163096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>
        <f>VLOOKUP(A64,'Données projet'!$A$87:$I$107,2,0)</f>
        <v>329.11538461538464</v>
      </c>
      <c r="BB64" s="12">
        <f>VLOOKUP(A64,'Données projet'!$A$87:$I$107,9,0)</f>
        <v>11.170769230769233</v>
      </c>
      <c r="BC64" s="12">
        <f t="array" ref="BC64">INDEX(BB:BB,MIN(IF(ISNUMBER(BB64:BB260),ROW(BB64:BB260),"")))</f>
        <v>11.170769230769233</v>
      </c>
      <c r="BD64" s="12">
        <f>IF('Données projet'!$A$88&gt;35,BD63+BC64-BL63,IF(A64&lt;'Données projet'!$A$88,$BA$205^A64,IF(A64='Données projet'!$A$88,'Données projet'!$B$88,BD63+BC64-BL63)))</f>
        <v>329.11538461538481</v>
      </c>
      <c r="BE64" s="13">
        <f>BD64*VLOOKUP('Données projet'!$B$11,Paramètres!$A$1:$I$89,3,0)*VLOOKUP('Données projet'!$B$11,Paramètres!$A$1:$I$89,5,0)</f>
        <v>154.0260000000001</v>
      </c>
      <c r="BF64" s="13">
        <f t="shared" si="37"/>
        <v>39.492093452898274</v>
      </c>
      <c r="BG64" s="20">
        <f t="shared" si="7"/>
        <v>337.04401276379798</v>
      </c>
      <c r="BH64" s="59">
        <f t="shared" si="8"/>
        <v>610.83423192644477</v>
      </c>
      <c r="BI64" s="59">
        <f ca="1">AVERAGE(OFFSET($BH$3,0,0,'Données projet'!$E$11+1,1))-AVERAGE(OFFSET($H$3,0,0,'Données projet'!$E$11+1,1))</f>
        <v>308.70979446846718</v>
      </c>
      <c r="BJ64" s="59">
        <f t="shared" si="38"/>
        <v>202.33469175293314</v>
      </c>
      <c r="BK64" s="15">
        <f>IF(ISNA(VLOOKUP(A64,'Données projet'!$A$87:$I$107,3,0)),0,VLOOKUP(A64,'Données projet'!$A$87:$I$107,3,0))</f>
        <v>2</v>
      </c>
      <c r="BL64" s="15">
        <f>IF(ISNA(VLOOKUP(A64,'Données projet'!$A$87:$I$107,4,0)),0,VLOOKUP(A64,'Données projet'!$A$87:$I$107,4,0))</f>
        <v>94.76153846153845</v>
      </c>
      <c r="BM64" s="16">
        <f>IF(ISNA(VLOOKUP(A64,'Données projet'!$A$87:$I$107,5,0)),0%,VLOOKUP(A64,'Données projet'!$A$87:$I$107,5,0)*VLOOKUP('Données projet'!$B$11,Paramètres!$A$1:$I$89,7,0))</f>
        <v>0.38500000000000001</v>
      </c>
      <c r="BN64" s="16">
        <f>IF(ISNA(VLOOKUP(A64,'Données projet'!$A$87:$I$107,6,0)),0%,VLOOKUP(A64,'Données projet'!$A$87:$I$107,6,0)*VLOOKUP('Données projet'!$B$11,Paramètres!$A$1:$I$89,7,0))</f>
        <v>9.240000000000001E-2</v>
      </c>
      <c r="BO64" s="16">
        <f>IF(ISNA(VLOOKUP(A64,'Données projet'!$A$87:$I$107,7,0)),0%,VLOOKUP(A64,'Données projet'!$A$87:$I$107,7,0))</f>
        <v>0.13200000000000001</v>
      </c>
      <c r="BP64" s="21">
        <f>EXP(-LN(2)/35)*BP63+(1-EXP(-LN(2)/35))/(LN(2)/35)*BL64*BM64*VLOOKUP('Données projet'!$B$11,Paramètres!$A$1:$I$89,3,0)*0.475*44/12</f>
        <v>22.649939271811736</v>
      </c>
      <c r="BQ64" s="21">
        <f>EXP(-LN(2)/25)*BQ63+(1-EXP(-LN(2)/25))/(LN(2)/25)*Calculateur!BL64*Calculateur!BN64*VLOOKUP('Données projet'!$B$11,Paramètres!$A$1:$I$89,3,0)*0.475*44/12</f>
        <v>29.976426125563794</v>
      </c>
      <c r="BR64" s="21">
        <f>EXP(-LN(2)/2)*BR63+(1-EXP(-LN(2)/2))/(LN(2)/2)*BL64*BO64*VLOOKUP('Données projet'!$B$11,Paramètres!$A$1:$I$89,3,0)*0.475*44/12</f>
        <v>7.867857666070555</v>
      </c>
      <c r="BS64" s="22">
        <f t="shared" si="9"/>
        <v>60.494223063446086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64.67005977163096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64.67005977163096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64.67005977163096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64.67005977163096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64.67005977163096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64.67005977163096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64.67005977163096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3.1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11.366666666666667</v>
      </c>
      <c r="H65" s="67">
        <f t="shared" si="1"/>
        <v>211.20000000000002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64.762522318631952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12.05461538461538</v>
      </c>
      <c r="N65" s="13">
        <f>IF('Données projet'!$A$36&gt;35,N64+M65-V64,IF(A65&lt;'Données projet'!$A$36,$K$205^A65,IF(A65='Données projet'!$A$36,'Données projet'!$B$36,N64+M65-V64)))</f>
        <v>440.43538461538463</v>
      </c>
      <c r="O65" s="13">
        <f>N65*VLOOKUP('Données projet'!$B$9,Paramètres!$A$1:$I$89,3,0)*VLOOKUP('Données projet'!$B$9,Paramètres!$A$1:$I$89,5,0)</f>
        <v>263.38036</v>
      </c>
      <c r="P65" s="13">
        <f t="shared" si="33"/>
        <v>63.442391493835359</v>
      </c>
      <c r="Q65" s="20">
        <f t="shared" si="53"/>
        <v>569.21629218509656</v>
      </c>
      <c r="R65" s="59">
        <f t="shared" si="0"/>
        <v>843.34554068674697</v>
      </c>
      <c r="S65" s="59">
        <f ca="1">AVERAGE(OFFSET($R$3,0,0,'Données projet'!$E$9+1,1))-AVERAGE(OFFSET($H$3,0,0,'Données projet'!$E$9+1,1))</f>
        <v>369.06880001017635</v>
      </c>
      <c r="T65" s="59">
        <f t="shared" si="34"/>
        <v>331.91233237772281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45.351811192007936</v>
      </c>
      <c r="AA65" s="21">
        <f>EXP(-LN(2)/25)*AA64+(1-EXP(-LN(2)/25))/(LN(2)/25)*Calculateur!V65*Calculateur!X65*VLOOKUP('Données projet'!$B$9,Paramètres!$A$1:$I$89,3,0)*0.475*44/12</f>
        <v>12.153104067888632</v>
      </c>
      <c r="AB65" s="21">
        <f>EXP(-LN(2)/2)*AB64+(1-EXP(-LN(2)/2))/(LN(2)/2)*V65*Y65*VLOOKUP('Données projet'!$B$9,Paramètres!$A$1:$I$89,3,0)*0.475*44/12</f>
        <v>0.69742866304729001</v>
      </c>
      <c r="AC65" s="22">
        <f t="shared" si="3"/>
        <v>58.202343922943861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64.762522318631952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-5.6843418860808015E-14</v>
      </c>
      <c r="AJ65" s="13">
        <f>AI65*VLOOKUP('Données projet'!$B$10,Paramètres!$A$1:$I$89,3,0)*VLOOKUP('Données projet'!$B$10,Paramètres!$A$1:$I$89,5,0)</f>
        <v>-3.3992364478763198E-14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270.29397440778314</v>
      </c>
      <c r="AO65" s="59">
        <f t="shared" si="36"/>
        <v>281.95928682679596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124.68436848592496</v>
      </c>
      <c r="AV65" s="21">
        <f>EXP(-LN(2)/25)*AV64+(1-EXP(-LN(2)/25))/(LN(2)/25)*Calculateur!AQ65*Calculateur!AS65*VLOOKUP('Données projet'!$B$10,Paramètres!$A$1:$I$89,3,0)*0.475*44/12</f>
        <v>34.188804379221111</v>
      </c>
      <c r="AW65" s="21">
        <f>EXP(-LN(2)/2)*AW64+(1-EXP(-LN(2)/2))/(LN(2)/2)*AQ65*AT65*VLOOKUP('Données projet'!$B$10,Paramètres!$A$1:$I$89,3,0)*0.475*44/12</f>
        <v>15.981424244976694</v>
      </c>
      <c r="AX65" s="21">
        <f t="shared" si="6"/>
        <v>174.85459711012277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64.762522318631952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10.314743589743591</v>
      </c>
      <c r="BD65" s="12">
        <f>IF('Données projet'!$A$88&gt;35,BD64+BC65-BL64,IF(A65&lt;'Données projet'!$A$88,$BA$205^A65,IF(A65='Données projet'!$A$88,'Données projet'!$B$88,BD64+BC65-BL64)))</f>
        <v>244.66858974358996</v>
      </c>
      <c r="BE65" s="13">
        <f>BD65*VLOOKUP('Données projet'!$B$11,Paramètres!$A$1:$I$89,3,0)*VLOOKUP('Données projet'!$B$11,Paramètres!$A$1:$I$89,5,0)</f>
        <v>114.50490000000011</v>
      </c>
      <c r="BF65" s="13">
        <f t="shared" si="37"/>
        <v>30.389882066052234</v>
      </c>
      <c r="BG65" s="20">
        <f t="shared" si="7"/>
        <v>252.35841209837443</v>
      </c>
      <c r="BH65" s="59">
        <f t="shared" si="8"/>
        <v>526.48766060002492</v>
      </c>
      <c r="BI65" s="59">
        <f ca="1">AVERAGE(OFFSET($BH$3,0,0,'Données projet'!$E$11+1,1))-AVERAGE(OFFSET($H$3,0,0,'Données projet'!$E$11+1,1))</f>
        <v>308.70979446846718</v>
      </c>
      <c r="BJ65" s="59">
        <f t="shared" si="38"/>
        <v>202.33469175293314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22.205787777790334</v>
      </c>
      <c r="BQ65" s="21">
        <f>EXP(-LN(2)/25)*BQ64+(1-EXP(-LN(2)/25))/(LN(2)/25)*Calculateur!BL65*Calculateur!BN65*VLOOKUP('Données projet'!$B$11,Paramètres!$A$1:$I$89,3,0)*0.475*44/12</f>
        <v>29.156719176768515</v>
      </c>
      <c r="BR65" s="21">
        <f>EXP(-LN(2)/2)*BR64+(1-EXP(-LN(2)/2))/(LN(2)/2)*BL65*BO65*VLOOKUP('Données projet'!$B$11,Paramètres!$A$1:$I$89,3,0)*0.475*44/12</f>
        <v>5.5634155090890527</v>
      </c>
      <c r="BS65" s="22">
        <f t="shared" si="9"/>
        <v>56.925922463647908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64.762522318631952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64.762522318631952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64.762522318631952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64.762522318631952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64.762522318631952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64.762522318631952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64.762522318631952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3.1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11.366666666666667</v>
      </c>
      <c r="H66" s="67">
        <f t="shared" si="1"/>
        <v>211.20000000000002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64.853380847157752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12.05461538461538</v>
      </c>
      <c r="N66" s="13">
        <f>IF('Données projet'!$A$36&gt;35,N65+M66-V65,IF(A66&lt;'Données projet'!$A$36,$K$205^A66,IF(A66='Données projet'!$A$36,'Données projet'!$B$36,N65+M66-V65)))</f>
        <v>452.49</v>
      </c>
      <c r="O66" s="13">
        <f>N66*VLOOKUP('Données projet'!$B$9,Paramètres!$A$1:$I$89,3,0)*VLOOKUP('Données projet'!$B$9,Paramètres!$A$1:$I$89,5,0)</f>
        <v>270.58902000000006</v>
      </c>
      <c r="P66" s="13">
        <f t="shared" si="33"/>
        <v>64.974258339135972</v>
      </c>
      <c r="Q66" s="20">
        <f t="shared" si="53"/>
        <v>584.43937644066193</v>
      </c>
      <c r="R66" s="59">
        <f t="shared" si="0"/>
        <v>858.90177288024029</v>
      </c>
      <c r="S66" s="59">
        <f ca="1">AVERAGE(OFFSET($R$3,0,0,'Données projet'!$E$9+1,1))-AVERAGE(OFFSET($H$3,0,0,'Données projet'!$E$9+1,1))</f>
        <v>369.06880001017635</v>
      </c>
      <c r="T66" s="59">
        <f t="shared" si="34"/>
        <v>331.91233237772281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44.462489836406107</v>
      </c>
      <c r="AA66" s="21">
        <f>EXP(-LN(2)/25)*AA65+(1-EXP(-LN(2)/25))/(LN(2)/25)*Calculateur!V66*Calculateur!X66*VLOOKUP('Données projet'!$B$9,Paramètres!$A$1:$I$89,3,0)*0.475*44/12</f>
        <v>11.820776798048252</v>
      </c>
      <c r="AB66" s="21">
        <f>EXP(-LN(2)/2)*AB65+(1-EXP(-LN(2)/2))/(LN(2)/2)*V66*Y66*VLOOKUP('Données projet'!$B$9,Paramètres!$A$1:$I$89,3,0)*0.475*44/12</f>
        <v>0.49315653703460649</v>
      </c>
      <c r="AC66" s="22">
        <f t="shared" si="3"/>
        <v>56.776423171488965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64.853380847157752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-5.6843418860808015E-14</v>
      </c>
      <c r="AJ66" s="13">
        <f>AI66*VLOOKUP('Données projet'!$B$10,Paramètres!$A$1:$I$89,3,0)*VLOOKUP('Données projet'!$B$10,Paramètres!$A$1:$I$89,5,0)</f>
        <v>-3.3992364478763198E-14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270.29397440778314</v>
      </c>
      <c r="AO66" s="59">
        <f t="shared" si="36"/>
        <v>281.95928682679596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122.23938406987145</v>
      </c>
      <c r="AV66" s="21">
        <f>EXP(-LN(2)/25)*AV65+(1-EXP(-LN(2)/25))/(LN(2)/25)*Calculateur!AQ66*Calculateur!AS66*VLOOKUP('Données projet'!$B$10,Paramètres!$A$1:$I$89,3,0)*0.475*44/12</f>
        <v>33.253909725560227</v>
      </c>
      <c r="AW66" s="21">
        <f>EXP(-LN(2)/2)*AW65+(1-EXP(-LN(2)/2))/(LN(2)/2)*AQ66*AT66*VLOOKUP('Données projet'!$B$10,Paramètres!$A$1:$I$89,3,0)*0.475*44/12</f>
        <v>11.300573456642121</v>
      </c>
      <c r="AX66" s="21">
        <f t="shared" si="6"/>
        <v>166.7938672520738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64.853380847157752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10.314743589743591</v>
      </c>
      <c r="BD66" s="12">
        <f>IF('Données projet'!$A$88&gt;35,BD65+BC66-BL65,IF(A66&lt;'Données projet'!$A$88,$BA$205^A66,IF(A66='Données projet'!$A$88,'Données projet'!$B$88,BD65+BC66-BL65)))</f>
        <v>254.98333333333355</v>
      </c>
      <c r="BE66" s="13">
        <f>BD66*VLOOKUP('Données projet'!$B$11,Paramètres!$A$1:$I$89,3,0)*VLOOKUP('Données projet'!$B$11,Paramètres!$A$1:$I$89,5,0)</f>
        <v>119.33220000000009</v>
      </c>
      <c r="BF66" s="13">
        <f t="shared" si="37"/>
        <v>31.519195359992793</v>
      </c>
      <c r="BG66" s="20">
        <f t="shared" si="7"/>
        <v>262.73284691865422</v>
      </c>
      <c r="BH66" s="59">
        <f t="shared" si="8"/>
        <v>537.19524335823257</v>
      </c>
      <c r="BI66" s="59">
        <f ca="1">AVERAGE(OFFSET($BH$3,0,0,'Données projet'!$E$11+1,1))-AVERAGE(OFFSET($H$3,0,0,'Données projet'!$E$11+1,1))</f>
        <v>308.70979446846718</v>
      </c>
      <c r="BJ66" s="59">
        <f t="shared" si="38"/>
        <v>202.33469175293314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21.770345823661032</v>
      </c>
      <c r="BQ66" s="21">
        <f>EXP(-LN(2)/25)*BQ65+(1-EXP(-LN(2)/25))/(LN(2)/25)*Calculateur!BL66*Calculateur!BN66*VLOOKUP('Données projet'!$B$11,Paramètres!$A$1:$I$89,3,0)*0.475*44/12</f>
        <v>28.359427157594556</v>
      </c>
      <c r="BR66" s="21">
        <f>EXP(-LN(2)/2)*BR65+(1-EXP(-LN(2)/2))/(LN(2)/2)*BL66*BO66*VLOOKUP('Données projet'!$B$11,Paramètres!$A$1:$I$89,3,0)*0.475*44/12</f>
        <v>3.933928833035278</v>
      </c>
      <c r="BS66" s="22">
        <f t="shared" si="9"/>
        <v>54.063701814290866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64.853380847157752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64.853380847157752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64.853380847157752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64.853380847157752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64.853380847157752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64.853380847157752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64.853380847157752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3.1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11.366666666666667</v>
      </c>
      <c r="H67" s="67">
        <f t="shared" si="1"/>
        <v>211.20000000000002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64.942663183342887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12.05461538461538</v>
      </c>
      <c r="N67" s="13">
        <f>IF('Données projet'!$A$36&gt;35,N66+M67-V66,IF(A67&lt;'Données projet'!$A$36,$K$205^A67,IF(A67='Données projet'!$A$36,'Données projet'!$B$36,N66+M67-V66)))</f>
        <v>464.54461538461538</v>
      </c>
      <c r="O67" s="13">
        <f>N67*VLOOKUP('Données projet'!$B$9,Paramètres!$A$1:$I$89,3,0)*VLOOKUP('Données projet'!$B$9,Paramètres!$A$1:$I$89,5,0)</f>
        <v>277.79768000000001</v>
      </c>
      <c r="P67" s="13">
        <f t="shared" si="33"/>
        <v>66.501381678302167</v>
      </c>
      <c r="Q67" s="20">
        <f t="shared" ref="Q67:Q98" si="54">(O67+P67)*0.475*44/12</f>
        <v>599.65419908970955</v>
      </c>
      <c r="R67" s="59">
        <f t="shared" ref="R67:R130" si="55">Q67+(I67+J67)*44/12</f>
        <v>874.44396409530009</v>
      </c>
      <c r="S67" s="59">
        <f ca="1">AVERAGE(OFFSET($R$3,0,0,'Données projet'!$E$9+1,1))-AVERAGE(OFFSET($H$3,0,0,'Données projet'!$E$9+1,1))</f>
        <v>369.06880001017635</v>
      </c>
      <c r="T67" s="59">
        <f t="shared" si="34"/>
        <v>331.91233237772281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43.590607530155161</v>
      </c>
      <c r="AA67" s="21">
        <f>EXP(-LN(2)/25)*AA66+(1-EXP(-LN(2)/25))/(LN(2)/25)*Calculateur!V67*Calculateur!X67*VLOOKUP('Données projet'!$B$9,Paramètres!$A$1:$I$89,3,0)*0.475*44/12</f>
        <v>11.497537034877988</v>
      </c>
      <c r="AB67" s="21">
        <f>EXP(-LN(2)/2)*AB66+(1-EXP(-LN(2)/2))/(LN(2)/2)*V67*Y67*VLOOKUP('Données projet'!$B$9,Paramètres!$A$1:$I$89,3,0)*0.475*44/12</f>
        <v>0.34871433152364506</v>
      </c>
      <c r="AC67" s="22">
        <f t="shared" si="3"/>
        <v>55.436858896556792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64.942663183342887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-5.6843418860808015E-14</v>
      </c>
      <c r="AJ67" s="13">
        <f>AI67*VLOOKUP('Données projet'!$B$10,Paramètres!$A$1:$I$89,3,0)*VLOOKUP('Données projet'!$B$10,Paramètres!$A$1:$I$89,5,0)</f>
        <v>-3.3992364478763198E-14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270.29397440778314</v>
      </c>
      <c r="AO67" s="59">
        <f t="shared" si="36"/>
        <v>281.95928682679596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119.84234430692349</v>
      </c>
      <c r="AV67" s="21">
        <f>EXP(-LN(2)/25)*AV66+(1-EXP(-LN(2)/25))/(LN(2)/25)*Calculateur!AQ67*Calculateur!AS67*VLOOKUP('Données projet'!$B$10,Paramètres!$A$1:$I$89,3,0)*0.475*44/12</f>
        <v>32.344579815367673</v>
      </c>
      <c r="AW67" s="21">
        <f>EXP(-LN(2)/2)*AW66+(1-EXP(-LN(2)/2))/(LN(2)/2)*AQ67*AT67*VLOOKUP('Données projet'!$B$10,Paramètres!$A$1:$I$89,3,0)*0.475*44/12</f>
        <v>7.9907121224883477</v>
      </c>
      <c r="AX67" s="21">
        <f t="shared" si="6"/>
        <v>160.17763624477953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64.942663183342887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10.314743589743591</v>
      </c>
      <c r="BD67" s="12">
        <f>IF('Données projet'!$A$88&gt;35,BD66+BC67-BL66,IF(A67&lt;'Données projet'!$A$88,$BA$205^A67,IF(A67='Données projet'!$A$88,'Données projet'!$B$88,BD66+BC67-BL66)))</f>
        <v>265.29807692307713</v>
      </c>
      <c r="BE67" s="13">
        <f>BD67*VLOOKUP('Données projet'!$B$11,Paramètres!$A$1:$I$89,3,0)*VLOOKUP('Données projet'!$B$11,Paramètres!$A$1:$I$89,5,0)</f>
        <v>124.15950000000009</v>
      </c>
      <c r="BF67" s="13">
        <f t="shared" si="37"/>
        <v>32.643202044796318</v>
      </c>
      <c r="BG67" s="20">
        <f t="shared" si="7"/>
        <v>273.09803939468708</v>
      </c>
      <c r="BH67" s="59">
        <f t="shared" si="8"/>
        <v>547.88780440027767</v>
      </c>
      <c r="BI67" s="59">
        <f ca="1">AVERAGE(OFFSET($BH$3,0,0,'Données projet'!$E$11+1,1))-AVERAGE(OFFSET($H$3,0,0,'Données projet'!$E$11+1,1))</f>
        <v>308.70979446846718</v>
      </c>
      <c r="BJ67" s="59">
        <f t="shared" si="38"/>
        <v>202.33469175293314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21.343442620658838</v>
      </c>
      <c r="BQ67" s="21">
        <f>EXP(-LN(2)/25)*BQ66+(1-EXP(-LN(2)/25))/(LN(2)/25)*Calculateur!BL67*Calculateur!BN67*VLOOKUP('Données projet'!$B$11,Paramètres!$A$1:$I$89,3,0)*0.475*44/12</f>
        <v>27.583937130612675</v>
      </c>
      <c r="BR67" s="21">
        <f>EXP(-LN(2)/2)*BR66+(1-EXP(-LN(2)/2))/(LN(2)/2)*BL67*BO67*VLOOKUP('Données projet'!$B$11,Paramètres!$A$1:$I$89,3,0)*0.475*44/12</f>
        <v>2.7817077545445268</v>
      </c>
      <c r="BS67" s="22">
        <f t="shared" si="9"/>
        <v>51.709087505816044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64.942663183342887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64.942663183342887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64.942663183342887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64.942663183342887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64.942663183342887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64.942663183342887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64.942663183342887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3.1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11.366666666666667</v>
      </c>
      <c r="H68" s="67">
        <f t="shared" ref="H68:H131" si="56">(B68+E68+F68)*44/12+(C68+D68)*0.475*44/12</f>
        <v>211.20000000000002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65.030396670600609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12.05461538461538</v>
      </c>
      <c r="N68" s="13">
        <f>IF('Données projet'!$A$36&gt;35,N67+M68-V67,IF(A68&lt;'Données projet'!$A$36,$K$205^A68,IF(A68='Données projet'!$A$36,'Données projet'!$B$36,N67+M68-V67)))</f>
        <v>476.59923076923076</v>
      </c>
      <c r="O68" s="13">
        <f>N68*VLOOKUP('Données projet'!$B$9,Paramètres!$A$1:$I$89,3,0)*VLOOKUP('Données projet'!$B$9,Paramètres!$A$1:$I$89,5,0)</f>
        <v>285.00634000000002</v>
      </c>
      <c r="P68" s="13">
        <f t="shared" si="33"/>
        <v>68.023898753685756</v>
      </c>
      <c r="Q68" s="20">
        <f t="shared" si="54"/>
        <v>614.86099916266949</v>
      </c>
      <c r="R68" s="59">
        <f t="shared" si="55"/>
        <v>889.97245362153831</v>
      </c>
      <c r="S68" s="59">
        <f ca="1">AVERAGE(OFFSET($R$3,0,0,'Données projet'!$E$9+1,1))-AVERAGE(OFFSET($H$3,0,0,'Données projet'!$E$9+1,1))</f>
        <v>369.06880001017635</v>
      </c>
      <c r="T68" s="59">
        <f t="shared" si="34"/>
        <v>331.91233237772281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42.735822304134096</v>
      </c>
      <c r="AA68" s="21">
        <f>EXP(-LN(2)/25)*AA67+(1-EXP(-LN(2)/25))/(LN(2)/25)*Calculateur!V68*Calculateur!X68*VLOOKUP('Données projet'!$B$9,Paramètres!$A$1:$I$89,3,0)*0.475*44/12</f>
        <v>11.183136280030055</v>
      </c>
      <c r="AB68" s="21">
        <f>EXP(-LN(2)/2)*AB67+(1-EXP(-LN(2)/2))/(LN(2)/2)*V68*Y68*VLOOKUP('Données projet'!$B$9,Paramètres!$A$1:$I$89,3,0)*0.475*44/12</f>
        <v>0.2465782685173033</v>
      </c>
      <c r="AC68" s="22">
        <f t="shared" ref="AC68:AC131" si="57">SUM(Z68:AB68)</f>
        <v>54.165536852681456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65.030396670600609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-5.6843418860808015E-14</v>
      </c>
      <c r="AJ68" s="13">
        <f>AI68*VLOOKUP('Données projet'!$B$10,Paramètres!$A$1:$I$89,3,0)*VLOOKUP('Données projet'!$B$10,Paramètres!$A$1:$I$89,5,0)</f>
        <v>-3.3992364478763198E-14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270.29397440778314</v>
      </c>
      <c r="AO68" s="59">
        <f t="shared" si="36"/>
        <v>281.95928682679596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117.49230903167707</v>
      </c>
      <c r="AV68" s="21">
        <f>EXP(-LN(2)/25)*AV67+(1-EXP(-LN(2)/25))/(LN(2)/25)*Calculateur!AQ68*Calculateur!AS68*VLOOKUP('Données projet'!$B$10,Paramètres!$A$1:$I$89,3,0)*0.475*44/12</f>
        <v>31.460115579388916</v>
      </c>
      <c r="AW68" s="21">
        <f>EXP(-LN(2)/2)*AW67+(1-EXP(-LN(2)/2))/(LN(2)/2)*AQ68*AT68*VLOOKUP('Données projet'!$B$10,Paramètres!$A$1:$I$89,3,0)*0.475*44/12</f>
        <v>5.6502867283210616</v>
      </c>
      <c r="AX68" s="21">
        <f t="shared" ref="AX68:AX131" si="60">SUM(AU68:AW68)</f>
        <v>154.60271133938704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65.030396670600609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10.314743589743591</v>
      </c>
      <c r="BD68" s="12">
        <f>IF('Données projet'!$A$88&gt;35,BD67+BC68-BL67,IF(A68&lt;'Données projet'!$A$88,$BA$205^A68,IF(A68='Données projet'!$A$88,'Données projet'!$B$88,BD67+BC68-BL67)))</f>
        <v>275.61282051282075</v>
      </c>
      <c r="BE68" s="13">
        <f>BD68*VLOOKUP('Données projet'!$B$11,Paramètres!$A$1:$I$89,3,0)*VLOOKUP('Données projet'!$B$11,Paramètres!$A$1:$I$89,5,0)</f>
        <v>128.98680000000013</v>
      </c>
      <c r="BF68" s="13">
        <f t="shared" si="37"/>
        <v>33.762132053733033</v>
      </c>
      <c r="BG68" s="20">
        <f t="shared" ref="BG68:BG131" si="61">(BE68+BF68)*0.475*44/12</f>
        <v>283.45438999358527</v>
      </c>
      <c r="BH68" s="59">
        <f t="shared" ref="BH68:BH131" si="62">BG68+(AY68+AZ68)*44/12</f>
        <v>558.56584445245414</v>
      </c>
      <c r="BI68" s="59">
        <f ca="1">AVERAGE(OFFSET($BH$3,0,0,'Données projet'!$E$11+1,1))-AVERAGE(OFFSET($H$3,0,0,'Données projet'!$E$11+1,1))</f>
        <v>308.70979446846718</v>
      </c>
      <c r="BJ68" s="59">
        <f t="shared" si="38"/>
        <v>202.33469175293314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20.924910729082274</v>
      </c>
      <c r="BQ68" s="21">
        <f>EXP(-LN(2)/25)*BQ67+(1-EXP(-LN(2)/25))/(LN(2)/25)*Calculateur!BL68*Calculateur!BN68*VLOOKUP('Données projet'!$B$11,Paramètres!$A$1:$I$89,3,0)*0.475*44/12</f>
        <v>26.829652919199862</v>
      </c>
      <c r="BR68" s="21">
        <f>EXP(-LN(2)/2)*BR67+(1-EXP(-LN(2)/2))/(LN(2)/2)*BL68*BO68*VLOOKUP('Données projet'!$B$11,Paramètres!$A$1:$I$89,3,0)*0.475*44/12</f>
        <v>1.9669644165176392</v>
      </c>
      <c r="BS68" s="22">
        <f t="shared" ref="BS68:BS131" si="63">SUM(BP68:BR68)</f>
        <v>49.721528064799777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65.030396670600609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65.030396670600609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65.030396670600609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65.030396670600609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65.030396670600609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65.030396670600609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65.030396670600609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3.1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11.366666666666667</v>
      </c>
      <c r="H69" s="67">
        <f t="shared" si="56"/>
        <v>211.20000000000002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65.116608177997094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488.65384615384613</v>
      </c>
      <c r="L69" s="12">
        <f>VLOOKUP(A69,'Données projet'!$A$35:$I$55,9,0)</f>
        <v>12.05461538461538</v>
      </c>
      <c r="M69" s="12">
        <f t="array" ref="M69">INDEX(L:L,MIN(IF(ISNUMBER(L69:L265),ROW(L69:L265),"")))</f>
        <v>12.05461538461538</v>
      </c>
      <c r="N69" s="13">
        <f>IF('Données projet'!$A$36&gt;35,N68+M69-V68,IF(A69&lt;'Données projet'!$A$36,$K$205^A69,IF(A69='Données projet'!$A$36,'Données projet'!$B$36,N68+M69-V68)))</f>
        <v>488.65384615384613</v>
      </c>
      <c r="O69" s="13">
        <f>N69*VLOOKUP('Données projet'!$B$9,Paramètres!$A$1:$I$89,3,0)*VLOOKUP('Données projet'!$B$9,Paramètres!$A$1:$I$89,5,0)</f>
        <v>292.21500000000003</v>
      </c>
      <c r="P69" s="13">
        <f t="shared" ref="P69:P132" si="87">EXP(-1.0587+0.8836*LN(O69)+0.284)</f>
        <v>69.541939469490984</v>
      </c>
      <c r="Q69" s="20">
        <f t="shared" si="54"/>
        <v>630.06000290936356</v>
      </c>
      <c r="R69" s="59">
        <f t="shared" si="55"/>
        <v>905.48756622868632</v>
      </c>
      <c r="S69" s="59">
        <f ca="1">AVERAGE(OFFSET($R$3,0,0,'Données projet'!$E$9+1,1))-AVERAGE(OFFSET($H$3,0,0,'Données projet'!$E$9+1,1))</f>
        <v>369.06880001017635</v>
      </c>
      <c r="T69" s="59">
        <f t="shared" ref="T69:T132" si="88">$T$3</f>
        <v>331.91233237772281</v>
      </c>
      <c r="U69" s="15">
        <f>IF(ISNA(VLOOKUP(A69,'Données projet'!$A$35:$I$55,3,0)),0,VLOOKUP(A69,'Données projet'!$A$35:$I$55,3,0))</f>
        <v>7</v>
      </c>
      <c r="V69" s="15">
        <f>IF(ISNA(VLOOKUP(A69,'Données projet'!$A$35:$I$55,4,0)),0,VLOOKUP(A69,'Données projet'!$A$35:$I$55,4,0))</f>
        <v>68.146153846153851</v>
      </c>
      <c r="W69" s="16">
        <f>IF(ISNA(VLOOKUP(A69,'Données projet'!$A$35:$I$55,5,0)),0%,VLOOKUP(A69,'Données projet'!$A$35:$I$55,5,0)*VLOOKUP('Données projet'!$B$9,Paramètres!$A$1:$I$89,7,0))</f>
        <v>0.315</v>
      </c>
      <c r="X69" s="16">
        <f>IF(ISNA(VLOOKUP(A69,'Données projet'!$A$35:$I$55,6,0)),0%,VLOOKUP(A69,'Données projet'!$A$35:$I$55,6,0)*VLOOKUP('Données projet'!$B$9,Paramètres!$A$1:$I$89,7,0))</f>
        <v>7.5600000000000001E-2</v>
      </c>
      <c r="Y69" s="16">
        <f>IF(ISNA(VLOOKUP(A69,'Données projet'!$A$35:$I$55,7,0)),0%,VLOOKUP(A69,'Données projet'!$A$35:$I$55,7,0))</f>
        <v>0.13200000000000001</v>
      </c>
      <c r="Z69" s="21">
        <f>EXP(-LN(2)/35)*Z68+(1-EXP(-LN(2)/35))/(LN(2)/35)*V69*W69*VLOOKUP('Données projet'!$B$9,Paramètres!$A$1:$I$89,3,0)*0.475*44/12</f>
        <v>58.926496901088441</v>
      </c>
      <c r="AA69" s="21">
        <f>EXP(-LN(2)/25)*AA68+(1-EXP(-LN(2)/25))/(LN(2)/25)*Calculateur!V69*Calculateur!X69*VLOOKUP('Données projet'!$B$9,Paramètres!$A$1:$I$89,3,0)*0.475*44/12</f>
        <v>14.948128718413415</v>
      </c>
      <c r="AB69" s="21">
        <f>EXP(-LN(2)/2)*AB68+(1-EXP(-LN(2)/2))/(LN(2)/2)*V69*Y69*VLOOKUP('Données projet'!$B$9,Paramètres!$A$1:$I$89,3,0)*0.475*44/12</f>
        <v>6.2648439306852666</v>
      </c>
      <c r="AC69" s="22">
        <f t="shared" si="57"/>
        <v>80.13946955018713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65.116608177997094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-5.6843418860808015E-14</v>
      </c>
      <c r="AJ69" s="13">
        <f>AI69*VLOOKUP('Données projet'!$B$10,Paramètres!$A$1:$I$89,3,0)*VLOOKUP('Données projet'!$B$10,Paramètres!$A$1:$I$89,5,0)</f>
        <v>-3.3992364478763198E-14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270.29397440778314</v>
      </c>
      <c r="AO69" s="59">
        <f t="shared" ref="AO69:AO132" si="90">$AO$3</f>
        <v>281.95928682679596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115.18835651479823</v>
      </c>
      <c r="AV69" s="21">
        <f>EXP(-LN(2)/25)*AV68+(1-EXP(-LN(2)/25))/(LN(2)/25)*Calculateur!AQ69*Calculateur!AS69*VLOOKUP('Données projet'!$B$10,Paramètres!$A$1:$I$89,3,0)*0.475*44/12</f>
        <v>30.599837064454949</v>
      </c>
      <c r="AW69" s="21">
        <f>EXP(-LN(2)/2)*AW68+(1-EXP(-LN(2)/2))/(LN(2)/2)*AQ69*AT69*VLOOKUP('Données projet'!$B$10,Paramètres!$A$1:$I$89,3,0)*0.475*44/12</f>
        <v>3.9953560612441748</v>
      </c>
      <c r="AX69" s="21">
        <f t="shared" si="60"/>
        <v>149.78354964049734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65.116608177997094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10.314743589743591</v>
      </c>
      <c r="BD69" s="12">
        <f>IF('Données projet'!$A$88&gt;35,BD68+BC69-BL68,IF(A69&lt;'Données projet'!$A$88,$BA$205^A69,IF(A69='Données projet'!$A$88,'Données projet'!$B$88,BD68+BC69-BL68)))</f>
        <v>285.92756410256436</v>
      </c>
      <c r="BE69" s="13">
        <f>BD69*VLOOKUP('Données projet'!$B$11,Paramètres!$A$1:$I$89,3,0)*VLOOKUP('Données projet'!$B$11,Paramètres!$A$1:$I$89,5,0)</f>
        <v>133.81410000000011</v>
      </c>
      <c r="BF69" s="13">
        <f t="shared" ref="BF69:BF132" si="91">EXP(-1.0587+0.8836*LN(BE69)+0.284)</f>
        <v>34.876197134679366</v>
      </c>
      <c r="BG69" s="20">
        <f t="shared" si="61"/>
        <v>293.80226750956672</v>
      </c>
      <c r="BH69" s="59">
        <f t="shared" si="62"/>
        <v>569.22983082888936</v>
      </c>
      <c r="BI69" s="59">
        <f ca="1">AVERAGE(OFFSET($BH$3,0,0,'Données projet'!$E$11+1,1))-AVERAGE(OFFSET($H$3,0,0,'Données projet'!$E$11+1,1))</f>
        <v>308.70979446846718</v>
      </c>
      <c r="BJ69" s="59">
        <f t="shared" ref="BJ69:BJ132" si="92">$BJ$3</f>
        <v>202.33469175293314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20.51458599262028</v>
      </c>
      <c r="BQ69" s="21">
        <f>EXP(-LN(2)/25)*BQ68+(1-EXP(-LN(2)/25))/(LN(2)/25)*Calculateur!BL69*Calculateur!BN69*VLOOKUP('Données projet'!$B$11,Paramètres!$A$1:$I$89,3,0)*0.475*44/12</f>
        <v>26.095994649214216</v>
      </c>
      <c r="BR69" s="21">
        <f>EXP(-LN(2)/2)*BR68+(1-EXP(-LN(2)/2))/(LN(2)/2)*BL69*BO69*VLOOKUP('Données projet'!$B$11,Paramètres!$A$1:$I$89,3,0)*0.475*44/12</f>
        <v>1.3908538772722636</v>
      </c>
      <c r="BS69" s="22">
        <f t="shared" si="63"/>
        <v>48.001434519106759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65.116608177997094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65.116608177997094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65.116608177997094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65.116608177997094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65.116608177997094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65.116608177997094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65.116608177997094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3.1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11.366666666666667</v>
      </c>
      <c r="H70" s="67">
        <f t="shared" si="56"/>
        <v>211.20000000000002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65.201324108480307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9.9715384615384544</v>
      </c>
      <c r="N70" s="13">
        <f>IF('Données projet'!$A$36&gt;35,N69+M70-V69,IF(A70&lt;'Données projet'!$A$36,$K$205^A70,IF(A70='Données projet'!$A$36,'Données projet'!$B$36,N69+M70-V69)))</f>
        <v>430.47923076923075</v>
      </c>
      <c r="O70" s="13">
        <f>N70*VLOOKUP('Données projet'!$B$9,Paramètres!$A$1:$I$89,3,0)*VLOOKUP('Données projet'!$B$9,Paramètres!$A$1:$I$89,5,0)</f>
        <v>257.42658</v>
      </c>
      <c r="P70" s="13">
        <f t="shared" si="87"/>
        <v>62.173511644566837</v>
      </c>
      <c r="Q70" s="20">
        <f t="shared" si="54"/>
        <v>556.63682628095387</v>
      </c>
      <c r="R70" s="59">
        <f t="shared" si="55"/>
        <v>832.37501467871493</v>
      </c>
      <c r="S70" s="59">
        <f ca="1">AVERAGE(OFFSET($R$3,0,0,'Données projet'!$E$9+1,1))-AVERAGE(OFFSET($H$3,0,0,'Données projet'!$E$9+1,1))</f>
        <v>369.06880001017635</v>
      </c>
      <c r="T70" s="59">
        <f t="shared" si="88"/>
        <v>331.91233237772281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57.770984238472266</v>
      </c>
      <c r="AA70" s="21">
        <f>EXP(-LN(2)/25)*AA69+(1-EXP(-LN(2)/25))/(LN(2)/25)*Calculateur!V70*Calculateur!X70*VLOOKUP('Données projet'!$B$9,Paramètres!$A$1:$I$89,3,0)*0.475*44/12</f>
        <v>14.539371352520474</v>
      </c>
      <c r="AB70" s="21">
        <f>EXP(-LN(2)/2)*AB69+(1-EXP(-LN(2)/2))/(LN(2)/2)*V70*Y70*VLOOKUP('Données projet'!$B$9,Paramètres!$A$1:$I$89,3,0)*0.475*44/12</f>
        <v>4.4299136264629375</v>
      </c>
      <c r="AC70" s="22">
        <f t="shared" si="57"/>
        <v>76.740269217455676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65.201324108480307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-5.6843418860808015E-14</v>
      </c>
      <c r="AJ70" s="13">
        <f>AI70*VLOOKUP('Données projet'!$B$10,Paramètres!$A$1:$I$89,3,0)*VLOOKUP('Données projet'!$B$10,Paramètres!$A$1:$I$89,5,0)</f>
        <v>-3.3992364478763198E-14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270.29397440778314</v>
      </c>
      <c r="AO70" s="59">
        <f t="shared" si="90"/>
        <v>281.95928682679596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112.92958310150311</v>
      </c>
      <c r="AV70" s="21">
        <f>EXP(-LN(2)/25)*AV69+(1-EXP(-LN(2)/25))/(LN(2)/25)*Calculateur!AQ70*Calculateur!AS70*VLOOKUP('Données projet'!$B$10,Paramètres!$A$1:$I$89,3,0)*0.475*44/12</f>
        <v>29.763082910751933</v>
      </c>
      <c r="AW70" s="21">
        <f>EXP(-LN(2)/2)*AW69+(1-EXP(-LN(2)/2))/(LN(2)/2)*AQ70*AT70*VLOOKUP('Données projet'!$B$10,Paramètres!$A$1:$I$89,3,0)*0.475*44/12</f>
        <v>2.8251433641605312</v>
      </c>
      <c r="AX70" s="21">
        <f t="shared" si="60"/>
        <v>145.51780937641558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65.201324108480307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10.314743589743591</v>
      </c>
      <c r="BD70" s="12">
        <f>IF('Données projet'!$A$88&gt;35,BD69+BC70-BL69,IF(A70&lt;'Données projet'!$A$88,$BA$205^A70,IF(A70='Données projet'!$A$88,'Données projet'!$B$88,BD69+BC70-BL69)))</f>
        <v>296.24230769230797</v>
      </c>
      <c r="BE70" s="13">
        <f>BD70*VLOOKUP('Données projet'!$B$11,Paramètres!$A$1:$I$89,3,0)*VLOOKUP('Données projet'!$B$11,Paramètres!$A$1:$I$89,5,0)</f>
        <v>138.64140000000015</v>
      </c>
      <c r="BF70" s="13">
        <f t="shared" si="91"/>
        <v>35.985592892108897</v>
      </c>
      <c r="BG70" s="20">
        <f t="shared" si="61"/>
        <v>304.14201262042326</v>
      </c>
      <c r="BH70" s="59">
        <f t="shared" si="62"/>
        <v>579.88020101818438</v>
      </c>
      <c r="BI70" s="59">
        <f ca="1">AVERAGE(OFFSET($BH$3,0,0,'Données projet'!$E$11+1,1))-AVERAGE(OFFSET($H$3,0,0,'Données projet'!$E$11+1,1))</f>
        <v>308.70979446846718</v>
      </c>
      <c r="BJ70" s="59">
        <f t="shared" si="92"/>
        <v>202.33469175293314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20.112307473966929</v>
      </c>
      <c r="BQ70" s="21">
        <f>EXP(-LN(2)/25)*BQ69+(1-EXP(-LN(2)/25))/(LN(2)/25)*Calculateur!BL70*Calculateur!BN70*VLOOKUP('Données projet'!$B$11,Paramètres!$A$1:$I$89,3,0)*0.475*44/12</f>
        <v>25.382398303202738</v>
      </c>
      <c r="BR70" s="21">
        <f>EXP(-LN(2)/2)*BR69+(1-EXP(-LN(2)/2))/(LN(2)/2)*BL70*BO70*VLOOKUP('Données projet'!$B$11,Paramètres!$A$1:$I$89,3,0)*0.475*44/12</f>
        <v>0.98348220825881982</v>
      </c>
      <c r="BS70" s="22">
        <f t="shared" si="63"/>
        <v>46.478187985428491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65.201324108480307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65.201324108480307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65.201324108480307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65.201324108480307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65.201324108480307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65.201324108480307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65.201324108480307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3.1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11.366666666666667</v>
      </c>
      <c r="H71" s="67">
        <f t="shared" si="56"/>
        <v>211.20000000000002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65.284570406966083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9.9715384615384544</v>
      </c>
      <c r="N71" s="13">
        <f>IF('Données projet'!$A$36&gt;35,N70+M71-V70,IF(A71&lt;'Données projet'!$A$36,$K$205^A71,IF(A71='Données projet'!$A$36,'Données projet'!$B$36,N70+M71-V70)))</f>
        <v>440.4507692307692</v>
      </c>
      <c r="O71" s="13">
        <f>N71*VLOOKUP('Données projet'!$B$9,Paramètres!$A$1:$I$89,3,0)*VLOOKUP('Données projet'!$B$9,Paramètres!$A$1:$I$89,5,0)</f>
        <v>263.38956000000002</v>
      </c>
      <c r="P71" s="13">
        <f t="shared" si="87"/>
        <v>63.444349611612601</v>
      </c>
      <c r="Q71" s="20">
        <f t="shared" si="54"/>
        <v>569.23572590689196</v>
      </c>
      <c r="R71" s="59">
        <f t="shared" si="55"/>
        <v>845.27915073243435</v>
      </c>
      <c r="S71" s="59">
        <f ca="1">AVERAGE(OFFSET($R$3,0,0,'Données projet'!$E$9+1,1))-AVERAGE(OFFSET($H$3,0,0,'Données projet'!$E$9+1,1))</f>
        <v>369.06880001017635</v>
      </c>
      <c r="T71" s="59">
        <f t="shared" si="88"/>
        <v>331.91233237772281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56.638130474376865</v>
      </c>
      <c r="AA71" s="21">
        <f>EXP(-LN(2)/25)*AA70+(1-EXP(-LN(2)/25))/(LN(2)/25)*Calculateur!V71*Calculateur!X71*VLOOKUP('Données projet'!$B$9,Paramètres!$A$1:$I$89,3,0)*0.475*44/12</f>
        <v>14.141791478293493</v>
      </c>
      <c r="AB71" s="21">
        <f>EXP(-LN(2)/2)*AB70+(1-EXP(-LN(2)/2))/(LN(2)/2)*V71*Y71*VLOOKUP('Données projet'!$B$9,Paramètres!$A$1:$I$89,3,0)*0.475*44/12</f>
        <v>3.1324219653426337</v>
      </c>
      <c r="AC71" s="22">
        <f t="shared" si="57"/>
        <v>73.912343918012994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65.284570406966083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-5.6843418860808015E-14</v>
      </c>
      <c r="AJ71" s="13">
        <f>AI71*VLOOKUP('Données projet'!$B$10,Paramètres!$A$1:$I$89,3,0)*VLOOKUP('Données projet'!$B$10,Paramètres!$A$1:$I$89,5,0)</f>
        <v>-3.3992364478763198E-14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270.29397440778314</v>
      </c>
      <c r="AO71" s="59">
        <f t="shared" si="90"/>
        <v>281.95928682679596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110.71510285712696</v>
      </c>
      <c r="AV71" s="21">
        <f>EXP(-LN(2)/25)*AV70+(1-EXP(-LN(2)/25))/(LN(2)/25)*Calculateur!AQ71*Calculateur!AS71*VLOOKUP('Données projet'!$B$10,Paramètres!$A$1:$I$89,3,0)*0.475*44/12</f>
        <v>28.949209843384917</v>
      </c>
      <c r="AW71" s="21">
        <f>EXP(-LN(2)/2)*AW70+(1-EXP(-LN(2)/2))/(LN(2)/2)*AQ71*AT71*VLOOKUP('Données projet'!$B$10,Paramètres!$A$1:$I$89,3,0)*0.475*44/12</f>
        <v>1.9976780306220876</v>
      </c>
      <c r="AX71" s="21">
        <f t="shared" si="60"/>
        <v>141.66199073113398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65.284570406966083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10.314743589743591</v>
      </c>
      <c r="BD71" s="12">
        <f>IF('Données projet'!$A$88&gt;35,BD70+BC71-BL70,IF(A71&lt;'Données projet'!$A$88,$BA$205^A71,IF(A71='Données projet'!$A$88,'Données projet'!$B$88,BD70+BC71-BL70)))</f>
        <v>306.55705128205159</v>
      </c>
      <c r="BE71" s="13">
        <f>BD71*VLOOKUP('Données projet'!$B$11,Paramètres!$A$1:$I$89,3,0)*VLOOKUP('Données projet'!$B$11,Paramètres!$A$1:$I$89,5,0)</f>
        <v>143.46870000000015</v>
      </c>
      <c r="BF71" s="13">
        <f t="shared" si="91"/>
        <v>37.090500536695636</v>
      </c>
      <c r="BG71" s="20">
        <f t="shared" si="61"/>
        <v>314.47394093474514</v>
      </c>
      <c r="BH71" s="59">
        <f t="shared" si="62"/>
        <v>590.51736576028748</v>
      </c>
      <c r="BI71" s="59">
        <f ca="1">AVERAGE(OFFSET($BH$3,0,0,'Données projet'!$E$11+1,1))-AVERAGE(OFFSET($H$3,0,0,'Données projet'!$E$11+1,1))</f>
        <v>308.70979446846718</v>
      </c>
      <c r="BJ71" s="59">
        <f t="shared" si="92"/>
        <v>202.33469175293314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19.717917391698702</v>
      </c>
      <c r="BQ71" s="21">
        <f>EXP(-LN(2)/25)*BQ70+(1-EXP(-LN(2)/25))/(LN(2)/25)*Calculateur!BL71*Calculateur!BN71*VLOOKUP('Données projet'!$B$11,Paramètres!$A$1:$I$89,3,0)*0.475*44/12</f>
        <v>24.688315286799345</v>
      </c>
      <c r="BR71" s="21">
        <f>EXP(-LN(2)/2)*BR70+(1-EXP(-LN(2)/2))/(LN(2)/2)*BL71*BO71*VLOOKUP('Données projet'!$B$11,Paramètres!$A$1:$I$89,3,0)*0.475*44/12</f>
        <v>0.69542693863613192</v>
      </c>
      <c r="BS71" s="22">
        <f t="shared" si="63"/>
        <v>45.101659617134175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65.284570406966083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65.284570406966083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65.284570406966083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65.284570406966083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65.284570406966083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65.284570406966083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65.284570406966083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3.1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11.366666666666667</v>
      </c>
      <c r="H72" s="67">
        <f t="shared" si="56"/>
        <v>211.20000000000002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65.366372568283992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9.9715384615384544</v>
      </c>
      <c r="N72" s="13">
        <f>IF('Données projet'!$A$36&gt;35,N71+M72-V71,IF(A72&lt;'Données projet'!$A$36,$K$205^A72,IF(A72='Données projet'!$A$36,'Données projet'!$B$36,N71+M72-V71)))</f>
        <v>450.42230769230764</v>
      </c>
      <c r="O72" s="13">
        <f>N72*VLOOKUP('Données projet'!$B$9,Paramètres!$A$1:$I$89,3,0)*VLOOKUP('Données projet'!$B$9,Paramètres!$A$1:$I$89,5,0)</f>
        <v>269.35253999999998</v>
      </c>
      <c r="P72" s="13">
        <f t="shared" si="87"/>
        <v>64.711842740845071</v>
      </c>
      <c r="Q72" s="20">
        <f t="shared" si="54"/>
        <v>581.8287999403052</v>
      </c>
      <c r="R72" s="59">
        <f t="shared" si="55"/>
        <v>858.17216602401322</v>
      </c>
      <c r="S72" s="59">
        <f ca="1">AVERAGE(OFFSET($R$3,0,0,'Données projet'!$E$9+1,1))-AVERAGE(OFFSET($H$3,0,0,'Données projet'!$E$9+1,1))</f>
        <v>369.06880001017635</v>
      </c>
      <c r="T72" s="59">
        <f t="shared" si="88"/>
        <v>331.91233237772281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55.527491281622808</v>
      </c>
      <c r="AA72" s="21">
        <f>EXP(-LN(2)/25)*AA71+(1-EXP(-LN(2)/25))/(LN(2)/25)*Calculateur!V72*Calculateur!X72*VLOOKUP('Données projet'!$B$9,Paramètres!$A$1:$I$89,3,0)*0.475*44/12</f>
        <v>13.755083446635066</v>
      </c>
      <c r="AB72" s="21">
        <f>EXP(-LN(2)/2)*AB71+(1-EXP(-LN(2)/2))/(LN(2)/2)*V72*Y72*VLOOKUP('Données projet'!$B$9,Paramètres!$A$1:$I$89,3,0)*0.475*44/12</f>
        <v>2.2149568132314692</v>
      </c>
      <c r="AC72" s="22">
        <f t="shared" si="57"/>
        <v>71.497531541489337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65.366372568283992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-5.6843418860808015E-14</v>
      </c>
      <c r="AJ72" s="13">
        <f>AI72*VLOOKUP('Données projet'!$B$10,Paramètres!$A$1:$I$89,3,0)*VLOOKUP('Données projet'!$B$10,Paramètres!$A$1:$I$89,5,0)</f>
        <v>-3.3992364478763198E-14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270.29397440778314</v>
      </c>
      <c r="AO72" s="59">
        <f t="shared" si="90"/>
        <v>281.95928682679596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108.54404721964346</v>
      </c>
      <c r="AV72" s="21">
        <f>EXP(-LN(2)/25)*AV71+(1-EXP(-LN(2)/25))/(LN(2)/25)*Calculateur!AQ72*Calculateur!AS72*VLOOKUP('Données projet'!$B$10,Paramètres!$A$1:$I$89,3,0)*0.475*44/12</f>
        <v>28.157592177844776</v>
      </c>
      <c r="AW72" s="21">
        <f>EXP(-LN(2)/2)*AW71+(1-EXP(-LN(2)/2))/(LN(2)/2)*AQ72*AT72*VLOOKUP('Données projet'!$B$10,Paramètres!$A$1:$I$89,3,0)*0.475*44/12</f>
        <v>1.4125716820802658</v>
      </c>
      <c r="AX72" s="21">
        <f t="shared" si="60"/>
        <v>138.11421107956849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65.366372568283992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10.314743589743591</v>
      </c>
      <c r="BD72" s="12">
        <f>IF('Données projet'!$A$88&gt;35,BD71+BC72-BL71,IF(A72&lt;'Données projet'!$A$88,$BA$205^A72,IF(A72='Données projet'!$A$88,'Données projet'!$B$88,BD71+BC72-BL71)))</f>
        <v>316.8717948717952</v>
      </c>
      <c r="BE72" s="13">
        <f>BD72*VLOOKUP('Données projet'!$B$11,Paramètres!$A$1:$I$89,3,0)*VLOOKUP('Données projet'!$B$11,Paramètres!$A$1:$I$89,5,0)</f>
        <v>148.29600000000016</v>
      </c>
      <c r="BF72" s="13">
        <f t="shared" si="91"/>
        <v>38.191088392826394</v>
      </c>
      <c r="BG72" s="20">
        <f t="shared" si="61"/>
        <v>324.79834561750624</v>
      </c>
      <c r="BH72" s="59">
        <f t="shared" si="62"/>
        <v>601.14171170121426</v>
      </c>
      <c r="BI72" s="59">
        <f ca="1">AVERAGE(OFFSET($BH$3,0,0,'Données projet'!$E$11+1,1))-AVERAGE(OFFSET($H$3,0,0,'Données projet'!$E$11+1,1))</f>
        <v>308.70979446846718</v>
      </c>
      <c r="BJ72" s="59">
        <f t="shared" si="92"/>
        <v>202.33469175293314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19.331261058389558</v>
      </c>
      <c r="BQ72" s="21">
        <f>EXP(-LN(2)/25)*BQ71+(1-EXP(-LN(2)/25))/(LN(2)/25)*Calculateur!BL72*Calculateur!BN72*VLOOKUP('Données projet'!$B$11,Paramètres!$A$1:$I$89,3,0)*0.475*44/12</f>
        <v>24.013212006979742</v>
      </c>
      <c r="BR72" s="21">
        <f>EXP(-LN(2)/2)*BR71+(1-EXP(-LN(2)/2))/(LN(2)/2)*BL72*BO72*VLOOKUP('Données projet'!$B$11,Paramètres!$A$1:$I$89,3,0)*0.475*44/12</f>
        <v>0.49174110412940997</v>
      </c>
      <c r="BS72" s="22">
        <f t="shared" si="63"/>
        <v>43.83621416949871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65.366372568283992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65.366372568283992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65.366372568283992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65.366372568283992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65.366372568283992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65.366372568283992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65.366372568283992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3.1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11.366666666666667</v>
      </c>
      <c r="H73" s="67">
        <f t="shared" si="56"/>
        <v>211.20000000000002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65.446755644985245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9.9715384615384544</v>
      </c>
      <c r="N73" s="13">
        <f>IF('Données projet'!$A$36&gt;35,N72+M73-V72,IF(A73&lt;'Données projet'!$A$36,$K$205^A73,IF(A73='Données projet'!$A$36,'Données projet'!$B$36,N72+M73-V72)))</f>
        <v>460.39384615384608</v>
      </c>
      <c r="O73" s="13">
        <f>N73*VLOOKUP('Données projet'!$B$9,Paramètres!$A$1:$I$89,3,0)*VLOOKUP('Données projet'!$B$9,Paramètres!$A$1:$I$89,5,0)</f>
        <v>275.31551999999994</v>
      </c>
      <c r="P73" s="13">
        <f t="shared" si="87"/>
        <v>65.976073607419792</v>
      </c>
      <c r="Q73" s="20">
        <f t="shared" si="54"/>
        <v>594.41619219958932</v>
      </c>
      <c r="R73" s="59">
        <f t="shared" si="55"/>
        <v>871.05429623120187</v>
      </c>
      <c r="S73" s="59">
        <f ca="1">AVERAGE(OFFSET($R$3,0,0,'Données projet'!$E$9+1,1))-AVERAGE(OFFSET($H$3,0,0,'Données projet'!$E$9+1,1))</f>
        <v>369.06880001017635</v>
      </c>
      <c r="T73" s="59">
        <f t="shared" si="88"/>
        <v>331.91233237772281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54.438631046015637</v>
      </c>
      <c r="AA73" s="21">
        <f>EXP(-LN(2)/25)*AA72+(1-EXP(-LN(2)/25))/(LN(2)/25)*Calculateur!V73*Calculateur!X73*VLOOKUP('Données projet'!$B$9,Paramètres!$A$1:$I$89,3,0)*0.475*44/12</f>
        <v>13.378949966438428</v>
      </c>
      <c r="AB73" s="21">
        <f>EXP(-LN(2)/2)*AB72+(1-EXP(-LN(2)/2))/(LN(2)/2)*V73*Y73*VLOOKUP('Données projet'!$B$9,Paramètres!$A$1:$I$89,3,0)*0.475*44/12</f>
        <v>1.5662109826713173</v>
      </c>
      <c r="AC73" s="22">
        <f t="shared" si="57"/>
        <v>69.383791995125392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65.446755644985245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-5.6843418860808015E-14</v>
      </c>
      <c r="AJ73" s="13">
        <f>AI73*VLOOKUP('Données projet'!$B$10,Paramètres!$A$1:$I$89,3,0)*VLOOKUP('Données projet'!$B$10,Paramètres!$A$1:$I$89,5,0)</f>
        <v>-3.3992364478763198E-14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270.29397440778314</v>
      </c>
      <c r="AO73" s="59">
        <f t="shared" si="90"/>
        <v>281.95928682679596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106.41556465899782</v>
      </c>
      <c r="AV73" s="21">
        <f>EXP(-LN(2)/25)*AV72+(1-EXP(-LN(2)/25))/(LN(2)/25)*Calculateur!AQ73*Calculateur!AS73*VLOOKUP('Données projet'!$B$10,Paramètres!$A$1:$I$89,3,0)*0.475*44/12</f>
        <v>27.387621338998194</v>
      </c>
      <c r="AW73" s="21">
        <f>EXP(-LN(2)/2)*AW72+(1-EXP(-LN(2)/2))/(LN(2)/2)*AQ73*AT73*VLOOKUP('Données projet'!$B$10,Paramètres!$A$1:$I$89,3,0)*0.475*44/12</f>
        <v>0.99883901531104402</v>
      </c>
      <c r="AX73" s="21">
        <f t="shared" si="60"/>
        <v>134.80202501330706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65.446755644985245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10.314743589743591</v>
      </c>
      <c r="BD73" s="12">
        <f>IF('Données projet'!$A$88&gt;35,BD72+BC73-BL72,IF(A73&lt;'Données projet'!$A$88,$BA$205^A73,IF(A73='Données projet'!$A$88,'Données projet'!$B$88,BD72+BC73-BL72)))</f>
        <v>327.18653846153882</v>
      </c>
      <c r="BE73" s="13">
        <f>BD73*VLOOKUP('Données projet'!$B$11,Paramètres!$A$1:$I$89,3,0)*VLOOKUP('Données projet'!$B$11,Paramètres!$A$1:$I$89,5,0)</f>
        <v>153.12330000000017</v>
      </c>
      <c r="BF73" s="13">
        <f t="shared" si="91"/>
        <v>39.287513204310343</v>
      </c>
      <c r="BG73" s="20">
        <f t="shared" si="61"/>
        <v>335.11549966417408</v>
      </c>
      <c r="BH73" s="59">
        <f t="shared" si="62"/>
        <v>611.75360369578664</v>
      </c>
      <c r="BI73" s="59">
        <f ca="1">AVERAGE(OFFSET($BH$3,0,0,'Données projet'!$E$11+1,1))-AVERAGE(OFFSET($H$3,0,0,'Données projet'!$E$11+1,1))</f>
        <v>308.70979446846718</v>
      </c>
      <c r="BJ73" s="59">
        <f t="shared" si="92"/>
        <v>202.33469175293314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18.952186819939527</v>
      </c>
      <c r="BQ73" s="21">
        <f>EXP(-LN(2)/25)*BQ72+(1-EXP(-LN(2)/25))/(LN(2)/25)*Calculateur!BL73*Calculateur!BN73*VLOOKUP('Données projet'!$B$11,Paramètres!$A$1:$I$89,3,0)*0.475*44/12</f>
        <v>23.356569461848945</v>
      </c>
      <c r="BR73" s="21">
        <f>EXP(-LN(2)/2)*BR72+(1-EXP(-LN(2)/2))/(LN(2)/2)*BL73*BO73*VLOOKUP('Données projet'!$B$11,Paramètres!$A$1:$I$89,3,0)*0.475*44/12</f>
        <v>0.34771346931806602</v>
      </c>
      <c r="BS73" s="22">
        <f t="shared" si="63"/>
        <v>42.656469751106542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65.446755644985245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65.446755644985245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65.446755644985245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65.446755644985245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65.446755644985245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65.446755644985245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65.446755644985245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3.1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11.366666666666667</v>
      </c>
      <c r="H74" s="67">
        <f t="shared" si="56"/>
        <v>211.20000000000002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65.525744255015383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9.9715384615384544</v>
      </c>
      <c r="N74" s="13">
        <f>IF('Données projet'!$A$36&gt;35,N73+M74-V73,IF(A74&lt;'Données projet'!$A$36,$K$205^A74,IF(A74='Données projet'!$A$36,'Données projet'!$B$36,N73+M74-V73)))</f>
        <v>470.36538461538453</v>
      </c>
      <c r="O74" s="13">
        <f>N74*VLOOKUP('Données projet'!$B$9,Paramètres!$A$1:$I$89,3,0)*VLOOKUP('Données projet'!$B$9,Paramètres!$A$1:$I$89,5,0)</f>
        <v>281.27849999999995</v>
      </c>
      <c r="P74" s="13">
        <f t="shared" si="87"/>
        <v>67.23712100524989</v>
      </c>
      <c r="Q74" s="20">
        <f t="shared" si="54"/>
        <v>606.99803991747683</v>
      </c>
      <c r="R74" s="59">
        <f t="shared" si="55"/>
        <v>883.92576885253322</v>
      </c>
      <c r="S74" s="59">
        <f ca="1">AVERAGE(OFFSET($R$3,0,0,'Données projet'!$E$9+1,1))-AVERAGE(OFFSET($H$3,0,0,'Données projet'!$E$9+1,1))</f>
        <v>369.06880001017635</v>
      </c>
      <c r="T74" s="59">
        <f t="shared" si="88"/>
        <v>331.91233237772281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53.371122695489554</v>
      </c>
      <c r="AA74" s="21">
        <f>EXP(-LN(2)/25)*AA73+(1-EXP(-LN(2)/25))/(LN(2)/25)*Calculateur!V74*Calculateur!X74*VLOOKUP('Données projet'!$B$9,Paramètres!$A$1:$I$89,3,0)*0.475*44/12</f>
        <v>13.013101876037769</v>
      </c>
      <c r="AB74" s="21">
        <f>EXP(-LN(2)/2)*AB73+(1-EXP(-LN(2)/2))/(LN(2)/2)*V74*Y74*VLOOKUP('Données projet'!$B$9,Paramètres!$A$1:$I$89,3,0)*0.475*44/12</f>
        <v>1.1074784066157348</v>
      </c>
      <c r="AC74" s="22">
        <f t="shared" si="57"/>
        <v>67.491702978143067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65.525744255015383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-5.6843418860808015E-14</v>
      </c>
      <c r="AJ74" s="13">
        <f>AI74*VLOOKUP('Données projet'!$B$10,Paramètres!$A$1:$I$89,3,0)*VLOOKUP('Données projet'!$B$10,Paramètres!$A$1:$I$89,5,0)</f>
        <v>-3.3992364478763198E-14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270.29397440778314</v>
      </c>
      <c r="AO74" s="59">
        <f t="shared" si="90"/>
        <v>281.95928682679596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104.32882034312027</v>
      </c>
      <c r="AV74" s="21">
        <f>EXP(-LN(2)/25)*AV73+(1-EXP(-LN(2)/25))/(LN(2)/25)*Calculateur!AQ74*Calculateur!AS74*VLOOKUP('Données projet'!$B$10,Paramètres!$A$1:$I$89,3,0)*0.475*44/12</f>
        <v>26.638705393230879</v>
      </c>
      <c r="AW74" s="21">
        <f>EXP(-LN(2)/2)*AW73+(1-EXP(-LN(2)/2))/(LN(2)/2)*AQ74*AT74*VLOOKUP('Données projet'!$B$10,Paramètres!$A$1:$I$89,3,0)*0.475*44/12</f>
        <v>0.70628584104013303</v>
      </c>
      <c r="AX74" s="21">
        <f t="shared" si="60"/>
        <v>131.67381157739129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65.525744255015383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10.314743589743591</v>
      </c>
      <c r="BD74" s="12">
        <f>IF('Données projet'!$A$88&gt;35,BD73+BC74-BL73,IF(A74&lt;'Données projet'!$A$88,$BA$205^A74,IF(A74='Données projet'!$A$88,'Données projet'!$B$88,BD73+BC74-BL73)))</f>
        <v>337.50128205128243</v>
      </c>
      <c r="BE74" s="13">
        <f>BD74*VLOOKUP('Données projet'!$B$11,Paramètres!$A$1:$I$89,3,0)*VLOOKUP('Données projet'!$B$11,Paramètres!$A$1:$I$89,5,0)</f>
        <v>157.95060000000018</v>
      </c>
      <c r="BF74" s="13">
        <f t="shared" si="91"/>
        <v>40.379921270810129</v>
      </c>
      <c r="BG74" s="20">
        <f t="shared" si="61"/>
        <v>345.42565787999462</v>
      </c>
      <c r="BH74" s="59">
        <f t="shared" si="62"/>
        <v>622.35338681505095</v>
      </c>
      <c r="BI74" s="59">
        <f ca="1">AVERAGE(OFFSET($BH$3,0,0,'Données projet'!$E$11+1,1))-AVERAGE(OFFSET($H$3,0,0,'Données projet'!$E$11+1,1))</f>
        <v>308.70979446846718</v>
      </c>
      <c r="BJ74" s="59">
        <f t="shared" si="92"/>
        <v>202.33469175293314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18.580545996093047</v>
      </c>
      <c r="BQ74" s="21">
        <f>EXP(-LN(2)/25)*BQ73+(1-EXP(-LN(2)/25))/(LN(2)/25)*Calculateur!BL74*Calculateur!BN74*VLOOKUP('Données projet'!$B$11,Paramètres!$A$1:$I$89,3,0)*0.475*44/12</f>
        <v>22.71788284164608</v>
      </c>
      <c r="BR74" s="21">
        <f>EXP(-LN(2)/2)*BR73+(1-EXP(-LN(2)/2))/(LN(2)/2)*BL74*BO74*VLOOKUP('Données projet'!$B$11,Paramètres!$A$1:$I$89,3,0)*0.475*44/12</f>
        <v>0.24587055206470504</v>
      </c>
      <c r="BS74" s="22">
        <f t="shared" si="63"/>
        <v>41.544299389803825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65.525744255015383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65.525744255015383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65.525744255015383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65.525744255015383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65.525744255015383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65.525744255015383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65.525744255015383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3.1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11.366666666666667</v>
      </c>
      <c r="H75" s="67">
        <f t="shared" si="56"/>
        <v>211.20000000000002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65.603362589253564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9.9715384615384544</v>
      </c>
      <c r="N75" s="13">
        <f>IF('Données projet'!$A$36&gt;35,N74+M75-V74,IF(A75&lt;'Données projet'!$A$36,$K$205^A75,IF(A75='Données projet'!$A$36,'Données projet'!$B$36,N74+M75-V74)))</f>
        <v>480.33692307692297</v>
      </c>
      <c r="O75" s="13">
        <f>N75*VLOOKUP('Données projet'!$B$9,Paramètres!$A$1:$I$89,3,0)*VLOOKUP('Données projet'!$B$9,Paramètres!$A$1:$I$89,5,0)</f>
        <v>287.24147999999997</v>
      </c>
      <c r="P75" s="13">
        <f t="shared" si="87"/>
        <v>68.495060196585953</v>
      </c>
      <c r="Q75" s="20">
        <f t="shared" si="54"/>
        <v>619.57447417572041</v>
      </c>
      <c r="R75" s="59">
        <f t="shared" si="55"/>
        <v>896.78680366965023</v>
      </c>
      <c r="S75" s="59">
        <f ca="1">AVERAGE(OFFSET($R$3,0,0,'Données projet'!$E$9+1,1))-AVERAGE(OFFSET($H$3,0,0,'Données projet'!$E$9+1,1))</f>
        <v>369.06880001017635</v>
      </c>
      <c r="T75" s="59">
        <f t="shared" si="88"/>
        <v>331.91233237772281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52.324547532601493</v>
      </c>
      <c r="AA75" s="21">
        <f>EXP(-LN(2)/25)*AA74+(1-EXP(-LN(2)/25))/(LN(2)/25)*Calculateur!V75*Calculateur!X75*VLOOKUP('Données projet'!$B$9,Paramètres!$A$1:$I$89,3,0)*0.475*44/12</f>
        <v>12.657257920908231</v>
      </c>
      <c r="AB75" s="21">
        <f>EXP(-LN(2)/2)*AB74+(1-EXP(-LN(2)/2))/(LN(2)/2)*V75*Y75*VLOOKUP('Données projet'!$B$9,Paramètres!$A$1:$I$89,3,0)*0.475*44/12</f>
        <v>0.78310549133565877</v>
      </c>
      <c r="AC75" s="22">
        <f t="shared" si="57"/>
        <v>65.764910944845383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65.603362589253564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-5.6843418860808015E-14</v>
      </c>
      <c r="AJ75" s="13">
        <f>AI75*VLOOKUP('Données projet'!$B$10,Paramètres!$A$1:$I$89,3,0)*VLOOKUP('Données projet'!$B$10,Paramètres!$A$1:$I$89,5,0)</f>
        <v>-3.3992364478763198E-14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270.29397440778314</v>
      </c>
      <c r="AO75" s="59">
        <f t="shared" si="90"/>
        <v>281.95928682679596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102.28299581048873</v>
      </c>
      <c r="AV75" s="21">
        <f>EXP(-LN(2)/25)*AV74+(1-EXP(-LN(2)/25))/(LN(2)/25)*Calculateur!AQ75*Calculateur!AS75*VLOOKUP('Données projet'!$B$10,Paramètres!$A$1:$I$89,3,0)*0.475*44/12</f>
        <v>25.910268593384348</v>
      </c>
      <c r="AW75" s="21">
        <f>EXP(-LN(2)/2)*AW74+(1-EXP(-LN(2)/2))/(LN(2)/2)*AQ75*AT75*VLOOKUP('Données projet'!$B$10,Paramètres!$A$1:$I$89,3,0)*0.475*44/12</f>
        <v>0.49941950765552207</v>
      </c>
      <c r="AX75" s="21">
        <f t="shared" si="60"/>
        <v>128.6926839115286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65.603362589253564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10.314743589743591</v>
      </c>
      <c r="BD75" s="12">
        <f>IF('Données projet'!$A$88&gt;35,BD74+BC75-BL74,IF(A75&lt;'Données projet'!$A$88,$BA$205^A75,IF(A75='Données projet'!$A$88,'Données projet'!$B$88,BD74+BC75-BL74)))</f>
        <v>347.81602564102604</v>
      </c>
      <c r="BE75" s="13">
        <f>BD75*VLOOKUP('Données projet'!$B$11,Paramètres!$A$1:$I$89,3,0)*VLOOKUP('Données projet'!$B$11,Paramètres!$A$1:$I$89,5,0)</f>
        <v>162.77790000000019</v>
      </c>
      <c r="BF75" s="13">
        <f t="shared" si="91"/>
        <v>41.468449441443113</v>
      </c>
      <c r="BG75" s="20">
        <f t="shared" si="61"/>
        <v>355.72905861051368</v>
      </c>
      <c r="BH75" s="59">
        <f t="shared" si="62"/>
        <v>632.94138810444338</v>
      </c>
      <c r="BI75" s="59">
        <f ca="1">AVERAGE(OFFSET($BH$3,0,0,'Données projet'!$E$11+1,1))-AVERAGE(OFFSET($H$3,0,0,'Données projet'!$E$11+1,1))</f>
        <v>308.70979446846718</v>
      </c>
      <c r="BJ75" s="59">
        <f t="shared" si="92"/>
        <v>202.33469175293314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18.216192822123677</v>
      </c>
      <c r="BQ75" s="21">
        <f>EXP(-LN(2)/25)*BQ74+(1-EXP(-LN(2)/25))/(LN(2)/25)*Calculateur!BL75*Calculateur!BN75*VLOOKUP('Données projet'!$B$11,Paramètres!$A$1:$I$89,3,0)*0.475*44/12</f>
        <v>22.096661140659734</v>
      </c>
      <c r="BR75" s="21">
        <f>EXP(-LN(2)/2)*BR74+(1-EXP(-LN(2)/2))/(LN(2)/2)*BL75*BO75*VLOOKUP('Données projet'!$B$11,Paramètres!$A$1:$I$89,3,0)*0.475*44/12</f>
        <v>0.17385673465903304</v>
      </c>
      <c r="BS75" s="22">
        <f t="shared" si="63"/>
        <v>40.48671069744244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65.603362589253564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65.603362589253564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65.603362589253564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65.603362589253564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65.603362589253564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65.603362589253564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65.603362589253564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3.1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11.366666666666667</v>
      </c>
      <c r="H76" s="67">
        <f t="shared" si="56"/>
        <v>211.20000000000002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65.679634418921324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9.9715384615384544</v>
      </c>
      <c r="N76" s="13">
        <f>IF('Données projet'!$A$36&gt;35,N75+M76-V75,IF(A76&lt;'Données projet'!$A$36,$K$205^A76,IF(A76='Données projet'!$A$36,'Données projet'!$B$36,N75+M76-V75)))</f>
        <v>490.30846153846142</v>
      </c>
      <c r="O76" s="13">
        <f>N76*VLOOKUP('Données projet'!$B$9,Paramètres!$A$1:$I$89,3,0)*VLOOKUP('Données projet'!$B$9,Paramètres!$A$1:$I$89,5,0)</f>
        <v>293.20445999999993</v>
      </c>
      <c r="P76" s="13">
        <f t="shared" si="87"/>
        <v>69.749963140285985</v>
      </c>
      <c r="Q76" s="20">
        <f t="shared" si="54"/>
        <v>632.14562030266472</v>
      </c>
      <c r="R76" s="59">
        <f t="shared" si="55"/>
        <v>909.63761317204285</v>
      </c>
      <c r="S76" s="59">
        <f ca="1">AVERAGE(OFFSET($R$3,0,0,'Données projet'!$E$9+1,1))-AVERAGE(OFFSET($H$3,0,0,'Données projet'!$E$9+1,1))</f>
        <v>369.06880001017635</v>
      </c>
      <c r="T76" s="59">
        <f t="shared" si="88"/>
        <v>331.91233237772281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51.298495070309848</v>
      </c>
      <c r="AA76" s="21">
        <f>EXP(-LN(2)/25)*AA75+(1-EXP(-LN(2)/25))/(LN(2)/25)*Calculateur!V76*Calculateur!X76*VLOOKUP('Données projet'!$B$9,Paramètres!$A$1:$I$89,3,0)*0.475*44/12</f>
        <v>12.311144537444729</v>
      </c>
      <c r="AB76" s="21">
        <f>EXP(-LN(2)/2)*AB75+(1-EXP(-LN(2)/2))/(LN(2)/2)*V76*Y76*VLOOKUP('Données projet'!$B$9,Paramètres!$A$1:$I$89,3,0)*0.475*44/12</f>
        <v>0.55373920330786752</v>
      </c>
      <c r="AC76" s="22">
        <f t="shared" si="57"/>
        <v>64.163378811062444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65.679634418921324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-5.6843418860808015E-14</v>
      </c>
      <c r="AJ76" s="13">
        <f>AI76*VLOOKUP('Données projet'!$B$10,Paramètres!$A$1:$I$89,3,0)*VLOOKUP('Données projet'!$B$10,Paramètres!$A$1:$I$89,5,0)</f>
        <v>-3.3992364478763198E-14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270.29397440778314</v>
      </c>
      <c r="AO76" s="59">
        <f t="shared" si="90"/>
        <v>281.95928682679596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100.27728864911234</v>
      </c>
      <c r="AV76" s="21">
        <f>EXP(-LN(2)/25)*AV75+(1-EXP(-LN(2)/25))/(LN(2)/25)*Calculateur!AQ76*Calculateur!AS76*VLOOKUP('Données projet'!$B$10,Paramètres!$A$1:$I$89,3,0)*0.475*44/12</f>
        <v>25.201750936136445</v>
      </c>
      <c r="AW76" s="21">
        <f>EXP(-LN(2)/2)*AW75+(1-EXP(-LN(2)/2))/(LN(2)/2)*AQ76*AT76*VLOOKUP('Données projet'!$B$10,Paramètres!$A$1:$I$89,3,0)*0.475*44/12</f>
        <v>0.35314292052006657</v>
      </c>
      <c r="AX76" s="21">
        <f t="shared" si="60"/>
        <v>125.83218250576886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65.679634418921324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>
        <f>VLOOKUP(A76,'Données projet'!$A$87:$I$107,2,0)</f>
        <v>358.13076923076926</v>
      </c>
      <c r="BB76" s="12">
        <f>VLOOKUP(A76,'Données projet'!$A$87:$I$107,9,0)</f>
        <v>10.314743589743591</v>
      </c>
      <c r="BC76" s="12">
        <f t="array" ref="BC76">INDEX(BB:BB,MIN(IF(ISNUMBER(BB76:BB272),ROW(BB76:BB272),"")))</f>
        <v>10.314743589743591</v>
      </c>
      <c r="BD76" s="12">
        <f>IF('Données projet'!$A$88&gt;35,BD75+BC76-BL75,IF(A76&lt;'Données projet'!$A$88,$BA$205^A76,IF(A76='Données projet'!$A$88,'Données projet'!$B$88,BD75+BC76-BL75)))</f>
        <v>358.13076923076966</v>
      </c>
      <c r="BE76" s="13">
        <f>BD76*VLOOKUP('Données projet'!$B$11,Paramètres!$A$1:$I$89,3,0)*VLOOKUP('Données projet'!$B$11,Paramètres!$A$1:$I$89,5,0)</f>
        <v>167.6052000000002</v>
      </c>
      <c r="BF76" s="13">
        <f t="shared" si="91"/>
        <v>42.553225987206773</v>
      </c>
      <c r="BG76" s="20">
        <f t="shared" si="61"/>
        <v>366.02592526105212</v>
      </c>
      <c r="BH76" s="59">
        <f t="shared" si="62"/>
        <v>643.5179181304303</v>
      </c>
      <c r="BI76" s="59">
        <f ca="1">AVERAGE(OFFSET($BH$3,0,0,'Données projet'!$E$11+1,1))-AVERAGE(OFFSET($H$3,0,0,'Données projet'!$E$11+1,1))</f>
        <v>308.70979446846718</v>
      </c>
      <c r="BJ76" s="59">
        <f t="shared" si="92"/>
        <v>202.33469175293314</v>
      </c>
      <c r="BK76" s="15">
        <f>IF(ISNA(VLOOKUP(A76,'Données projet'!$A$87:$I$107,3,0)),0,VLOOKUP(A76,'Données projet'!$A$87:$I$107,3,0))</f>
        <v>3</v>
      </c>
      <c r="BL76" s="15">
        <f>IF(ISNA(VLOOKUP(A76,'Données projet'!$A$87:$I$107,4,0)),0,VLOOKUP(A76,'Données projet'!$A$87:$I$107,4,0))</f>
        <v>93.584615384615375</v>
      </c>
      <c r="BM76" s="16">
        <f>IF(ISNA(VLOOKUP(A76,'Données projet'!$A$87:$I$107,5,0)),0%,VLOOKUP(A76,'Données projet'!$A$87:$I$107,5,0)*VLOOKUP('Données projet'!$B$11,Paramètres!$A$1:$I$89,7,0))</f>
        <v>0.38500000000000001</v>
      </c>
      <c r="BN76" s="16">
        <f>IF(ISNA(VLOOKUP(A76,'Données projet'!$A$87:$I$107,6,0)),0%,VLOOKUP(A76,'Données projet'!$A$87:$I$107,6,0)*VLOOKUP('Données projet'!$B$11,Paramètres!$A$1:$I$89,7,0))</f>
        <v>9.240000000000001E-2</v>
      </c>
      <c r="BO76" s="16">
        <f>IF(ISNA(VLOOKUP(A76,'Données projet'!$A$87:$I$107,7,0)),0%,VLOOKUP(A76,'Données projet'!$A$87:$I$107,7,0))</f>
        <v>0.13200000000000001</v>
      </c>
      <c r="BP76" s="21">
        <f>EXP(-LN(2)/35)*BP75+(1-EXP(-LN(2)/35))/(LN(2)/35)*BL76*BM76*VLOOKUP('Données projet'!$B$11,Paramètres!$A$1:$I$89,3,0)*0.475*44/12</f>
        <v>40.227615058182487</v>
      </c>
      <c r="BQ76" s="21">
        <f>EXP(-LN(2)/25)*BQ75+(1-EXP(-LN(2)/25))/(LN(2)/25)*Calculateur!BL76*Calculateur!BN76*VLOOKUP('Données projet'!$B$11,Paramètres!$A$1:$I$89,3,0)*0.475*44/12</f>
        <v>26.839760422428181</v>
      </c>
      <c r="BR76" s="21">
        <f>EXP(-LN(2)/2)*BR75+(1-EXP(-LN(2)/2))/(LN(2)/2)*BL76*BO76*VLOOKUP('Données projet'!$B$11,Paramètres!$A$1:$I$89,3,0)*0.475*44/12</f>
        <v>6.6686908362195103</v>
      </c>
      <c r="BS76" s="22">
        <f t="shared" si="63"/>
        <v>73.736066316830176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65.679634418921324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65.679634418921324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65.679634418921324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65.679634418921324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65.679634418921324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65.679634418921324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65.679634418921324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3.1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11.366666666666667</v>
      </c>
      <c r="H77" s="67">
        <f t="shared" si="56"/>
        <v>211.20000000000002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65.754583102862597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9.9715384615384544</v>
      </c>
      <c r="N77" s="13">
        <f>IF('Données projet'!$A$36&gt;35,N76+M77-V76,IF(A77&lt;'Données projet'!$A$36,$K$205^A77,IF(A77='Données projet'!$A$36,'Données projet'!$B$36,N76+M77-V76)))</f>
        <v>500.27999999999986</v>
      </c>
      <c r="O77" s="13">
        <f>N77*VLOOKUP('Données projet'!$B$9,Paramètres!$A$1:$I$89,3,0)*VLOOKUP('Données projet'!$B$9,Paramètres!$A$1:$I$89,5,0)</f>
        <v>299.16743999999994</v>
      </c>
      <c r="P77" s="13">
        <f t="shared" si="87"/>
        <v>71.001898700991546</v>
      </c>
      <c r="Q77" s="20">
        <f t="shared" si="54"/>
        <v>644.71159823756022</v>
      </c>
      <c r="R77" s="59">
        <f t="shared" si="55"/>
        <v>922.47840294805633</v>
      </c>
      <c r="S77" s="59">
        <f ca="1">AVERAGE(OFFSET($R$3,0,0,'Données projet'!$E$9+1,1))-AVERAGE(OFFSET($H$3,0,0,'Données projet'!$E$9+1,1))</f>
        <v>369.06880001017635</v>
      </c>
      <c r="T77" s="59">
        <f t="shared" si="88"/>
        <v>331.91233237772281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50.292562870973534</v>
      </c>
      <c r="AA77" s="21">
        <f>EXP(-LN(2)/25)*AA76+(1-EXP(-LN(2)/25))/(LN(2)/25)*Calculateur!V77*Calculateur!X77*VLOOKUP('Données projet'!$B$9,Paramètres!$A$1:$I$89,3,0)*0.475*44/12</f>
        <v>11.97449564265335</v>
      </c>
      <c r="AB77" s="21">
        <f>EXP(-LN(2)/2)*AB76+(1-EXP(-LN(2)/2))/(LN(2)/2)*V77*Y77*VLOOKUP('Données projet'!$B$9,Paramètres!$A$1:$I$89,3,0)*0.475*44/12</f>
        <v>0.39155274566782944</v>
      </c>
      <c r="AC77" s="22">
        <f t="shared" si="57"/>
        <v>62.658611259294716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65.754583102862597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-5.6843418860808015E-14</v>
      </c>
      <c r="AJ77" s="13">
        <f>AI77*VLOOKUP('Données projet'!$B$10,Paramètres!$A$1:$I$89,3,0)*VLOOKUP('Données projet'!$B$10,Paramètres!$A$1:$I$89,5,0)</f>
        <v>-3.3992364478763198E-14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270.29397440778314</v>
      </c>
      <c r="AO77" s="59">
        <f t="shared" si="90"/>
        <v>281.95928682679596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98.310912181809968</v>
      </c>
      <c r="AV77" s="21">
        <f>EXP(-LN(2)/25)*AV76+(1-EXP(-LN(2)/25))/(LN(2)/25)*Calculateur!AQ77*Calculateur!AS77*VLOOKUP('Données projet'!$B$10,Paramètres!$A$1:$I$89,3,0)*0.475*44/12</f>
        <v>24.512607731485311</v>
      </c>
      <c r="AW77" s="21">
        <f>EXP(-LN(2)/2)*AW76+(1-EXP(-LN(2)/2))/(LN(2)/2)*AQ77*AT77*VLOOKUP('Données projet'!$B$10,Paramètres!$A$1:$I$89,3,0)*0.475*44/12</f>
        <v>0.24970975382776106</v>
      </c>
      <c r="AX77" s="21">
        <f t="shared" si="60"/>
        <v>123.07322966712304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65.754583102862597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9.5237179487179446</v>
      </c>
      <c r="BD77" s="12">
        <f>IF('Données projet'!$A$88&gt;35,BD76+BC77-BL76,IF(A77&lt;'Données projet'!$A$88,$BA$205^A77,IF(A77='Données projet'!$A$88,'Données projet'!$B$88,BD76+BC77-BL76)))</f>
        <v>274.06987179487226</v>
      </c>
      <c r="BE77" s="13">
        <f>BD77*VLOOKUP('Données projet'!$B$11,Paramètres!$A$1:$I$89,3,0)*VLOOKUP('Données projet'!$B$11,Paramètres!$A$1:$I$89,5,0)</f>
        <v>128.26470000000023</v>
      </c>
      <c r="BF77" s="13">
        <f t="shared" si="91"/>
        <v>33.595069382484709</v>
      </c>
      <c r="BG77" s="20">
        <f t="shared" si="61"/>
        <v>281.90576500782794</v>
      </c>
      <c r="BH77" s="59">
        <f t="shared" si="62"/>
        <v>559.6725697183241</v>
      </c>
      <c r="BI77" s="59">
        <f ca="1">AVERAGE(OFFSET($BH$3,0,0,'Données projet'!$E$11+1,1))-AVERAGE(OFFSET($H$3,0,0,'Données projet'!$E$11+1,1))</f>
        <v>308.70979446846718</v>
      </c>
      <c r="BJ77" s="59">
        <f t="shared" si="92"/>
        <v>202.33469175293314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39.438776063313945</v>
      </c>
      <c r="BQ77" s="21">
        <f>EXP(-LN(2)/25)*BQ76+(1-EXP(-LN(2)/25))/(LN(2)/25)*Calculateur!BL77*Calculateur!BN77*VLOOKUP('Données projet'!$B$11,Paramètres!$A$1:$I$89,3,0)*0.475*44/12</f>
        <v>26.105825762235224</v>
      </c>
      <c r="BR77" s="21">
        <f>EXP(-LN(2)/2)*BR76+(1-EXP(-LN(2)/2))/(LN(2)/2)*BL77*BO77*VLOOKUP('Données projet'!$B$11,Paramètres!$A$1:$I$89,3,0)*0.475*44/12</f>
        <v>4.7154765119274042</v>
      </c>
      <c r="BS77" s="22">
        <f t="shared" si="63"/>
        <v>70.260078337476571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65.754583102862597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65.754583102862597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65.754583102862597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65.754583102862597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65.754583102862597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65.754583102862597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65.754583102862597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3.1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11.366666666666667</v>
      </c>
      <c r="H78" s="67">
        <f t="shared" si="56"/>
        <v>211.20000000000002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65.828231594697655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9.9715384615384544</v>
      </c>
      <c r="N78" s="13">
        <f>IF('Données projet'!$A$36&gt;35,N77+M78-V77,IF(A78&lt;'Données projet'!$A$36,$K$205^A78,IF(A78='Données projet'!$A$36,'Données projet'!$B$36,N77+M78-V77)))</f>
        <v>510.2515384615383</v>
      </c>
      <c r="O78" s="13">
        <f>N78*VLOOKUP('Données projet'!$B$9,Paramètres!$A$1:$I$89,3,0)*VLOOKUP('Données projet'!$B$9,Paramètres!$A$1:$I$89,5,0)</f>
        <v>305.13041999999996</v>
      </c>
      <c r="P78" s="13">
        <f t="shared" si="87"/>
        <v>72.250932841155517</v>
      </c>
      <c r="Q78" s="20">
        <f t="shared" si="54"/>
        <v>657.27252286501243</v>
      </c>
      <c r="R78" s="59">
        <f t="shared" si="55"/>
        <v>935.30937204557051</v>
      </c>
      <c r="S78" s="59">
        <f ca="1">AVERAGE(OFFSET($R$3,0,0,'Données projet'!$E$9+1,1))-AVERAGE(OFFSET($H$3,0,0,'Données projet'!$E$9+1,1))</f>
        <v>369.06880001017635</v>
      </c>
      <c r="T78" s="59">
        <f t="shared" si="88"/>
        <v>331.91233237772281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49.306356388508149</v>
      </c>
      <c r="AA78" s="21">
        <f>EXP(-LN(2)/25)*AA77+(1-EXP(-LN(2)/25))/(LN(2)/25)*Calculateur!V78*Calculateur!X78*VLOOKUP('Données projet'!$B$9,Paramètres!$A$1:$I$89,3,0)*0.475*44/12</f>
        <v>11.647052429593636</v>
      </c>
      <c r="AB78" s="21">
        <f>EXP(-LN(2)/2)*AB77+(1-EXP(-LN(2)/2))/(LN(2)/2)*V78*Y78*VLOOKUP('Données projet'!$B$9,Paramètres!$A$1:$I$89,3,0)*0.475*44/12</f>
        <v>0.27686960165393376</v>
      </c>
      <c r="AC78" s="22">
        <f t="shared" si="57"/>
        <v>61.23027841975572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65.828231594697655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-5.6843418860808015E-14</v>
      </c>
      <c r="AJ78" s="13">
        <f>AI78*VLOOKUP('Données projet'!$B$10,Paramètres!$A$1:$I$89,3,0)*VLOOKUP('Données projet'!$B$10,Paramètres!$A$1:$I$89,5,0)</f>
        <v>-3.3992364478763198E-14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270.29397440778314</v>
      </c>
      <c r="AO78" s="59">
        <f t="shared" si="90"/>
        <v>281.95928682679596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96.383095157660179</v>
      </c>
      <c r="AV78" s="21">
        <f>EXP(-LN(2)/25)*AV77+(1-EXP(-LN(2)/25))/(LN(2)/25)*Calculateur!AQ78*Calculateur!AS78*VLOOKUP('Données projet'!$B$10,Paramètres!$A$1:$I$89,3,0)*0.475*44/12</f>
        <v>23.842309184005828</v>
      </c>
      <c r="AW78" s="21">
        <f>EXP(-LN(2)/2)*AW77+(1-EXP(-LN(2)/2))/(LN(2)/2)*AQ78*AT78*VLOOKUP('Données projet'!$B$10,Paramètres!$A$1:$I$89,3,0)*0.475*44/12</f>
        <v>0.17657146026003331</v>
      </c>
      <c r="AX78" s="21">
        <f t="shared" si="60"/>
        <v>120.40197580192604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65.828231594697655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9.5237179487179446</v>
      </c>
      <c r="BD78" s="12">
        <f>IF('Données projet'!$A$88&gt;35,BD77+BC78-BL77,IF(A78&lt;'Données projet'!$A$88,$BA$205^A78,IF(A78='Données projet'!$A$88,'Données projet'!$B$88,BD77+BC78-BL77)))</f>
        <v>283.5935897435902</v>
      </c>
      <c r="BE78" s="13">
        <f>BD78*VLOOKUP('Données projet'!$B$11,Paramètres!$A$1:$I$89,3,0)*VLOOKUP('Données projet'!$B$11,Paramètres!$A$1:$I$89,5,0)</f>
        <v>132.7218000000002</v>
      </c>
      <c r="BF78" s="13">
        <f t="shared" si="91"/>
        <v>34.624526937018011</v>
      </c>
      <c r="BG78" s="20">
        <f t="shared" si="61"/>
        <v>291.46151941530667</v>
      </c>
      <c r="BH78" s="59">
        <f t="shared" si="62"/>
        <v>569.4983685958648</v>
      </c>
      <c r="BI78" s="59">
        <f ca="1">AVERAGE(OFFSET($BH$3,0,0,'Données projet'!$E$11+1,1))-AVERAGE(OFFSET($H$3,0,0,'Données projet'!$E$11+1,1))</f>
        <v>308.70979446846718</v>
      </c>
      <c r="BJ78" s="59">
        <f t="shared" si="92"/>
        <v>202.33469175293314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38.665405719990495</v>
      </c>
      <c r="BQ78" s="21">
        <f>EXP(-LN(2)/25)*BQ77+(1-EXP(-LN(2)/25))/(LN(2)/25)*Calculateur!BL78*Calculateur!BN78*VLOOKUP('Données projet'!$B$11,Paramètres!$A$1:$I$89,3,0)*0.475*44/12</f>
        <v>25.39196058392119</v>
      </c>
      <c r="BR78" s="21">
        <f>EXP(-LN(2)/2)*BR77+(1-EXP(-LN(2)/2))/(LN(2)/2)*BL78*BO78*VLOOKUP('Données projet'!$B$11,Paramètres!$A$1:$I$89,3,0)*0.475*44/12</f>
        <v>3.3343454181097556</v>
      </c>
      <c r="BS78" s="22">
        <f t="shared" si="63"/>
        <v>67.391711722021455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65.828231594697655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65.828231594697655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65.828231594697655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65.828231594697655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65.828231594697655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65.828231594697655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65.828231594697655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3.1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11.366666666666667</v>
      </c>
      <c r="H79" s="67">
        <f t="shared" si="56"/>
        <v>211.20000000000002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65.900602449852727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>
        <f>VLOOKUP(A79,'Données projet'!$A$35:$I$55,2,0)</f>
        <v>520.22307692307686</v>
      </c>
      <c r="L79" s="12">
        <f>VLOOKUP(A79,'Données projet'!$A$35:$I$55,9,0)</f>
        <v>9.9715384615384544</v>
      </c>
      <c r="M79" s="12">
        <f t="array" ref="M79">INDEX(L:L,MIN(IF(ISNUMBER(L79:L275),ROW(L79:L275),"")))</f>
        <v>9.9715384615384544</v>
      </c>
      <c r="N79" s="13">
        <f>IF('Données projet'!$A$36&gt;35,N78+M79-V78,IF(A79&lt;'Données projet'!$A$36,$K$205^A79,IF(A79='Données projet'!$A$36,'Données projet'!$B$36,N78+M79-V78)))</f>
        <v>520.22307692307675</v>
      </c>
      <c r="O79" s="13">
        <f>N79*VLOOKUP('Données projet'!$B$9,Paramètres!$A$1:$I$89,3,0)*VLOOKUP('Données projet'!$B$9,Paramètres!$A$1:$I$89,5,0)</f>
        <v>311.09339999999992</v>
      </c>
      <c r="P79" s="13">
        <f t="shared" si="87"/>
        <v>73.497128797635312</v>
      </c>
      <c r="Q79" s="20">
        <f t="shared" si="54"/>
        <v>669.82850432254793</v>
      </c>
      <c r="R79" s="59">
        <f t="shared" si="55"/>
        <v>948.13071330534126</v>
      </c>
      <c r="S79" s="59">
        <f ca="1">AVERAGE(OFFSET($R$3,0,0,'Données projet'!$E$9+1,1))-AVERAGE(OFFSET($H$3,0,0,'Données projet'!$E$9+1,1))</f>
        <v>369.06880001017635</v>
      </c>
      <c r="T79" s="59">
        <f t="shared" si="88"/>
        <v>331.91233237772281</v>
      </c>
      <c r="U79" s="15">
        <f>IF(ISNA(VLOOKUP(A79,'Données projet'!$A$35:$I$55,3,0)),0,VLOOKUP(A79,'Données projet'!$A$35:$I$55,3,0))</f>
        <v>8</v>
      </c>
      <c r="V79" s="15">
        <f>IF(ISNA(VLOOKUP(A79,'Données projet'!$A$35:$I$55,4,0)),0,VLOOKUP(A79,'Données projet'!$A$35:$I$55,4,0))</f>
        <v>520.22307692307686</v>
      </c>
      <c r="W79" s="16">
        <f>IF(ISNA(VLOOKUP(A79,'Données projet'!$A$35:$I$55,5,0)),0%,VLOOKUP(A79,'Données projet'!$A$35:$I$55,5,0)*VLOOKUP('Données projet'!$B$9,Paramètres!$A$1:$I$89,7,0))</f>
        <v>0.315</v>
      </c>
      <c r="X79" s="16">
        <f>IF(ISNA(VLOOKUP(A79,'Données projet'!$A$35:$I$55,6,0)),0%,VLOOKUP(A79,'Données projet'!$A$35:$I$55,6,0)*VLOOKUP('Données projet'!$B$9,Paramètres!$A$1:$I$89,7,0))</f>
        <v>7.5600000000000001E-2</v>
      </c>
      <c r="Y79" s="16">
        <f>IF(ISNA(VLOOKUP(A79,'Données projet'!$A$35:$I$55,7,0)),0%,VLOOKUP(A79,'Données projet'!$A$35:$I$55,7,0))</f>
        <v>0.13200000000000001</v>
      </c>
      <c r="Z79" s="21">
        <f>EXP(-LN(2)/35)*Z78+(1-EXP(-LN(2)/35))/(LN(2)/35)*V79*W79*VLOOKUP('Données projet'!$B$9,Paramètres!$A$1:$I$89,3,0)*0.475*44/12</f>
        <v>178.3354045436154</v>
      </c>
      <c r="AA79" s="21">
        <f>EXP(-LN(2)/25)*AA78+(1-EXP(-LN(2)/25))/(LN(2)/25)*Calculateur!V79*Calculateur!X79*VLOOKUP('Données projet'!$B$9,Paramètres!$A$1:$I$89,3,0)*0.475*44/12</f>
        <v>42.404740514995794</v>
      </c>
      <c r="AB79" s="21">
        <f>EXP(-LN(2)/2)*AB78+(1-EXP(-LN(2)/2))/(LN(2)/2)*V79*Y79*VLOOKUP('Données projet'!$B$9,Paramètres!$A$1:$I$89,3,0)*0.475*44/12</f>
        <v>46.690135716440125</v>
      </c>
      <c r="AC79" s="22">
        <f t="shared" si="57"/>
        <v>267.4302807750513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65.900602449852727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-5.6843418860808015E-14</v>
      </c>
      <c r="AJ79" s="13">
        <f>AI79*VLOOKUP('Données projet'!$B$10,Paramètres!$A$1:$I$89,3,0)*VLOOKUP('Données projet'!$B$10,Paramètres!$A$1:$I$89,5,0)</f>
        <v>-3.3992364478763198E-14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270.29397440778314</v>
      </c>
      <c r="AO79" s="59">
        <f t="shared" si="90"/>
        <v>281.95928682679596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94.493081449501688</v>
      </c>
      <c r="AV79" s="21">
        <f>EXP(-LN(2)/25)*AV78+(1-EXP(-LN(2)/25))/(LN(2)/25)*Calculateur!AQ79*Calculateur!AS79*VLOOKUP('Données projet'!$B$10,Paramètres!$A$1:$I$89,3,0)*0.475*44/12</f>
        <v>23.190339985556641</v>
      </c>
      <c r="AW79" s="21">
        <f>EXP(-LN(2)/2)*AW78+(1-EXP(-LN(2)/2))/(LN(2)/2)*AQ79*AT79*VLOOKUP('Données projet'!$B$10,Paramètres!$A$1:$I$89,3,0)*0.475*44/12</f>
        <v>0.12485487691388056</v>
      </c>
      <c r="AX79" s="21">
        <f t="shared" si="60"/>
        <v>117.80827631197222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65.900602449852727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9.5237179487179446</v>
      </c>
      <c r="BD79" s="12">
        <f>IF('Données projet'!$A$88&gt;35,BD78+BC79-BL78,IF(A79&lt;'Données projet'!$A$88,$BA$205^A79,IF(A79='Données projet'!$A$88,'Données projet'!$B$88,BD78+BC79-BL78)))</f>
        <v>293.11730769230815</v>
      </c>
      <c r="BE79" s="13">
        <f>BD79*VLOOKUP('Données projet'!$B$11,Paramètres!$A$1:$I$89,3,0)*VLOOKUP('Données projet'!$B$11,Paramètres!$A$1:$I$89,5,0)</f>
        <v>137.17890000000023</v>
      </c>
      <c r="BF79" s="13">
        <f t="shared" si="91"/>
        <v>35.649967423044139</v>
      </c>
      <c r="BG79" s="20">
        <f t="shared" si="61"/>
        <v>301.0102774284689</v>
      </c>
      <c r="BH79" s="59">
        <f t="shared" si="62"/>
        <v>579.31248641126217</v>
      </c>
      <c r="BI79" s="59">
        <f ca="1">AVERAGE(OFFSET($BH$3,0,0,'Données projet'!$E$11+1,1))-AVERAGE(OFFSET($H$3,0,0,'Données projet'!$E$11+1,1))</f>
        <v>308.70979446846718</v>
      </c>
      <c r="BJ79" s="59">
        <f t="shared" si="92"/>
        <v>202.33469175293314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37.907200697390287</v>
      </c>
      <c r="BQ79" s="21">
        <f>EXP(-LN(2)/25)*BQ78+(1-EXP(-LN(2)/25))/(LN(2)/25)*Calculateur!BL79*Calculateur!BN79*VLOOKUP('Données projet'!$B$11,Paramètres!$A$1:$I$89,3,0)*0.475*44/12</f>
        <v>24.697616086448694</v>
      </c>
      <c r="BR79" s="21">
        <f>EXP(-LN(2)/2)*BR78+(1-EXP(-LN(2)/2))/(LN(2)/2)*BL79*BO79*VLOOKUP('Données projet'!$B$11,Paramètres!$A$1:$I$89,3,0)*0.475*44/12</f>
        <v>2.3577382559637026</v>
      </c>
      <c r="BS79" s="22">
        <f t="shared" si="63"/>
        <v>64.96255503980268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65.900602449852727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65.900602449852727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65.900602449852727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65.900602449852727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65.900602449852727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65.900602449852727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65.900602449852727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3.1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11.366666666666667</v>
      </c>
      <c r="H80" s="67">
        <f t="shared" si="56"/>
        <v>211.20000000000002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65.97171783246786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369.06880001017635</v>
      </c>
      <c r="T80" s="59">
        <f t="shared" si="88"/>
        <v>331.91233237772281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174.83835603437134</v>
      </c>
      <c r="AA80" s="21">
        <f>EXP(-LN(2)/25)*AA79+(1-EXP(-LN(2)/25))/(LN(2)/25)*Calculateur!V80*Calculateur!X80*VLOOKUP('Données projet'!$B$9,Paramètres!$A$1:$I$89,3,0)*0.475*44/12</f>
        <v>41.245180655644845</v>
      </c>
      <c r="AB80" s="21">
        <f>EXP(-LN(2)/2)*AB79+(1-EXP(-LN(2)/2))/(LN(2)/2)*V80*Y80*VLOOKUP('Données projet'!$B$9,Paramètres!$A$1:$I$89,3,0)*0.475*44/12</f>
        <v>33.014911579615038</v>
      </c>
      <c r="AC80" s="22">
        <f t="shared" si="57"/>
        <v>249.09844826963123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65.97171783246786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-5.6843418860808015E-14</v>
      </c>
      <c r="AJ80" s="13">
        <f>AI80*VLOOKUP('Données projet'!$B$10,Paramètres!$A$1:$I$89,3,0)*VLOOKUP('Données projet'!$B$10,Paramètres!$A$1:$I$89,5,0)</f>
        <v>-3.3992364478763198E-14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270.29397440778314</v>
      </c>
      <c r="AO80" s="59">
        <f t="shared" si="90"/>
        <v>281.95928682679596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92.640129757365656</v>
      </c>
      <c r="AV80" s="21">
        <f>EXP(-LN(2)/25)*AV79+(1-EXP(-LN(2)/25))/(LN(2)/25)*Calculateur!AQ80*Calculateur!AS80*VLOOKUP('Données projet'!$B$10,Paramètres!$A$1:$I$89,3,0)*0.475*44/12</f>
        <v>22.556198919124618</v>
      </c>
      <c r="AW80" s="21">
        <f>EXP(-LN(2)/2)*AW79+(1-EXP(-LN(2)/2))/(LN(2)/2)*AQ80*AT80*VLOOKUP('Données projet'!$B$10,Paramètres!$A$1:$I$89,3,0)*0.475*44/12</f>
        <v>8.8285730130016671E-2</v>
      </c>
      <c r="AX80" s="21">
        <f t="shared" si="60"/>
        <v>115.28461440662029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65.97171783246786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9.5237179487179446</v>
      </c>
      <c r="BD80" s="12">
        <f>IF('Données projet'!$A$88&gt;35,BD79+BC80-BL79,IF(A80&lt;'Données projet'!$A$88,$BA$205^A80,IF(A80='Données projet'!$A$88,'Données projet'!$B$88,BD79+BC80-BL79)))</f>
        <v>302.64102564102609</v>
      </c>
      <c r="BE80" s="13">
        <f>BD80*VLOOKUP('Données projet'!$B$11,Paramètres!$A$1:$I$89,3,0)*VLOOKUP('Données projet'!$B$11,Paramètres!$A$1:$I$89,5,0)</f>
        <v>141.63600000000019</v>
      </c>
      <c r="BF80" s="13">
        <f t="shared" si="91"/>
        <v>36.671536328944448</v>
      </c>
      <c r="BG80" s="20">
        <f t="shared" si="61"/>
        <v>310.55229243957859</v>
      </c>
      <c r="BH80" s="59">
        <f t="shared" si="62"/>
        <v>589.11525782529407</v>
      </c>
      <c r="BI80" s="59">
        <f ca="1">AVERAGE(OFFSET($BH$3,0,0,'Données projet'!$E$11+1,1))-AVERAGE(OFFSET($H$3,0,0,'Données projet'!$E$11+1,1))</f>
        <v>308.70979446846718</v>
      </c>
      <c r="BJ80" s="59">
        <f t="shared" si="92"/>
        <v>202.33469175293314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37.163863612823867</v>
      </c>
      <c r="BQ80" s="21">
        <f>EXP(-LN(2)/25)*BQ79+(1-EXP(-LN(2)/25))/(LN(2)/25)*Calculateur!BL80*Calculateur!BN80*VLOOKUP('Données projet'!$B$11,Paramètres!$A$1:$I$89,3,0)*0.475*44/12</f>
        <v>24.022258475773572</v>
      </c>
      <c r="BR80" s="21">
        <f>EXP(-LN(2)/2)*BR79+(1-EXP(-LN(2)/2))/(LN(2)/2)*BL80*BO80*VLOOKUP('Données projet'!$B$11,Paramètres!$A$1:$I$89,3,0)*0.475*44/12</f>
        <v>1.667172709054878</v>
      </c>
      <c r="BS80" s="22">
        <f t="shared" si="63"/>
        <v>62.853294797652325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65.97171783246786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65.97171783246786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65.97171783246786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65.97171783246786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65.97171783246786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65.97171783246786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65.97171783246786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3.1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11.366666666666667</v>
      </c>
      <c r="H81" s="67">
        <f t="shared" si="56"/>
        <v>211.20000000000002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66.041599522184796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369.06880001017635</v>
      </c>
      <c r="T81" s="59">
        <f t="shared" si="88"/>
        <v>331.91233237772281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171.4098825134046</v>
      </c>
      <c r="AA81" s="21">
        <f>EXP(-LN(2)/25)*AA80+(1-EXP(-LN(2)/25))/(LN(2)/25)*Calculateur!V81*Calculateur!X81*VLOOKUP('Données projet'!$B$9,Paramètres!$A$1:$I$89,3,0)*0.475*44/12</f>
        <v>40.117329021626453</v>
      </c>
      <c r="AB81" s="21">
        <f>EXP(-LN(2)/2)*AB80+(1-EXP(-LN(2)/2))/(LN(2)/2)*V81*Y81*VLOOKUP('Données projet'!$B$9,Paramètres!$A$1:$I$89,3,0)*0.475*44/12</f>
        <v>23.345067858220066</v>
      </c>
      <c r="AC81" s="22">
        <f t="shared" si="57"/>
        <v>234.87227939325112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66.041599522184796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-5.6843418860808015E-14</v>
      </c>
      <c r="AJ81" s="13">
        <f>AI81*VLOOKUP('Données projet'!$B$10,Paramètres!$A$1:$I$89,3,0)*VLOOKUP('Données projet'!$B$10,Paramètres!$A$1:$I$89,5,0)</f>
        <v>-3.3992364478763198E-14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270.29397440778314</v>
      </c>
      <c r="AO81" s="59">
        <f t="shared" si="90"/>
        <v>281.95928682679596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90.823513317723467</v>
      </c>
      <c r="AV81" s="21">
        <f>EXP(-LN(2)/25)*AV80+(1-EXP(-LN(2)/25))/(LN(2)/25)*Calculateur!AQ81*Calculateur!AS81*VLOOKUP('Données projet'!$B$10,Paramètres!$A$1:$I$89,3,0)*0.475*44/12</f>
        <v>21.939398473502209</v>
      </c>
      <c r="AW81" s="21">
        <f>EXP(-LN(2)/2)*AW80+(1-EXP(-LN(2)/2))/(LN(2)/2)*AQ81*AT81*VLOOKUP('Données projet'!$B$10,Paramètres!$A$1:$I$89,3,0)*0.475*44/12</f>
        <v>6.2427438456940286E-2</v>
      </c>
      <c r="AX81" s="21">
        <f t="shared" si="60"/>
        <v>112.82533922968261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66.041599522184796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9.5237179487179446</v>
      </c>
      <c r="BD81" s="12">
        <f>IF('Données projet'!$A$88&gt;35,BD80+BC81-BL80,IF(A81&lt;'Données projet'!$A$88,$BA$205^A81,IF(A81='Données projet'!$A$88,'Données projet'!$B$88,BD80+BC81-BL80)))</f>
        <v>312.16474358974403</v>
      </c>
      <c r="BE81" s="13">
        <f>BD81*VLOOKUP('Données projet'!$B$11,Paramètres!$A$1:$I$89,3,0)*VLOOKUP('Données projet'!$B$11,Paramètres!$A$1:$I$89,5,0)</f>
        <v>146.09310000000022</v>
      </c>
      <c r="BF81" s="13">
        <f t="shared" si="91"/>
        <v>37.689369466401502</v>
      </c>
      <c r="BG81" s="20">
        <f t="shared" si="61"/>
        <v>320.08780098731637</v>
      </c>
      <c r="BH81" s="59">
        <f t="shared" si="62"/>
        <v>598.90699923532725</v>
      </c>
      <c r="BI81" s="59">
        <f ca="1">AVERAGE(OFFSET($BH$3,0,0,'Données projet'!$E$11+1,1))-AVERAGE(OFFSET($H$3,0,0,'Données projet'!$E$11+1,1))</f>
        <v>308.70979446846718</v>
      </c>
      <c r="BJ81" s="59">
        <f t="shared" si="92"/>
        <v>202.33469175293314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36.435102915094944</v>
      </c>
      <c r="BQ81" s="21">
        <f>EXP(-LN(2)/25)*BQ80+(1-EXP(-LN(2)/25))/(LN(2)/25)*Calculateur!BL81*Calculateur!BN81*VLOOKUP('Données projet'!$B$11,Paramètres!$A$1:$I$89,3,0)*0.475*44/12</f>
        <v>23.365368554477875</v>
      </c>
      <c r="BR81" s="21">
        <f>EXP(-LN(2)/2)*BR80+(1-EXP(-LN(2)/2))/(LN(2)/2)*BL81*BO81*VLOOKUP('Données projet'!$B$11,Paramètres!$A$1:$I$89,3,0)*0.475*44/12</f>
        <v>1.1788691279818513</v>
      </c>
      <c r="BS81" s="22">
        <f t="shared" si="63"/>
        <v>60.979340597554668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66.041599522184796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66.041599522184796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66.041599522184796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66.041599522184796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66.041599522184796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66.041599522184796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66.041599522184796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3.1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11.366666666666667</v>
      </c>
      <c r="H82" s="67">
        <f t="shared" si="56"/>
        <v>211.20000000000002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66.110268920817191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369.06880001017635</v>
      </c>
      <c r="T82" s="59">
        <f t="shared" si="88"/>
        <v>331.91233237772281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168.04863926702163</v>
      </c>
      <c r="AA82" s="21">
        <f>EXP(-LN(2)/25)*AA81+(1-EXP(-LN(2)/25))/(LN(2)/25)*Calculateur!V82*Calculateur!X82*VLOOKUP('Données projet'!$B$9,Paramètres!$A$1:$I$89,3,0)*0.475*44/12</f>
        <v>39.020318549851432</v>
      </c>
      <c r="AB82" s="21">
        <f>EXP(-LN(2)/2)*AB81+(1-EXP(-LN(2)/2))/(LN(2)/2)*V82*Y82*VLOOKUP('Données projet'!$B$9,Paramètres!$A$1:$I$89,3,0)*0.475*44/12</f>
        <v>16.507455789807523</v>
      </c>
      <c r="AC82" s="22">
        <f t="shared" si="57"/>
        <v>223.57641360668057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66.110268920817191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-5.6843418860808015E-14</v>
      </c>
      <c r="AJ82" s="13">
        <f>AI82*VLOOKUP('Données projet'!$B$10,Paramètres!$A$1:$I$89,3,0)*VLOOKUP('Données projet'!$B$10,Paramètres!$A$1:$I$89,5,0)</f>
        <v>-3.3992364478763198E-14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270.29397440778314</v>
      </c>
      <c r="AO82" s="59">
        <f t="shared" si="90"/>
        <v>281.95928682679596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89.042519618436046</v>
      </c>
      <c r="AV82" s="21">
        <f>EXP(-LN(2)/25)*AV81+(1-EXP(-LN(2)/25))/(LN(2)/25)*Calculateur!AQ82*Calculateur!AS82*VLOOKUP('Données projet'!$B$10,Paramètres!$A$1:$I$89,3,0)*0.475*44/12</f>
        <v>21.339464468501468</v>
      </c>
      <c r="AW82" s="21">
        <f>EXP(-LN(2)/2)*AW81+(1-EXP(-LN(2)/2))/(LN(2)/2)*AQ82*AT82*VLOOKUP('Données projet'!$B$10,Paramètres!$A$1:$I$89,3,0)*0.475*44/12</f>
        <v>4.4142865065008342E-2</v>
      </c>
      <c r="AX82" s="21">
        <f t="shared" si="60"/>
        <v>110.42612695200252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66.110268920817191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9.5237179487179446</v>
      </c>
      <c r="BD82" s="12">
        <f>IF('Données projet'!$A$88&gt;35,BD81+BC82-BL81,IF(A82&lt;'Données projet'!$A$88,$BA$205^A82,IF(A82='Données projet'!$A$88,'Données projet'!$B$88,BD81+BC82-BL81)))</f>
        <v>321.68846153846198</v>
      </c>
      <c r="BE82" s="13">
        <f>BD82*VLOOKUP('Données projet'!$B$11,Paramètres!$A$1:$I$89,3,0)*VLOOKUP('Données projet'!$B$11,Paramètres!$A$1:$I$89,5,0)</f>
        <v>150.55020000000022</v>
      </c>
      <c r="BF82" s="13">
        <f t="shared" si="91"/>
        <v>38.703593889379846</v>
      </c>
      <c r="BG82" s="20">
        <f t="shared" si="61"/>
        <v>329.6170243573369</v>
      </c>
      <c r="BH82" s="59">
        <f t="shared" si="62"/>
        <v>608.68801040033327</v>
      </c>
      <c r="BI82" s="59">
        <f ca="1">AVERAGE(OFFSET($BH$3,0,0,'Données projet'!$E$11+1,1))-AVERAGE(OFFSET($H$3,0,0,'Données projet'!$E$11+1,1))</f>
        <v>308.70979446846718</v>
      </c>
      <c r="BJ82" s="59">
        <f t="shared" si="92"/>
        <v>202.33469175293314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35.720632770148349</v>
      </c>
      <c r="BQ82" s="21">
        <f>EXP(-LN(2)/25)*BQ81+(1-EXP(-LN(2)/25))/(LN(2)/25)*Calculateur!BL82*Calculateur!BN82*VLOOKUP('Données projet'!$B$11,Paramètres!$A$1:$I$89,3,0)*0.475*44/12</f>
        <v>22.726441322624346</v>
      </c>
      <c r="BR82" s="21">
        <f>EXP(-LN(2)/2)*BR81+(1-EXP(-LN(2)/2))/(LN(2)/2)*BL82*BO82*VLOOKUP('Données projet'!$B$11,Paramètres!$A$1:$I$89,3,0)*0.475*44/12</f>
        <v>0.83358635452743901</v>
      </c>
      <c r="BS82" s="22">
        <f t="shared" si="63"/>
        <v>59.280660447300136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66.110268920817191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66.110268920817191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66.110268920817191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66.110268920817191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66.110268920817191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66.110268920817191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66.110268920817191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3.1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11.366666666666667</v>
      </c>
      <c r="H83" s="67">
        <f t="shared" si="56"/>
        <v>211.20000000000002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66.177747058905098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369.06880001017635</v>
      </c>
      <c r="T83" s="59">
        <f t="shared" si="88"/>
        <v>331.91233237772281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164.7533079505443</v>
      </c>
      <c r="AA83" s="21">
        <f>EXP(-LN(2)/25)*AA82+(1-EXP(-LN(2)/25))/(LN(2)/25)*Calculateur!V83*Calculateur!X83*VLOOKUP('Données projet'!$B$9,Paramètres!$A$1:$I$89,3,0)*0.475*44/12</f>
        <v>37.953305887116372</v>
      </c>
      <c r="AB83" s="21">
        <f>EXP(-LN(2)/2)*AB82+(1-EXP(-LN(2)/2))/(LN(2)/2)*V83*Y83*VLOOKUP('Données projet'!$B$9,Paramètres!$A$1:$I$89,3,0)*0.475*44/12</f>
        <v>11.672533929110037</v>
      </c>
      <c r="AC83" s="22">
        <f t="shared" si="57"/>
        <v>214.3791477667707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66.177747058905098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-5.6843418860808015E-14</v>
      </c>
      <c r="AJ83" s="13">
        <f>AI83*VLOOKUP('Données projet'!$B$10,Paramètres!$A$1:$I$89,3,0)*VLOOKUP('Données projet'!$B$10,Paramètres!$A$1:$I$89,5,0)</f>
        <v>-3.3992364478763198E-14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270.29397440778314</v>
      </c>
      <c r="AO83" s="59">
        <f t="shared" si="90"/>
        <v>281.95928682679596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87.296450119292757</v>
      </c>
      <c r="AV83" s="21">
        <f>EXP(-LN(2)/25)*AV82+(1-EXP(-LN(2)/25))/(LN(2)/25)*Calculateur!AQ83*Calculateur!AS83*VLOOKUP('Données projet'!$B$10,Paramètres!$A$1:$I$89,3,0)*0.475*44/12</f>
        <v>20.755935690416631</v>
      </c>
      <c r="AW83" s="21">
        <f>EXP(-LN(2)/2)*AW82+(1-EXP(-LN(2)/2))/(LN(2)/2)*AQ83*AT83*VLOOKUP('Données projet'!$B$10,Paramètres!$A$1:$I$89,3,0)*0.475*44/12</f>
        <v>3.121371922847015E-2</v>
      </c>
      <c r="AX83" s="21">
        <f t="shared" si="60"/>
        <v>108.08359952893787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66.177747058905098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9.5237179487179446</v>
      </c>
      <c r="BD83" s="12">
        <f>IF('Données projet'!$A$88&gt;35,BD82+BC83-BL82,IF(A83&lt;'Données projet'!$A$88,$BA$205^A83,IF(A83='Données projet'!$A$88,'Données projet'!$B$88,BD82+BC83-BL82)))</f>
        <v>331.21217948717992</v>
      </c>
      <c r="BE83" s="13">
        <f>BD83*VLOOKUP('Données projet'!$B$11,Paramètres!$A$1:$I$89,3,0)*VLOOKUP('Données projet'!$B$11,Paramètres!$A$1:$I$89,5,0)</f>
        <v>155.00730000000019</v>
      </c>
      <c r="BF83" s="13">
        <f t="shared" si="91"/>
        <v>39.714328701221518</v>
      </c>
      <c r="BG83" s="20">
        <f t="shared" si="61"/>
        <v>339.14016998796109</v>
      </c>
      <c r="BH83" s="59">
        <f t="shared" si="62"/>
        <v>618.45857587061312</v>
      </c>
      <c r="BI83" s="59">
        <f ca="1">AVERAGE(OFFSET($BH$3,0,0,'Données projet'!$E$11+1,1))-AVERAGE(OFFSET($H$3,0,0,'Données projet'!$E$11+1,1))</f>
        <v>308.70979446846718</v>
      </c>
      <c r="BJ83" s="59">
        <f t="shared" si="92"/>
        <v>202.33469175293314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35.020172948960401</v>
      </c>
      <c r="BQ83" s="21">
        <f>EXP(-LN(2)/25)*BQ82+(1-EXP(-LN(2)/25))/(LN(2)/25)*Calculateur!BL83*Calculateur!BN83*VLOOKUP('Données projet'!$B$11,Paramètres!$A$1:$I$89,3,0)*0.475*44/12</f>
        <v>22.104985589525576</v>
      </c>
      <c r="BR83" s="21">
        <f>EXP(-LN(2)/2)*BR82+(1-EXP(-LN(2)/2))/(LN(2)/2)*BL83*BO83*VLOOKUP('Données projet'!$B$11,Paramètres!$A$1:$I$89,3,0)*0.475*44/12</f>
        <v>0.58943456399092564</v>
      </c>
      <c r="BS83" s="22">
        <f t="shared" si="63"/>
        <v>57.714593102476904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66.177747058905098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66.177747058905098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66.177747058905098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66.177747058905098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66.177747058905098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66.177747058905098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66.177747058905098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3.1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11.366666666666667</v>
      </c>
      <c r="H84" s="67">
        <f t="shared" si="56"/>
        <v>211.20000000000002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66.2440546021557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369.06880001017635</v>
      </c>
      <c r="T84" s="59">
        <f t="shared" si="88"/>
        <v>331.91233237772281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161.52259607122946</v>
      </c>
      <c r="AA84" s="21">
        <f>EXP(-LN(2)/25)*AA83+(1-EXP(-LN(2)/25))/(LN(2)/25)*Calculateur!V84*Calculateur!X84*VLOOKUP('Données projet'!$B$9,Paramètres!$A$1:$I$89,3,0)*0.475*44/12</f>
        <v>36.915470741755563</v>
      </c>
      <c r="AB84" s="21">
        <f>EXP(-LN(2)/2)*AB83+(1-EXP(-LN(2)/2))/(LN(2)/2)*V84*Y84*VLOOKUP('Données projet'!$B$9,Paramètres!$A$1:$I$89,3,0)*0.475*44/12</f>
        <v>8.2537278949037631</v>
      </c>
      <c r="AC84" s="22">
        <f t="shared" si="57"/>
        <v>206.69179470788879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66.2440546021557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-5.6843418860808015E-14</v>
      </c>
      <c r="AJ84" s="13">
        <f>AI84*VLOOKUP('Données projet'!$B$10,Paramètres!$A$1:$I$89,3,0)*VLOOKUP('Données projet'!$B$10,Paramètres!$A$1:$I$89,5,0)</f>
        <v>-3.3992364478763198E-14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270.29397440778314</v>
      </c>
      <c r="AO84" s="59">
        <f t="shared" si="90"/>
        <v>281.95928682679596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85.584619978030432</v>
      </c>
      <c r="AV84" s="21">
        <f>EXP(-LN(2)/25)*AV83+(1-EXP(-LN(2)/25))/(LN(2)/25)*Calculateur!AQ84*Calculateur!AS84*VLOOKUP('Données projet'!$B$10,Paramètres!$A$1:$I$89,3,0)*0.475*44/12</f>
        <v>20.188363537454968</v>
      </c>
      <c r="AW84" s="21">
        <f>EXP(-LN(2)/2)*AW83+(1-EXP(-LN(2)/2))/(LN(2)/2)*AQ84*AT84*VLOOKUP('Données projet'!$B$10,Paramètres!$A$1:$I$89,3,0)*0.475*44/12</f>
        <v>2.2071432532504175E-2</v>
      </c>
      <c r="AX84" s="21">
        <f t="shared" si="60"/>
        <v>105.79505494801791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66.2440546021557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9.5237179487179446</v>
      </c>
      <c r="BD84" s="12">
        <f>IF('Données projet'!$A$88&gt;35,BD83+BC84-BL83,IF(A84&lt;'Données projet'!$A$88,$BA$205^A84,IF(A84='Données projet'!$A$88,'Données projet'!$B$88,BD83+BC84-BL83)))</f>
        <v>340.73589743589787</v>
      </c>
      <c r="BE84" s="13">
        <f>BD84*VLOOKUP('Données projet'!$B$11,Paramètres!$A$1:$I$89,3,0)*VLOOKUP('Données projet'!$B$11,Paramètres!$A$1:$I$89,5,0)</f>
        <v>159.46440000000021</v>
      </c>
      <c r="BF84" s="13">
        <f t="shared" si="91"/>
        <v>40.721685766303303</v>
      </c>
      <c r="BG84" s="20">
        <f t="shared" si="61"/>
        <v>348.65743270964526</v>
      </c>
      <c r="BH84" s="59">
        <f t="shared" si="62"/>
        <v>628.21896625088289</v>
      </c>
      <c r="BI84" s="59">
        <f ca="1">AVERAGE(OFFSET($BH$3,0,0,'Données projet'!$E$11+1,1))-AVERAGE(OFFSET($H$3,0,0,'Données projet'!$E$11+1,1))</f>
        <v>308.70979446846718</v>
      </c>
      <c r="BJ84" s="59">
        <f t="shared" si="92"/>
        <v>202.33469175293314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34.33344871762764</v>
      </c>
      <c r="BQ84" s="21">
        <f>EXP(-LN(2)/25)*BQ83+(1-EXP(-LN(2)/25))/(LN(2)/25)*Calculateur!BL84*Calculateur!BN84*VLOOKUP('Données projet'!$B$11,Paramètres!$A$1:$I$89,3,0)*0.475*44/12</f>
        <v>21.50052359612933</v>
      </c>
      <c r="BR84" s="21">
        <f>EXP(-LN(2)/2)*BR83+(1-EXP(-LN(2)/2))/(LN(2)/2)*BL84*BO84*VLOOKUP('Données projet'!$B$11,Paramètres!$A$1:$I$89,3,0)*0.475*44/12</f>
        <v>0.41679317726371951</v>
      </c>
      <c r="BS84" s="22">
        <f t="shared" si="63"/>
        <v>56.250765491020694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66.2440546021557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66.2440546021557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66.2440546021557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66.2440546021557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66.2440546021557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66.2440546021557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66.2440546021557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3.1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11.366666666666667</v>
      </c>
      <c r="H85" s="67">
        <f t="shared" si="56"/>
        <v>211.20000000000002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66.309211857772354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369.06880001017635</v>
      </c>
      <c r="T85" s="59">
        <f t="shared" si="88"/>
        <v>331.91233237772281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158.35523648132829</v>
      </c>
      <c r="AA85" s="21">
        <f>EXP(-LN(2)/25)*AA84+(1-EXP(-LN(2)/25))/(LN(2)/25)*Calculateur!V85*Calculateur!X85*VLOOKUP('Données projet'!$B$9,Paramètres!$A$1:$I$89,3,0)*0.475*44/12</f>
        <v>35.906015253022019</v>
      </c>
      <c r="AB85" s="21">
        <f>EXP(-LN(2)/2)*AB84+(1-EXP(-LN(2)/2))/(LN(2)/2)*V85*Y85*VLOOKUP('Données projet'!$B$9,Paramètres!$A$1:$I$89,3,0)*0.475*44/12</f>
        <v>5.8362669645550191</v>
      </c>
      <c r="AC85" s="22">
        <f t="shared" si="57"/>
        <v>200.09751869890533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66.309211857772354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-5.6843418860808015E-14</v>
      </c>
      <c r="AJ85" s="13">
        <f>AI85*VLOOKUP('Données projet'!$B$10,Paramètres!$A$1:$I$89,3,0)*VLOOKUP('Données projet'!$B$10,Paramètres!$A$1:$I$89,5,0)</f>
        <v>-3.3992364478763198E-14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270.29397440778314</v>
      </c>
      <c r="AO85" s="59">
        <f t="shared" si="90"/>
        <v>281.95928682679596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83.906357781724978</v>
      </c>
      <c r="AV85" s="21">
        <f>EXP(-LN(2)/25)*AV84+(1-EXP(-LN(2)/25))/(LN(2)/25)*Calculateur!AQ85*Calculateur!AS85*VLOOKUP('Données projet'!$B$10,Paramètres!$A$1:$I$89,3,0)*0.475*44/12</f>
        <v>19.636311674863364</v>
      </c>
      <c r="AW85" s="21">
        <f>EXP(-LN(2)/2)*AW84+(1-EXP(-LN(2)/2))/(LN(2)/2)*AQ85*AT85*VLOOKUP('Données projet'!$B$10,Paramètres!$A$1:$I$89,3,0)*0.475*44/12</f>
        <v>1.5606859614235077E-2</v>
      </c>
      <c r="AX85" s="21">
        <f t="shared" si="60"/>
        <v>103.55827631620258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66.309211857772354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9.5237179487179446</v>
      </c>
      <c r="BD85" s="12">
        <f>IF('Données projet'!$A$88&gt;35,BD84+BC85-BL84,IF(A85&lt;'Données projet'!$A$88,$BA$205^A85,IF(A85='Données projet'!$A$88,'Données projet'!$B$88,BD84+BC85-BL84)))</f>
        <v>350.25961538461581</v>
      </c>
      <c r="BE85" s="13">
        <f>BD85*VLOOKUP('Données projet'!$B$11,Paramètres!$A$1:$I$89,3,0)*VLOOKUP('Données projet'!$B$11,Paramètres!$A$1:$I$89,5,0)</f>
        <v>163.92150000000018</v>
      </c>
      <c r="BF85" s="13">
        <f t="shared" si="91"/>
        <v>41.725770339892605</v>
      </c>
      <c r="BG85" s="20">
        <f t="shared" si="61"/>
        <v>358.16899584197989</v>
      </c>
      <c r="BH85" s="59">
        <f t="shared" si="62"/>
        <v>637.9694393204785</v>
      </c>
      <c r="BI85" s="59">
        <f ca="1">AVERAGE(OFFSET($BH$3,0,0,'Données projet'!$E$11+1,1))-AVERAGE(OFFSET($H$3,0,0,'Données projet'!$E$11+1,1))</f>
        <v>308.70979446846718</v>
      </c>
      <c r="BJ85" s="59">
        <f t="shared" si="92"/>
        <v>202.33469175293314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33.660190729610896</v>
      </c>
      <c r="BQ85" s="21">
        <f>EXP(-LN(2)/25)*BQ84+(1-EXP(-LN(2)/25))/(LN(2)/25)*Calculateur!BL85*Calculateur!BN85*VLOOKUP('Données projet'!$B$11,Paramètres!$A$1:$I$89,3,0)*0.475*44/12</f>
        <v>20.912590647729779</v>
      </c>
      <c r="BR85" s="21">
        <f>EXP(-LN(2)/2)*BR84+(1-EXP(-LN(2)/2))/(LN(2)/2)*BL85*BO85*VLOOKUP('Données projet'!$B$11,Paramètres!$A$1:$I$89,3,0)*0.475*44/12</f>
        <v>0.29471728199546282</v>
      </c>
      <c r="BS85" s="22">
        <f t="shared" si="63"/>
        <v>54.867498659336135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66.309211857772354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66.309211857772354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66.309211857772354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66.309211857772354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66.309211857772354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66.309211857772354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66.309211857772354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3.1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11.366666666666667</v>
      </c>
      <c r="H86" s="67">
        <f t="shared" si="56"/>
        <v>211.20000000000002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66.373238780673859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369.06880001017635</v>
      </c>
      <c r="T86" s="59">
        <f t="shared" si="88"/>
        <v>331.91233237772281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155.2499868810865</v>
      </c>
      <c r="AA86" s="21">
        <f>EXP(-LN(2)/25)*AA85+(1-EXP(-LN(2)/25))/(LN(2)/25)*Calculateur!V86*Calculateur!X86*VLOOKUP('Données projet'!$B$9,Paramètres!$A$1:$I$89,3,0)*0.475*44/12</f>
        <v>34.924163377712851</v>
      </c>
      <c r="AB86" s="21">
        <f>EXP(-LN(2)/2)*AB85+(1-EXP(-LN(2)/2))/(LN(2)/2)*V86*Y86*VLOOKUP('Données projet'!$B$9,Paramètres!$A$1:$I$89,3,0)*0.475*44/12</f>
        <v>4.1268639474518825</v>
      </c>
      <c r="AC86" s="22">
        <f t="shared" si="57"/>
        <v>194.30101420625124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66.373238780673859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-5.6843418860808015E-14</v>
      </c>
      <c r="AJ86" s="13">
        <f>AI86*VLOOKUP('Données projet'!$B$10,Paramètres!$A$1:$I$89,3,0)*VLOOKUP('Données projet'!$B$10,Paramètres!$A$1:$I$89,5,0)</f>
        <v>-3.3992364478763198E-14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270.29397440778314</v>
      </c>
      <c r="AO86" s="59">
        <f t="shared" si="90"/>
        <v>281.95928682679596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82.261005283450203</v>
      </c>
      <c r="AV86" s="21">
        <f>EXP(-LN(2)/25)*AV85+(1-EXP(-LN(2)/25))/(LN(2)/25)*Calculateur!AQ86*Calculateur!AS86*VLOOKUP('Données projet'!$B$10,Paramètres!$A$1:$I$89,3,0)*0.475*44/12</f>
        <v>19.099355699485475</v>
      </c>
      <c r="AW86" s="21">
        <f>EXP(-LN(2)/2)*AW85+(1-EXP(-LN(2)/2))/(LN(2)/2)*AQ86*AT86*VLOOKUP('Données projet'!$B$10,Paramètres!$A$1:$I$89,3,0)*0.475*44/12</f>
        <v>1.1035716266252089E-2</v>
      </c>
      <c r="AX86" s="21">
        <f t="shared" si="60"/>
        <v>101.37139669920192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66.373238780673859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9.5237179487179446</v>
      </c>
      <c r="BD86" s="12">
        <f>IF('Données projet'!$A$88&gt;35,BD85+BC86-BL85,IF(A86&lt;'Données projet'!$A$88,$BA$205^A86,IF(A86='Données projet'!$A$88,'Données projet'!$B$88,BD85+BC86-BL85)))</f>
        <v>359.78333333333376</v>
      </c>
      <c r="BE86" s="13">
        <f>BD86*VLOOKUP('Données projet'!$B$11,Paramètres!$A$1:$I$89,3,0)*VLOOKUP('Données projet'!$B$11,Paramètres!$A$1:$I$89,5,0)</f>
        <v>168.3786000000002</v>
      </c>
      <c r="BF86" s="13">
        <f t="shared" si="91"/>
        <v>42.726681627572944</v>
      </c>
      <c r="BG86" s="20">
        <f t="shared" si="61"/>
        <v>367.67503216802317</v>
      </c>
      <c r="BH86" s="59">
        <f t="shared" si="62"/>
        <v>647.71024103049399</v>
      </c>
      <c r="BI86" s="59">
        <f ca="1">AVERAGE(OFFSET($BH$3,0,0,'Données projet'!$E$11+1,1))-AVERAGE(OFFSET($H$3,0,0,'Données projet'!$E$11+1,1))</f>
        <v>308.70979446846718</v>
      </c>
      <c r="BJ86" s="59">
        <f t="shared" si="92"/>
        <v>202.33469175293314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33.000134920092336</v>
      </c>
      <c r="BQ86" s="21">
        <f>EXP(-LN(2)/25)*BQ85+(1-EXP(-LN(2)/25))/(LN(2)/25)*Calculateur!BL86*Calculateur!BN86*VLOOKUP('Données projet'!$B$11,Paramètres!$A$1:$I$89,3,0)*0.475*44/12</f>
        <v>20.340734756722263</v>
      </c>
      <c r="BR86" s="21">
        <f>EXP(-LN(2)/2)*BR85+(1-EXP(-LN(2)/2))/(LN(2)/2)*BL86*BO86*VLOOKUP('Données projet'!$B$11,Paramètres!$A$1:$I$89,3,0)*0.475*44/12</f>
        <v>0.20839658863185975</v>
      </c>
      <c r="BS86" s="22">
        <f t="shared" si="63"/>
        <v>53.549266265446455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66.373238780673859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66.373238780673859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66.373238780673859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66.373238780673859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66.373238780673859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66.373238780673859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66.373238780673859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3.1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11.366666666666667</v>
      </c>
      <c r="H87" s="67">
        <f t="shared" si="56"/>
        <v>211.20000000000002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66.436154979605789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369.06880001017635</v>
      </c>
      <c r="T87" s="59">
        <f t="shared" si="88"/>
        <v>331.91233237772281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152.20562933149023</v>
      </c>
      <c r="AA87" s="21">
        <f>EXP(-LN(2)/25)*AA86+(1-EXP(-LN(2)/25))/(LN(2)/25)*Calculateur!V87*Calculateur!X87*VLOOKUP('Données projet'!$B$9,Paramètres!$A$1:$I$89,3,0)*0.475*44/12</f>
        <v>33.969160293567363</v>
      </c>
      <c r="AB87" s="21">
        <f>EXP(-LN(2)/2)*AB86+(1-EXP(-LN(2)/2))/(LN(2)/2)*V87*Y87*VLOOKUP('Données projet'!$B$9,Paramètres!$A$1:$I$89,3,0)*0.475*44/12</f>
        <v>2.91813348227751</v>
      </c>
      <c r="AC87" s="22">
        <f t="shared" si="57"/>
        <v>189.09292310733511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66.436154979605789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-5.6843418860808015E-14</v>
      </c>
      <c r="AJ87" s="13">
        <f>AI87*VLOOKUP('Données projet'!$B$10,Paramètres!$A$1:$I$89,3,0)*VLOOKUP('Données projet'!$B$10,Paramètres!$A$1:$I$89,5,0)</f>
        <v>-3.3992364478763198E-14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270.29397440778314</v>
      </c>
      <c r="AO87" s="59">
        <f t="shared" si="90"/>
        <v>281.95928682679596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80.647917144100674</v>
      </c>
      <c r="AV87" s="21">
        <f>EXP(-LN(2)/25)*AV86+(1-EXP(-LN(2)/25))/(LN(2)/25)*Calculateur!AQ87*Calculateur!AS87*VLOOKUP('Données projet'!$B$10,Paramètres!$A$1:$I$89,3,0)*0.475*44/12</f>
        <v>18.577082813491579</v>
      </c>
      <c r="AW87" s="21">
        <f>EXP(-LN(2)/2)*AW86+(1-EXP(-LN(2)/2))/(LN(2)/2)*AQ87*AT87*VLOOKUP('Données projet'!$B$10,Paramètres!$A$1:$I$89,3,0)*0.475*44/12</f>
        <v>7.8034298071175401E-3</v>
      </c>
      <c r="AX87" s="21">
        <f t="shared" si="60"/>
        <v>99.232803387399358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66.436154979605789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9.5237179487179446</v>
      </c>
      <c r="BD87" s="12">
        <f>IF('Données projet'!$A$88&gt;35,BD86+BC87-BL86,IF(A87&lt;'Données projet'!$A$88,$BA$205^A87,IF(A87='Données projet'!$A$88,'Données projet'!$B$88,BD86+BC87-BL86)))</f>
        <v>369.3070512820517</v>
      </c>
      <c r="BE87" s="13">
        <f>BD87*VLOOKUP('Données projet'!$B$11,Paramètres!$A$1:$I$89,3,0)*VLOOKUP('Données projet'!$B$11,Paramètres!$A$1:$I$89,5,0)</f>
        <v>172.83570000000017</v>
      </c>
      <c r="BF87" s="13">
        <f t="shared" si="91"/>
        <v>43.724513283769518</v>
      </c>
      <c r="BG87" s="20">
        <f t="shared" si="61"/>
        <v>377.17570480256546</v>
      </c>
      <c r="BH87" s="59">
        <f t="shared" si="62"/>
        <v>657.4416063944534</v>
      </c>
      <c r="BI87" s="59">
        <f ca="1">AVERAGE(OFFSET($BH$3,0,0,'Données projet'!$E$11+1,1))-AVERAGE(OFFSET($H$3,0,0,'Données projet'!$E$11+1,1))</f>
        <v>308.70979446846718</v>
      </c>
      <c r="BJ87" s="59">
        <f t="shared" si="92"/>
        <v>202.33469175293314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32.353022402404143</v>
      </c>
      <c r="BQ87" s="21">
        <f>EXP(-LN(2)/25)*BQ86+(1-EXP(-LN(2)/25))/(LN(2)/25)*Calculateur!BL87*Calculateur!BN87*VLOOKUP('Données projet'!$B$11,Paramètres!$A$1:$I$89,3,0)*0.475*44/12</f>
        <v>19.784516295126942</v>
      </c>
      <c r="BR87" s="21">
        <f>EXP(-LN(2)/2)*BR86+(1-EXP(-LN(2)/2))/(LN(2)/2)*BL87*BO87*VLOOKUP('Données projet'!$B$11,Paramètres!$A$1:$I$89,3,0)*0.475*44/12</f>
        <v>0.14735864099773141</v>
      </c>
      <c r="BS87" s="22">
        <f t="shared" si="63"/>
        <v>52.284897338528815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66.436154979605789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66.436154979605789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66.436154979605789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66.436154979605789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66.436154979605789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66.436154979605789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66.436154979605789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3.1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11.366666666666667</v>
      </c>
      <c r="H88" s="67">
        <f t="shared" si="56"/>
        <v>211.20000000000002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66.497979723145789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369.06880001017635</v>
      </c>
      <c r="T88" s="59">
        <f t="shared" si="88"/>
        <v>331.91233237772281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149.22096977656679</v>
      </c>
      <c r="AA88" s="21">
        <f>EXP(-LN(2)/25)*AA87+(1-EXP(-LN(2)/25))/(LN(2)/25)*Calculateur!V88*Calculateur!X88*VLOOKUP('Données projet'!$B$9,Paramètres!$A$1:$I$89,3,0)*0.475*44/12</f>
        <v>33.040271818979264</v>
      </c>
      <c r="AB88" s="21">
        <f>EXP(-LN(2)/2)*AB87+(1-EXP(-LN(2)/2))/(LN(2)/2)*V88*Y88*VLOOKUP('Données projet'!$B$9,Paramètres!$A$1:$I$89,3,0)*0.475*44/12</f>
        <v>2.0634319737259412</v>
      </c>
      <c r="AC88" s="22">
        <f t="shared" si="57"/>
        <v>184.32467356927199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66.497979723145789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-5.6843418860808015E-14</v>
      </c>
      <c r="AJ88" s="13">
        <f>AI88*VLOOKUP('Données projet'!$B$10,Paramètres!$A$1:$I$89,3,0)*VLOOKUP('Données projet'!$B$10,Paramètres!$A$1:$I$89,5,0)</f>
        <v>-3.3992364478763198E-14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270.29397440778314</v>
      </c>
      <c r="AO88" s="59">
        <f t="shared" si="90"/>
        <v>281.95928682679596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79.066460679277171</v>
      </c>
      <c r="AV88" s="21">
        <f>EXP(-LN(2)/25)*AV87+(1-EXP(-LN(2)/25))/(LN(2)/25)*Calculateur!AQ88*Calculateur!AS88*VLOOKUP('Données projet'!$B$10,Paramètres!$A$1:$I$89,3,0)*0.475*44/12</f>
        <v>18.069091507030326</v>
      </c>
      <c r="AW88" s="21">
        <f>EXP(-LN(2)/2)*AW87+(1-EXP(-LN(2)/2))/(LN(2)/2)*AQ88*AT88*VLOOKUP('Données projet'!$B$10,Paramètres!$A$1:$I$89,3,0)*0.475*44/12</f>
        <v>5.5178581331260454E-3</v>
      </c>
      <c r="AX88" s="21">
        <f t="shared" si="60"/>
        <v>97.141070044440625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66.497979723145789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378.83076923076919</v>
      </c>
      <c r="BB88" s="12">
        <f>VLOOKUP(A88,'Données projet'!$A$87:$I$107,9,0)</f>
        <v>9.5237179487179446</v>
      </c>
      <c r="BC88" s="12">
        <f t="array" ref="BC88">INDEX(BB:BB,MIN(IF(ISNUMBER(BB88:BB284),ROW(BB88:BB284),"")))</f>
        <v>9.5237179487179446</v>
      </c>
      <c r="BD88" s="12">
        <f>IF('Données projet'!$A$88&gt;35,BD87+BC88-BL87,IF(A88&lt;'Données projet'!$A$88,$BA$205^A88,IF(A88='Données projet'!$A$88,'Données projet'!$B$88,BD87+BC88-BL87)))</f>
        <v>378.83076923076965</v>
      </c>
      <c r="BE88" s="13">
        <f>BD88*VLOOKUP('Données projet'!$B$11,Paramètres!$A$1:$I$89,3,0)*VLOOKUP('Données projet'!$B$11,Paramètres!$A$1:$I$89,5,0)</f>
        <v>177.2928000000002</v>
      </c>
      <c r="BF88" s="13">
        <f t="shared" si="91"/>
        <v>44.719353857403945</v>
      </c>
      <c r="BG88" s="20">
        <f t="shared" si="61"/>
        <v>386.67116796831215</v>
      </c>
      <c r="BH88" s="59">
        <f t="shared" si="62"/>
        <v>667.16376028651337</v>
      </c>
      <c r="BI88" s="59">
        <f ca="1">AVERAGE(OFFSET($BH$3,0,0,'Données projet'!$E$11+1,1))-AVERAGE(OFFSET($H$3,0,0,'Données projet'!$E$11+1,1))</f>
        <v>308.70979446846718</v>
      </c>
      <c r="BJ88" s="59">
        <f t="shared" si="92"/>
        <v>202.33469175293314</v>
      </c>
      <c r="BK88" s="15">
        <f>IF(ISNA(VLOOKUP(A88,'Données projet'!$A$87:$I$107,3,0)),0,VLOOKUP(A88,'Données projet'!$A$87:$I$107,3,0))</f>
        <v>4</v>
      </c>
      <c r="BL88" s="15">
        <f>IF(ISNA(VLOOKUP(A88,'Données projet'!$A$87:$I$107,4,0)),0,VLOOKUP(A88,'Données projet'!$A$87:$I$107,4,0))</f>
        <v>85.207692307692298</v>
      </c>
      <c r="BM88" s="16">
        <f>IF(ISNA(VLOOKUP(A88,'Données projet'!$A$87:$I$107,5,0)),0%,VLOOKUP(A88,'Données projet'!$A$87:$I$107,5,0)*VLOOKUP('Données projet'!$B$11,Paramètres!$A$1:$I$89,7,0))</f>
        <v>0.38500000000000001</v>
      </c>
      <c r="BN88" s="16">
        <f>IF(ISNA(VLOOKUP(A88,'Données projet'!$A$87:$I$107,6,0)),0%,VLOOKUP(A88,'Données projet'!$A$87:$I$107,6,0)*VLOOKUP('Données projet'!$B$11,Paramètres!$A$1:$I$89,7,0))</f>
        <v>9.240000000000001E-2</v>
      </c>
      <c r="BO88" s="16">
        <f>IF(ISNA(VLOOKUP(A88,'Données projet'!$A$87:$I$107,7,0)),0%,VLOOKUP(A88,'Données projet'!$A$87:$I$107,7,0))</f>
        <v>0.13200000000000001</v>
      </c>
      <c r="BP88" s="21">
        <f>EXP(-LN(2)/35)*BP87+(1-EXP(-LN(2)/35))/(LN(2)/35)*BL88*BM88*VLOOKUP('Données projet'!$B$11,Paramètres!$A$1:$I$89,3,0)*0.475*44/12</f>
        <v>52.084974665932798</v>
      </c>
      <c r="BQ88" s="21">
        <f>EXP(-LN(2)/25)*BQ87+(1-EXP(-LN(2)/25))/(LN(2)/25)*Calculateur!BL88*Calculateur!BN88*VLOOKUP('Données projet'!$B$11,Paramètres!$A$1:$I$89,3,0)*0.475*44/12</f>
        <v>24.11219208534061</v>
      </c>
      <c r="BR88" s="21">
        <f>EXP(-LN(2)/2)*BR87+(1-EXP(-LN(2)/2))/(LN(2)/2)*BL88*BO88*VLOOKUP('Données projet'!$B$11,Paramètres!$A$1:$I$89,3,0)*0.475*44/12</f>
        <v>6.0640317926056841</v>
      </c>
      <c r="BS88" s="22">
        <f t="shared" si="63"/>
        <v>82.261198543879104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66.497979723145789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66.497979723145789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66.497979723145789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66.497979723145789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66.497979723145789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66.497979723145789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66.497979723145789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3.1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11.366666666666667</v>
      </c>
      <c r="H89" s="67">
        <f t="shared" si="56"/>
        <v>211.20000000000002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66.558731945604791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369.06880001017635</v>
      </c>
      <c r="T89" s="59">
        <f t="shared" si="88"/>
        <v>331.91233237772281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146.29483757505281</v>
      </c>
      <c r="AA89" s="21">
        <f>EXP(-LN(2)/25)*AA88+(1-EXP(-LN(2)/25))/(LN(2)/25)*Calculateur!V89*Calculateur!X89*VLOOKUP('Données projet'!$B$9,Paramètres!$A$1:$I$89,3,0)*0.475*44/12</f>
        <v>32.136783848576897</v>
      </c>
      <c r="AB89" s="21">
        <f>EXP(-LN(2)/2)*AB88+(1-EXP(-LN(2)/2))/(LN(2)/2)*V89*Y89*VLOOKUP('Données projet'!$B$9,Paramètres!$A$1:$I$89,3,0)*0.475*44/12</f>
        <v>1.459066741138755</v>
      </c>
      <c r="AC89" s="22">
        <f t="shared" si="57"/>
        <v>179.89068816476845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66.558731945604791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-5.6843418860808015E-14</v>
      </c>
      <c r="AJ89" s="13">
        <f>AI89*VLOOKUP('Données projet'!$B$10,Paramètres!$A$1:$I$89,3,0)*VLOOKUP('Données projet'!$B$10,Paramètres!$A$1:$I$89,5,0)</f>
        <v>-3.3992364478763198E-14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270.29397440778314</v>
      </c>
      <c r="AO89" s="59">
        <f t="shared" si="90"/>
        <v>281.95928682679596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77.516015611135657</v>
      </c>
      <c r="AV89" s="21">
        <f>EXP(-LN(2)/25)*AV88+(1-EXP(-LN(2)/25))/(LN(2)/25)*Calculateur!AQ89*Calculateur!AS89*VLOOKUP('Données projet'!$B$10,Paramètres!$A$1:$I$89,3,0)*0.475*44/12</f>
        <v>17.574991249558355</v>
      </c>
      <c r="AW89" s="21">
        <f>EXP(-LN(2)/2)*AW88+(1-EXP(-LN(2)/2))/(LN(2)/2)*AQ89*AT89*VLOOKUP('Données projet'!$B$10,Paramètres!$A$1:$I$89,3,0)*0.475*44/12</f>
        <v>3.9017149035587705E-3</v>
      </c>
      <c r="AX89" s="21">
        <f t="shared" si="60"/>
        <v>95.094908575597572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66.558731945604791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8.7211538461538485</v>
      </c>
      <c r="BD89" s="12">
        <f>IF('Données projet'!$A$88&gt;35,BD88+BC89-BL88,IF(A89&lt;'Données projet'!$A$88,$BA$205^A89,IF(A89='Données projet'!$A$88,'Données projet'!$B$88,BD88+BC89-BL88)))</f>
        <v>302.34423076923122</v>
      </c>
      <c r="BE89" s="13">
        <f>BD89*VLOOKUP('Données projet'!$B$11,Paramètres!$A$1:$I$89,3,0)*VLOOKUP('Données projet'!$B$11,Paramètres!$A$1:$I$89,5,0)</f>
        <v>141.49710000000022</v>
      </c>
      <c r="BF89" s="13">
        <f t="shared" si="91"/>
        <v>36.639757477223711</v>
      </c>
      <c r="BG89" s="20">
        <f t="shared" si="61"/>
        <v>310.25502677283174</v>
      </c>
      <c r="BH89" s="59">
        <f t="shared" si="62"/>
        <v>590.97037724004929</v>
      </c>
      <c r="BI89" s="59">
        <f ca="1">AVERAGE(OFFSET($BH$3,0,0,'Données projet'!$E$11+1,1))-AVERAGE(OFFSET($H$3,0,0,'Données projet'!$E$11+1,1))</f>
        <v>308.70979446846718</v>
      </c>
      <c r="BJ89" s="59">
        <f t="shared" si="92"/>
        <v>202.33469175293314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51.063620081431502</v>
      </c>
      <c r="BQ89" s="21">
        <f>EXP(-LN(2)/25)*BQ88+(1-EXP(-LN(2)/25))/(LN(2)/25)*Calculateur!BL89*Calculateur!BN89*VLOOKUP('Données projet'!$B$11,Paramètres!$A$1:$I$89,3,0)*0.475*44/12</f>
        <v>23.452842924761899</v>
      </c>
      <c r="BR89" s="21">
        <f>EXP(-LN(2)/2)*BR88+(1-EXP(-LN(2)/2))/(LN(2)/2)*BL89*BO89*VLOOKUP('Données projet'!$B$11,Paramètres!$A$1:$I$89,3,0)*0.475*44/12</f>
        <v>4.2879180018822955</v>
      </c>
      <c r="BS89" s="22">
        <f t="shared" si="63"/>
        <v>78.804381008075694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66.558731945604791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66.558731945604791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66.558731945604791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66.558731945604791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66.558731945604791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66.558731945604791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66.558731945604791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3.1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11.366666666666667</v>
      </c>
      <c r="H90" s="67">
        <f t="shared" si="56"/>
        <v>211.20000000000002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66.618430252825746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369.06880001017635</v>
      </c>
      <c r="T90" s="59">
        <f t="shared" si="88"/>
        <v>331.91233237772281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143.42608504124613</v>
      </c>
      <c r="AA90" s="21">
        <f>EXP(-LN(2)/25)*AA89+(1-EXP(-LN(2)/25))/(LN(2)/25)*Calculateur!V90*Calculateur!X90*VLOOKUP('Données projet'!$B$9,Paramètres!$A$1:$I$89,3,0)*0.475*44/12</f>
        <v>31.258001804237548</v>
      </c>
      <c r="AB90" s="21">
        <f>EXP(-LN(2)/2)*AB89+(1-EXP(-LN(2)/2))/(LN(2)/2)*V90*Y90*VLOOKUP('Données projet'!$B$9,Paramètres!$A$1:$I$89,3,0)*0.475*44/12</f>
        <v>1.0317159868629706</v>
      </c>
      <c r="AC90" s="22">
        <f t="shared" si="57"/>
        <v>175.71580283234664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66.618430252825746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-5.6843418860808015E-14</v>
      </c>
      <c r="AJ90" s="13">
        <f>AI90*VLOOKUP('Données projet'!$B$10,Paramètres!$A$1:$I$89,3,0)*VLOOKUP('Données projet'!$B$10,Paramètres!$A$1:$I$89,5,0)</f>
        <v>-3.3992364478763198E-14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270.29397440778314</v>
      </c>
      <c r="AO90" s="59">
        <f t="shared" si="90"/>
        <v>281.95928682679596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75.995973825102283</v>
      </c>
      <c r="AV90" s="21">
        <f>EXP(-LN(2)/25)*AV89+(1-EXP(-LN(2)/25))/(LN(2)/25)*Calculateur!AQ90*Calculateur!AS90*VLOOKUP('Données projet'!$B$10,Paramètres!$A$1:$I$89,3,0)*0.475*44/12</f>
        <v>17.094402189610559</v>
      </c>
      <c r="AW90" s="21">
        <f>EXP(-LN(2)/2)*AW89+(1-EXP(-LN(2)/2))/(LN(2)/2)*AQ90*AT90*VLOOKUP('Données projet'!$B$10,Paramètres!$A$1:$I$89,3,0)*0.475*44/12</f>
        <v>2.7589290665630231E-3</v>
      </c>
      <c r="AX90" s="21">
        <f t="shared" si="60"/>
        <v>93.093134943779404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66.618430252825746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8.7211538461538485</v>
      </c>
      <c r="BD90" s="12">
        <f>IF('Données projet'!$A$88&gt;35,BD89+BC90-BL89,IF(A90&lt;'Données projet'!$A$88,$BA$205^A90,IF(A90='Données projet'!$A$88,'Données projet'!$B$88,BD89+BC90-BL89)))</f>
        <v>311.06538461538508</v>
      </c>
      <c r="BE90" s="13">
        <f>BD90*VLOOKUP('Données projet'!$B$11,Paramètres!$A$1:$I$89,3,0)*VLOOKUP('Données projet'!$B$11,Paramètres!$A$1:$I$89,5,0)</f>
        <v>145.57860000000022</v>
      </c>
      <c r="BF90" s="13">
        <f t="shared" si="91"/>
        <v>37.572063695955627</v>
      </c>
      <c r="BG90" s="20">
        <f t="shared" si="61"/>
        <v>318.98740593712301</v>
      </c>
      <c r="BH90" s="59">
        <f t="shared" si="62"/>
        <v>599.92165019748404</v>
      </c>
      <c r="BI90" s="59">
        <f ca="1">AVERAGE(OFFSET($BH$3,0,0,'Données projet'!$E$11+1,1))-AVERAGE(OFFSET($H$3,0,0,'Données projet'!$E$11+1,1))</f>
        <v>308.70979446846718</v>
      </c>
      <c r="BJ90" s="59">
        <f t="shared" si="92"/>
        <v>202.33469175293314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50.062293637367496</v>
      </c>
      <c r="BQ90" s="21">
        <f>EXP(-LN(2)/25)*BQ89+(1-EXP(-LN(2)/25))/(LN(2)/25)*Calculateur!BL90*Calculateur!BN90*VLOOKUP('Données projet'!$B$11,Paramètres!$A$1:$I$89,3,0)*0.475*44/12</f>
        <v>22.811523701652877</v>
      </c>
      <c r="BR90" s="21">
        <f>EXP(-LN(2)/2)*BR89+(1-EXP(-LN(2)/2))/(LN(2)/2)*BL90*BO90*VLOOKUP('Données projet'!$B$11,Paramètres!$A$1:$I$89,3,0)*0.475*44/12</f>
        <v>3.0320158963028425</v>
      </c>
      <c r="BS90" s="22">
        <f t="shared" si="63"/>
        <v>75.905833235323215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66.618430252825746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66.618430252825746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66.618430252825746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66.618430252825746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66.618430252825746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66.618430252825746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66.618430252825746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3.1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11.366666666666667</v>
      </c>
      <c r="H91" s="67">
        <f t="shared" si="56"/>
        <v>211.20000000000002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66.677092927881844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369.06880001017635</v>
      </c>
      <c r="T91" s="59">
        <f t="shared" si="88"/>
        <v>331.91233237772281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140.61358699486109</v>
      </c>
      <c r="AA91" s="21">
        <f>EXP(-LN(2)/25)*AA90+(1-EXP(-LN(2)/25))/(LN(2)/25)*Calculateur!V91*Calculateur!X91*VLOOKUP('Données projet'!$B$9,Paramètres!$A$1:$I$89,3,0)*0.475*44/12</f>
        <v>30.403250101113798</v>
      </c>
      <c r="AB91" s="21">
        <f>EXP(-LN(2)/2)*AB90+(1-EXP(-LN(2)/2))/(LN(2)/2)*V91*Y91*VLOOKUP('Données projet'!$B$9,Paramètres!$A$1:$I$89,3,0)*0.475*44/12</f>
        <v>0.7295333705693775</v>
      </c>
      <c r="AC91" s="22">
        <f t="shared" si="57"/>
        <v>171.74637046654428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66.677092927881844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-5.6843418860808015E-14</v>
      </c>
      <c r="AJ91" s="13">
        <f>AI91*VLOOKUP('Données projet'!$B$10,Paramètres!$A$1:$I$89,3,0)*VLOOKUP('Données projet'!$B$10,Paramètres!$A$1:$I$89,5,0)</f>
        <v>-3.3992364478763198E-14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270.29397440778314</v>
      </c>
      <c r="AO91" s="59">
        <f t="shared" si="90"/>
        <v>281.95928682679596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74.505739131359078</v>
      </c>
      <c r="AV91" s="21">
        <f>EXP(-LN(2)/25)*AV90+(1-EXP(-LN(2)/25))/(LN(2)/25)*Calculateur!AQ91*Calculateur!AS91*VLOOKUP('Données projet'!$B$10,Paramètres!$A$1:$I$89,3,0)*0.475*44/12</f>
        <v>16.626954862780117</v>
      </c>
      <c r="AW91" s="21">
        <f>EXP(-LN(2)/2)*AW90+(1-EXP(-LN(2)/2))/(LN(2)/2)*AQ91*AT91*VLOOKUP('Données projet'!$B$10,Paramètres!$A$1:$I$89,3,0)*0.475*44/12</f>
        <v>1.9508574517793855E-3</v>
      </c>
      <c r="AX91" s="21">
        <f t="shared" si="60"/>
        <v>91.134644851590977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66.677092927881844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8.7211538461538485</v>
      </c>
      <c r="BD91" s="12">
        <f>IF('Données projet'!$A$88&gt;35,BD90+BC91-BL90,IF(A91&lt;'Données projet'!$A$88,$BA$205^A91,IF(A91='Données projet'!$A$88,'Données projet'!$B$88,BD90+BC91-BL90)))</f>
        <v>319.78653846153895</v>
      </c>
      <c r="BE91" s="13">
        <f>BD91*VLOOKUP('Données projet'!$B$11,Paramètres!$A$1:$I$89,3,0)*VLOOKUP('Données projet'!$B$11,Paramètres!$A$1:$I$89,5,0)</f>
        <v>149.66010000000023</v>
      </c>
      <c r="BF91" s="13">
        <f t="shared" si="91"/>
        <v>38.501331930603563</v>
      </c>
      <c r="BG91" s="20">
        <f t="shared" si="61"/>
        <v>327.71449394580162</v>
      </c>
      <c r="BH91" s="59">
        <f t="shared" si="62"/>
        <v>608.86383468136842</v>
      </c>
      <c r="BI91" s="59">
        <f ca="1">AVERAGE(OFFSET($BH$3,0,0,'Données projet'!$E$11+1,1))-AVERAGE(OFFSET($H$3,0,0,'Données projet'!$E$11+1,1))</f>
        <v>308.70979446846718</v>
      </c>
      <c r="BJ91" s="59">
        <f t="shared" si="92"/>
        <v>202.33469175293314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49.080602594122759</v>
      </c>
      <c r="BQ91" s="21">
        <f>EXP(-LN(2)/25)*BQ90+(1-EXP(-LN(2)/25))/(LN(2)/25)*Calculateur!BL91*Calculateur!BN91*VLOOKUP('Données projet'!$B$11,Paramètres!$A$1:$I$89,3,0)*0.475*44/12</f>
        <v>22.187741386425284</v>
      </c>
      <c r="BR91" s="21">
        <f>EXP(-LN(2)/2)*BR90+(1-EXP(-LN(2)/2))/(LN(2)/2)*BL91*BO91*VLOOKUP('Données projet'!$B$11,Paramètres!$A$1:$I$89,3,0)*0.475*44/12</f>
        <v>2.1439590009411478</v>
      </c>
      <c r="BS91" s="22">
        <f t="shared" si="63"/>
        <v>73.412302981489191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66.677092927881844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66.677092927881844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66.677092927881844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66.677092927881844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66.677092927881844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66.677092927881844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66.677092927881844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3.1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11.366666666666667</v>
      </c>
      <c r="H92" s="67">
        <f t="shared" si="56"/>
        <v>211.20000000000002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66.734737936675813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369.06880001017635</v>
      </c>
      <c r="T92" s="59">
        <f t="shared" si="88"/>
        <v>331.91233237772281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137.85624031971128</v>
      </c>
      <c r="AA92" s="21">
        <f>EXP(-LN(2)/25)*AA91+(1-EXP(-LN(2)/25))/(LN(2)/25)*Calculateur!V92*Calculateur!X92*VLOOKUP('Données projet'!$B$9,Paramètres!$A$1:$I$89,3,0)*0.475*44/12</f>
        <v>29.571871628261405</v>
      </c>
      <c r="AB92" s="21">
        <f>EXP(-LN(2)/2)*AB91+(1-EXP(-LN(2)/2))/(LN(2)/2)*V92*Y92*VLOOKUP('Données projet'!$B$9,Paramètres!$A$1:$I$89,3,0)*0.475*44/12</f>
        <v>0.51585799343148531</v>
      </c>
      <c r="AC92" s="22">
        <f t="shared" si="57"/>
        <v>167.94396994140419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66.734737936675813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-5.6843418860808015E-14</v>
      </c>
      <c r="AJ92" s="13">
        <f>AI92*VLOOKUP('Données projet'!$B$10,Paramètres!$A$1:$I$89,3,0)*VLOOKUP('Données projet'!$B$10,Paramètres!$A$1:$I$89,5,0)</f>
        <v>-3.3992364478763198E-14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270.29397440778314</v>
      </c>
      <c r="AO92" s="59">
        <f t="shared" si="90"/>
        <v>281.95928682679596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73.044727031006772</v>
      </c>
      <c r="AV92" s="21">
        <f>EXP(-LN(2)/25)*AV91+(1-EXP(-LN(2)/25))/(LN(2)/25)*Calculateur!AQ92*Calculateur!AS92*VLOOKUP('Données projet'!$B$10,Paramètres!$A$1:$I$89,3,0)*0.475*44/12</f>
        <v>16.17228990768384</v>
      </c>
      <c r="AW92" s="21">
        <f>EXP(-LN(2)/2)*AW91+(1-EXP(-LN(2)/2))/(LN(2)/2)*AQ92*AT92*VLOOKUP('Données projet'!$B$10,Paramètres!$A$1:$I$89,3,0)*0.475*44/12</f>
        <v>1.3794645332815118E-3</v>
      </c>
      <c r="AX92" s="21">
        <f t="shared" si="60"/>
        <v>89.218396403223906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66.734737936675813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8.7211538461538485</v>
      </c>
      <c r="BD92" s="12">
        <f>IF('Données projet'!$A$88&gt;35,BD91+BC92-BL91,IF(A92&lt;'Données projet'!$A$88,$BA$205^A92,IF(A92='Données projet'!$A$88,'Données projet'!$B$88,BD91+BC92-BL91)))</f>
        <v>328.50769230769282</v>
      </c>
      <c r="BE92" s="13">
        <f>BD92*VLOOKUP('Données projet'!$B$11,Paramètres!$A$1:$I$89,3,0)*VLOOKUP('Données projet'!$B$11,Paramètres!$A$1:$I$89,5,0)</f>
        <v>153.74160000000023</v>
      </c>
      <c r="BF92" s="13">
        <f t="shared" si="91"/>
        <v>39.427654552879716</v>
      </c>
      <c r="BG92" s="20">
        <f t="shared" si="61"/>
        <v>336.4364516795992</v>
      </c>
      <c r="BH92" s="59">
        <f t="shared" si="62"/>
        <v>617.79715744741054</v>
      </c>
      <c r="BI92" s="59">
        <f ca="1">AVERAGE(OFFSET($BH$3,0,0,'Données projet'!$E$11+1,1))-AVERAGE(OFFSET($H$3,0,0,'Données projet'!$E$11+1,1))</f>
        <v>308.70979446846718</v>
      </c>
      <c r="BJ92" s="59">
        <f t="shared" si="92"/>
        <v>202.33469175293314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48.118161913463638</v>
      </c>
      <c r="BQ92" s="21">
        <f>EXP(-LN(2)/25)*BQ91+(1-EXP(-LN(2)/25))/(LN(2)/25)*Calculateur!BL92*Calculateur!BN92*VLOOKUP('Données projet'!$B$11,Paramètres!$A$1:$I$89,3,0)*0.475*44/12</f>
        <v>21.581016431410877</v>
      </c>
      <c r="BR92" s="21">
        <f>EXP(-LN(2)/2)*BR91+(1-EXP(-LN(2)/2))/(LN(2)/2)*BL92*BO92*VLOOKUP('Données projet'!$B$11,Paramètres!$A$1:$I$89,3,0)*0.475*44/12</f>
        <v>1.5160079481514213</v>
      </c>
      <c r="BS92" s="22">
        <f t="shared" si="63"/>
        <v>71.215186293025937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66.734737936675813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66.734737936675813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66.734737936675813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66.734737936675813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66.734737936675813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66.734737936675813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66.734737936675813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3.1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11.366666666666667</v>
      </c>
      <c r="H93" s="67">
        <f t="shared" si="56"/>
        <v>211.20000000000002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66.791382933442137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369.06880001017635</v>
      </c>
      <c r="T93" s="59">
        <f t="shared" si="88"/>
        <v>331.91233237772281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135.15296353104571</v>
      </c>
      <c r="AA93" s="21">
        <f>EXP(-LN(2)/25)*AA92+(1-EXP(-LN(2)/25))/(LN(2)/25)*Calculateur!V93*Calculateur!X93*VLOOKUP('Données projet'!$B$9,Paramètres!$A$1:$I$89,3,0)*0.475*44/12</f>
        <v>28.763227243469455</v>
      </c>
      <c r="AB93" s="21">
        <f>EXP(-LN(2)/2)*AB92+(1-EXP(-LN(2)/2))/(LN(2)/2)*V93*Y93*VLOOKUP('Données projet'!$B$9,Paramètres!$A$1:$I$89,3,0)*0.475*44/12</f>
        <v>0.36476668528468875</v>
      </c>
      <c r="AC93" s="22">
        <f t="shared" si="57"/>
        <v>164.28095745979985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66.791382933442137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-5.6843418860808015E-14</v>
      </c>
      <c r="AJ93" s="13">
        <f>AI93*VLOOKUP('Données projet'!$B$10,Paramètres!$A$1:$I$89,3,0)*VLOOKUP('Données projet'!$B$10,Paramètres!$A$1:$I$89,5,0)</f>
        <v>-3.3992364478763198E-14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270.29397440778314</v>
      </c>
      <c r="AO93" s="59">
        <f t="shared" si="90"/>
        <v>281.95928682679596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71.612364486812993</v>
      </c>
      <c r="AV93" s="21">
        <f>EXP(-LN(2)/25)*AV92+(1-EXP(-LN(2)/25))/(LN(2)/25)*Calculateur!AQ93*Calculateur!AS93*VLOOKUP('Données projet'!$B$10,Paramètres!$A$1:$I$89,3,0)*0.475*44/12</f>
        <v>15.730057789694461</v>
      </c>
      <c r="AW93" s="21">
        <f>EXP(-LN(2)/2)*AW92+(1-EXP(-LN(2)/2))/(LN(2)/2)*AQ93*AT93*VLOOKUP('Données projet'!$B$10,Paramètres!$A$1:$I$89,3,0)*0.475*44/12</f>
        <v>9.7542872588969294E-4</v>
      </c>
      <c r="AX93" s="21">
        <f t="shared" si="60"/>
        <v>87.343397705233343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66.791382933442137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8.7211538461538485</v>
      </c>
      <c r="BD93" s="12">
        <f>IF('Données projet'!$A$88&gt;35,BD92+BC93-BL92,IF(A93&lt;'Données projet'!$A$88,$BA$205^A93,IF(A93='Données projet'!$A$88,'Données projet'!$B$88,BD92+BC93-BL92)))</f>
        <v>337.22884615384669</v>
      </c>
      <c r="BE93" s="13">
        <f>BD93*VLOOKUP('Données projet'!$B$11,Paramètres!$A$1:$I$89,3,0)*VLOOKUP('Données projet'!$B$11,Paramètres!$A$1:$I$89,5,0)</f>
        <v>157.82310000000024</v>
      </c>
      <c r="BF93" s="13">
        <f t="shared" si="91"/>
        <v>40.351118750694802</v>
      </c>
      <c r="BG93" s="20">
        <f t="shared" si="61"/>
        <v>345.15343099079388</v>
      </c>
      <c r="BH93" s="59">
        <f t="shared" si="62"/>
        <v>626.72183508008175</v>
      </c>
      <c r="BI93" s="59">
        <f ca="1">AVERAGE(OFFSET($BH$3,0,0,'Données projet'!$E$11+1,1))-AVERAGE(OFFSET($H$3,0,0,'Données projet'!$E$11+1,1))</f>
        <v>308.70979446846718</v>
      </c>
      <c r="BJ93" s="59">
        <f t="shared" si="92"/>
        <v>202.33469175293314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47.174594107521393</v>
      </c>
      <c r="BQ93" s="21">
        <f>EXP(-LN(2)/25)*BQ92+(1-EXP(-LN(2)/25))/(LN(2)/25)*Calculateur!BL93*Calculateur!BN93*VLOOKUP('Données projet'!$B$11,Paramètres!$A$1:$I$89,3,0)*0.475*44/12</f>
        <v>20.990882402197617</v>
      </c>
      <c r="BR93" s="21">
        <f>EXP(-LN(2)/2)*BR92+(1-EXP(-LN(2)/2))/(LN(2)/2)*BL93*BO93*VLOOKUP('Données projet'!$B$11,Paramètres!$A$1:$I$89,3,0)*0.475*44/12</f>
        <v>1.0719795004705739</v>
      </c>
      <c r="BS93" s="22">
        <f t="shared" si="63"/>
        <v>69.23745601018959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66.791382933442137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66.791382933442137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66.791382933442137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66.791382933442137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66.791382933442137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66.791382933442137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66.791382933442137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3.1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11.366666666666667</v>
      </c>
      <c r="H94" s="67">
        <f t="shared" si="56"/>
        <v>211.20000000000002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66.847045266153799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369.06880001017635</v>
      </c>
      <c r="T94" s="59">
        <f t="shared" si="88"/>
        <v>331.91233237772281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132.50269635136988</v>
      </c>
      <c r="AA94" s="21">
        <f>EXP(-LN(2)/25)*AA93+(1-EXP(-LN(2)/25))/(LN(2)/25)*Calculateur!V94*Calculateur!X94*VLOOKUP('Données projet'!$B$9,Paramètres!$A$1:$I$89,3,0)*0.475*44/12</f>
        <v>27.976695281904401</v>
      </c>
      <c r="AB94" s="21">
        <f>EXP(-LN(2)/2)*AB93+(1-EXP(-LN(2)/2))/(LN(2)/2)*V94*Y94*VLOOKUP('Données projet'!$B$9,Paramètres!$A$1:$I$89,3,0)*0.475*44/12</f>
        <v>0.25792899671574265</v>
      </c>
      <c r="AC94" s="22">
        <f t="shared" si="57"/>
        <v>160.73732062999002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66.847045266153799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-5.6843418860808015E-14</v>
      </c>
      <c r="AJ94" s="13">
        <f>AI94*VLOOKUP('Données projet'!$B$10,Paramètres!$A$1:$I$89,3,0)*VLOOKUP('Données projet'!$B$10,Paramètres!$A$1:$I$89,5,0)</f>
        <v>-3.3992364478763198E-14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270.29397440778314</v>
      </c>
      <c r="AO94" s="59">
        <f t="shared" si="90"/>
        <v>281.95928682679596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70.208089698455964</v>
      </c>
      <c r="AV94" s="21">
        <f>EXP(-LN(2)/25)*AV93+(1-EXP(-LN(2)/25))/(LN(2)/25)*Calculateur!AQ94*Calculateur!AS94*VLOOKUP('Données projet'!$B$10,Paramètres!$A$1:$I$89,3,0)*0.475*44/12</f>
        <v>15.299918532227478</v>
      </c>
      <c r="AW94" s="21">
        <f>EXP(-LN(2)/2)*AW93+(1-EXP(-LN(2)/2))/(LN(2)/2)*AQ94*AT94*VLOOKUP('Données projet'!$B$10,Paramètres!$A$1:$I$89,3,0)*0.475*44/12</f>
        <v>6.89732266640756E-4</v>
      </c>
      <c r="AX94" s="21">
        <f t="shared" si="60"/>
        <v>85.50869796295008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66.847045266153799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8.7211538461538485</v>
      </c>
      <c r="BD94" s="12">
        <f>IF('Données projet'!$A$88&gt;35,BD93+BC94-BL93,IF(A94&lt;'Données projet'!$A$88,$BA$205^A94,IF(A94='Données projet'!$A$88,'Données projet'!$B$88,BD93+BC94-BL93)))</f>
        <v>345.95000000000056</v>
      </c>
      <c r="BE94" s="13">
        <f>BD94*VLOOKUP('Données projet'!$B$11,Paramètres!$A$1:$I$89,3,0)*VLOOKUP('Données projet'!$B$11,Paramètres!$A$1:$I$89,5,0)</f>
        <v>161.90460000000027</v>
      </c>
      <c r="BF94" s="13">
        <f t="shared" si="91"/>
        <v>41.27180694550065</v>
      </c>
      <c r="BG94" s="20">
        <f t="shared" si="61"/>
        <v>353.86557543008075</v>
      </c>
      <c r="BH94" s="59">
        <f t="shared" si="62"/>
        <v>635.63807473931138</v>
      </c>
      <c r="BI94" s="59">
        <f ca="1">AVERAGE(OFFSET($BH$3,0,0,'Données projet'!$E$11+1,1))-AVERAGE(OFFSET($H$3,0,0,'Données projet'!$E$11+1,1))</f>
        <v>308.70979446846718</v>
      </c>
      <c r="BJ94" s="59">
        <f t="shared" si="92"/>
        <v>202.33469175293314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46.249529090734143</v>
      </c>
      <c r="BQ94" s="21">
        <f>EXP(-LN(2)/25)*BQ93+(1-EXP(-LN(2)/25))/(LN(2)/25)*Calculateur!BL94*Calculateur!BN94*VLOOKUP('Données projet'!$B$11,Paramètres!$A$1:$I$89,3,0)*0.475*44/12</f>
        <v>20.416885619046994</v>
      </c>
      <c r="BR94" s="21">
        <f>EXP(-LN(2)/2)*BR93+(1-EXP(-LN(2)/2))/(LN(2)/2)*BL94*BO94*VLOOKUP('Données projet'!$B$11,Paramètres!$A$1:$I$89,3,0)*0.475*44/12</f>
        <v>0.75800397407571063</v>
      </c>
      <c r="BS94" s="22">
        <f t="shared" si="63"/>
        <v>67.424418683856842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66.847045266153799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66.847045266153799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66.847045266153799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66.847045266153799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66.847045266153799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66.847045266153799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66.847045266153799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3.1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11.366666666666667</v>
      </c>
      <c r="H95" s="67">
        <f t="shared" si="56"/>
        <v>211.20000000000002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66.901741981835258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369.06880001017635</v>
      </c>
      <c r="T95" s="59">
        <f t="shared" si="88"/>
        <v>331.91233237772281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129.9043992945841</v>
      </c>
      <c r="AA95" s="21">
        <f>EXP(-LN(2)/25)*AA94+(1-EXP(-LN(2)/25))/(LN(2)/25)*Calculateur!V95*Calculateur!X95*VLOOKUP('Données projet'!$B$9,Paramètres!$A$1:$I$89,3,0)*0.475*44/12</f>
        <v>27.211671078190264</v>
      </c>
      <c r="AB95" s="21">
        <f>EXP(-LN(2)/2)*AB94+(1-EXP(-LN(2)/2))/(LN(2)/2)*V95*Y95*VLOOKUP('Données projet'!$B$9,Paramètres!$A$1:$I$89,3,0)*0.475*44/12</f>
        <v>0.18238334264234438</v>
      </c>
      <c r="AC95" s="22">
        <f t="shared" si="57"/>
        <v>157.29845371541668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66.901741981835258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-5.6843418860808015E-14</v>
      </c>
      <c r="AJ95" s="13">
        <f>AI95*VLOOKUP('Données projet'!$B$10,Paramètres!$A$1:$I$89,3,0)*VLOOKUP('Données projet'!$B$10,Paramètres!$A$1:$I$89,5,0)</f>
        <v>-3.3992364478763198E-14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270.29397440778314</v>
      </c>
      <c r="AO95" s="59">
        <f t="shared" si="90"/>
        <v>281.95928682679596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68.831351882175568</v>
      </c>
      <c r="AV95" s="21">
        <f>EXP(-LN(2)/25)*AV94+(1-EXP(-LN(2)/25))/(LN(2)/25)*Calculateur!AQ95*Calculateur!AS95*VLOOKUP('Données projet'!$B$10,Paramètres!$A$1:$I$89,3,0)*0.475*44/12</f>
        <v>14.88154145537597</v>
      </c>
      <c r="AW95" s="21">
        <f>EXP(-LN(2)/2)*AW94+(1-EXP(-LN(2)/2))/(LN(2)/2)*AQ95*AT95*VLOOKUP('Données projet'!$B$10,Paramètres!$A$1:$I$89,3,0)*0.475*44/12</f>
        <v>4.8771436294484653E-4</v>
      </c>
      <c r="AX95" s="21">
        <f t="shared" si="60"/>
        <v>83.713381051914482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66.901741981835258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8.7211538461538485</v>
      </c>
      <c r="BD95" s="12">
        <f>IF('Données projet'!$A$88&gt;35,BD94+BC95-BL94,IF(A95&lt;'Données projet'!$A$88,$BA$205^A95,IF(A95='Données projet'!$A$88,'Données projet'!$B$88,BD94+BC95-BL94)))</f>
        <v>354.67115384615443</v>
      </c>
      <c r="BE95" s="13">
        <f>BD95*VLOOKUP('Données projet'!$B$11,Paramètres!$A$1:$I$89,3,0)*VLOOKUP('Données projet'!$B$11,Paramètres!$A$1:$I$89,5,0)</f>
        <v>165.98610000000025</v>
      </c>
      <c r="BF95" s="13">
        <f t="shared" si="91"/>
        <v>42.189797166364926</v>
      </c>
      <c r="BG95" s="20">
        <f t="shared" si="61"/>
        <v>362.57302089808604</v>
      </c>
      <c r="BH95" s="59">
        <f t="shared" si="62"/>
        <v>644.54607483148197</v>
      </c>
      <c r="BI95" s="59">
        <f ca="1">AVERAGE(OFFSET($BH$3,0,0,'Données projet'!$E$11+1,1))-AVERAGE(OFFSET($H$3,0,0,'Données projet'!$E$11+1,1))</f>
        <v>308.70979446846718</v>
      </c>
      <c r="BJ95" s="59">
        <f t="shared" si="92"/>
        <v>202.33469175293314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45.342604034692144</v>
      </c>
      <c r="BQ95" s="21">
        <f>EXP(-LN(2)/25)*BQ94+(1-EXP(-LN(2)/25))/(LN(2)/25)*Calculateur!BL95*Calculateur!BN95*VLOOKUP('Données projet'!$B$11,Paramètres!$A$1:$I$89,3,0)*0.475*44/12</f>
        <v>19.858584808116802</v>
      </c>
      <c r="BR95" s="21">
        <f>EXP(-LN(2)/2)*BR94+(1-EXP(-LN(2)/2))/(LN(2)/2)*BL95*BO95*VLOOKUP('Données projet'!$B$11,Paramètres!$A$1:$I$89,3,0)*0.475*44/12</f>
        <v>0.53598975023528694</v>
      </c>
      <c r="BS95" s="22">
        <f t="shared" si="63"/>
        <v>65.737178593044234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66.901741981835258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66.901741981835258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66.901741981835258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66.901741981835258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66.901741981835258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66.901741981835258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66.901741981835258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3.1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11.366666666666667</v>
      </c>
      <c r="H96" s="67">
        <f t="shared" si="56"/>
        <v>211.20000000000002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66.955489831783183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369.06880001017635</v>
      </c>
      <c r="T96" s="59">
        <f t="shared" si="88"/>
        <v>331.91233237772281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127.35705325827718</v>
      </c>
      <c r="AA96" s="21">
        <f>EXP(-LN(2)/25)*AA95+(1-EXP(-LN(2)/25))/(LN(2)/25)*Calculateur!V96*Calculateur!X96*VLOOKUP('Données projet'!$B$9,Paramètres!$A$1:$I$89,3,0)*0.475*44/12</f>
        <v>26.467566501557563</v>
      </c>
      <c r="AB96" s="21">
        <f>EXP(-LN(2)/2)*AB95+(1-EXP(-LN(2)/2))/(LN(2)/2)*V96*Y96*VLOOKUP('Données projet'!$B$9,Paramètres!$A$1:$I$89,3,0)*0.475*44/12</f>
        <v>0.12896449835787133</v>
      </c>
      <c r="AC96" s="22">
        <f t="shared" si="57"/>
        <v>153.95358425819262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66.955489831783183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-5.6843418860808015E-14</v>
      </c>
      <c r="AJ96" s="13">
        <f>AI96*VLOOKUP('Données projet'!$B$10,Paramètres!$A$1:$I$89,3,0)*VLOOKUP('Données projet'!$B$10,Paramètres!$A$1:$I$89,5,0)</f>
        <v>-3.3992364478763198E-14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270.29397440778314</v>
      </c>
      <c r="AO96" s="59">
        <f t="shared" si="90"/>
        <v>281.95928682679596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67.481611054745272</v>
      </c>
      <c r="AV96" s="21">
        <f>EXP(-LN(2)/25)*AV95+(1-EXP(-LN(2)/25))/(LN(2)/25)*Calculateur!AQ96*Calculateur!AS96*VLOOKUP('Données projet'!$B$10,Paramètres!$A$1:$I$89,3,0)*0.475*44/12</f>
        <v>14.474604921692462</v>
      </c>
      <c r="AW96" s="21">
        <f>EXP(-LN(2)/2)*AW95+(1-EXP(-LN(2)/2))/(LN(2)/2)*AQ96*AT96*VLOOKUP('Données projet'!$B$10,Paramètres!$A$1:$I$89,3,0)*0.475*44/12</f>
        <v>3.4486613332037805E-4</v>
      </c>
      <c r="AX96" s="21">
        <f t="shared" si="60"/>
        <v>81.956560842571051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66.955489831783183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8.7211538461538485</v>
      </c>
      <c r="BD96" s="12">
        <f>IF('Données projet'!$A$88&gt;35,BD95+BC96-BL95,IF(A96&lt;'Données projet'!$A$88,$BA$205^A96,IF(A96='Données projet'!$A$88,'Données projet'!$B$88,BD95+BC96-BL95)))</f>
        <v>363.39230769230829</v>
      </c>
      <c r="BE96" s="13">
        <f>BD96*VLOOKUP('Données projet'!$B$11,Paramètres!$A$1:$I$89,3,0)*VLOOKUP('Données projet'!$B$11,Paramètres!$A$1:$I$89,5,0)</f>
        <v>170.06760000000031</v>
      </c>
      <c r="BF96" s="13">
        <f t="shared" si="91"/>
        <v>43.105163386216866</v>
      </c>
      <c r="BG96" s="20">
        <f t="shared" si="61"/>
        <v>371.27589623099493</v>
      </c>
      <c r="BH96" s="59">
        <f t="shared" si="62"/>
        <v>653.44602561419993</v>
      </c>
      <c r="BI96" s="59">
        <f ca="1">AVERAGE(OFFSET($BH$3,0,0,'Données projet'!$E$11+1,1))-AVERAGE(OFFSET($H$3,0,0,'Données projet'!$E$11+1,1))</f>
        <v>308.70979446846718</v>
      </c>
      <c r="BJ96" s="59">
        <f t="shared" si="92"/>
        <v>202.33469175293314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44.453463225829466</v>
      </c>
      <c r="BQ96" s="21">
        <f>EXP(-LN(2)/25)*BQ95+(1-EXP(-LN(2)/25))/(LN(2)/25)*Calculateur!BL96*Calculateur!BN96*VLOOKUP('Données projet'!$B$11,Paramètres!$A$1:$I$89,3,0)*0.475*44/12</f>
        <v>19.31555076222126</v>
      </c>
      <c r="BR96" s="21">
        <f>EXP(-LN(2)/2)*BR95+(1-EXP(-LN(2)/2))/(LN(2)/2)*BL96*BO96*VLOOKUP('Données projet'!$B$11,Paramètres!$A$1:$I$89,3,0)*0.475*44/12</f>
        <v>0.37900198703785531</v>
      </c>
      <c r="BS96" s="22">
        <f t="shared" si="63"/>
        <v>64.148015975088583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66.955489831783183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66.955489831783183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66.955489831783183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66.955489831783183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66.955489831783183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66.955489831783183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66.955489831783183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3.1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11.366666666666667</v>
      </c>
      <c r="H97" s="67">
        <f t="shared" si="56"/>
        <v>211.20000000000002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67.008305276696689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369.06880001017635</v>
      </c>
      <c r="T97" s="59">
        <f t="shared" si="88"/>
        <v>331.91233237772281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124.85965912401457</v>
      </c>
      <c r="AA97" s="21">
        <f>EXP(-LN(2)/25)*AA96+(1-EXP(-LN(2)/25))/(LN(2)/25)*Calculateur!V97*Calculateur!X97*VLOOKUP('Données projet'!$B$9,Paramètres!$A$1:$I$89,3,0)*0.475*44/12</f>
        <v>25.743809503703641</v>
      </c>
      <c r="AB97" s="21">
        <f>EXP(-LN(2)/2)*AB96+(1-EXP(-LN(2)/2))/(LN(2)/2)*V97*Y97*VLOOKUP('Données projet'!$B$9,Paramètres!$A$1:$I$89,3,0)*0.475*44/12</f>
        <v>9.1191671321172188E-2</v>
      </c>
      <c r="AC97" s="22">
        <f t="shared" si="57"/>
        <v>150.69466029903938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67.008305276696689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-5.6843418860808015E-14</v>
      </c>
      <c r="AJ97" s="13">
        <f>AI97*VLOOKUP('Données projet'!$B$10,Paramètres!$A$1:$I$89,3,0)*VLOOKUP('Données projet'!$B$10,Paramètres!$A$1:$I$89,5,0)</f>
        <v>-3.3992364478763198E-14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270.29397440778314</v>
      </c>
      <c r="AO97" s="59">
        <f t="shared" si="90"/>
        <v>281.95928682679596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66.158337821680277</v>
      </c>
      <c r="AV97" s="21">
        <f>EXP(-LN(2)/25)*AV96+(1-EXP(-LN(2)/25))/(LN(2)/25)*Calculateur!AQ97*Calculateur!AS97*VLOOKUP('Données projet'!$B$10,Paramètres!$A$1:$I$89,3,0)*0.475*44/12</f>
        <v>14.078796088922392</v>
      </c>
      <c r="AW97" s="21">
        <f>EXP(-LN(2)/2)*AW96+(1-EXP(-LN(2)/2))/(LN(2)/2)*AQ97*AT97*VLOOKUP('Données projet'!$B$10,Paramètres!$A$1:$I$89,3,0)*0.475*44/12</f>
        <v>2.4385718147242332E-4</v>
      </c>
      <c r="AX97" s="21">
        <f t="shared" si="60"/>
        <v>80.237377767784139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67.008305276696689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8.7211538461538485</v>
      </c>
      <c r="BD97" s="12">
        <f>IF('Données projet'!$A$88&gt;35,BD96+BC97-BL96,IF(A97&lt;'Données projet'!$A$88,$BA$205^A97,IF(A97='Données projet'!$A$88,'Données projet'!$B$88,BD96+BC97-BL96)))</f>
        <v>372.11346153846216</v>
      </c>
      <c r="BE97" s="13">
        <f>BD97*VLOOKUP('Données projet'!$B$11,Paramètres!$A$1:$I$89,3,0)*VLOOKUP('Données projet'!$B$11,Paramètres!$A$1:$I$89,5,0)</f>
        <v>174.14910000000029</v>
      </c>
      <c r="BF97" s="13">
        <f t="shared" si="91"/>
        <v>44.017975824904859</v>
      </c>
      <c r="BG97" s="20">
        <f t="shared" si="61"/>
        <v>379.97432372837642</v>
      </c>
      <c r="BH97" s="59">
        <f t="shared" si="62"/>
        <v>662.33810974293101</v>
      </c>
      <c r="BI97" s="59">
        <f ca="1">AVERAGE(OFFSET($BH$3,0,0,'Données projet'!$E$11+1,1))-AVERAGE(OFFSET($H$3,0,0,'Données projet'!$E$11+1,1))</f>
        <v>308.70979446846718</v>
      </c>
      <c r="BJ97" s="59">
        <f t="shared" si="92"/>
        <v>202.33469175293314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43.581757925906238</v>
      </c>
      <c r="BQ97" s="21">
        <f>EXP(-LN(2)/25)*BQ96+(1-EXP(-LN(2)/25))/(LN(2)/25)*Calculateur!BL97*Calculateur!BN97*VLOOKUP('Données projet'!$B$11,Paramètres!$A$1:$I$89,3,0)*0.475*44/12</f>
        <v>18.78736601086765</v>
      </c>
      <c r="BR97" s="21">
        <f>EXP(-LN(2)/2)*BR96+(1-EXP(-LN(2)/2))/(LN(2)/2)*BL97*BO97*VLOOKUP('Données projet'!$B$11,Paramètres!$A$1:$I$89,3,0)*0.475*44/12</f>
        <v>0.26799487511764347</v>
      </c>
      <c r="BS97" s="22">
        <f t="shared" si="63"/>
        <v>62.637118811891533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67.008305276696689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67.008305276696689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67.008305276696689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67.008305276696689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67.008305276696689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67.008305276696689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67.008305276696689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3.1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11.366666666666667</v>
      </c>
      <c r="H98" s="67">
        <f t="shared" si="56"/>
        <v>211.20000000000002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67.060204491718608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369.06880001017635</v>
      </c>
      <c r="T98" s="59">
        <f t="shared" si="88"/>
        <v>331.91233237772281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122.41123736546484</v>
      </c>
      <c r="AA98" s="21">
        <f>EXP(-LN(2)/25)*AA97+(1-EXP(-LN(2)/25))/(LN(2)/25)*Calculateur!V98*Calculateur!X98*VLOOKUP('Données projet'!$B$9,Paramètres!$A$1:$I$89,3,0)*0.475*44/12</f>
        <v>25.039843679016762</v>
      </c>
      <c r="AB98" s="21">
        <f>EXP(-LN(2)/2)*AB97+(1-EXP(-LN(2)/2))/(LN(2)/2)*V98*Y98*VLOOKUP('Données projet'!$B$9,Paramètres!$A$1:$I$89,3,0)*0.475*44/12</f>
        <v>6.4482249178935663E-2</v>
      </c>
      <c r="AC98" s="22">
        <f t="shared" si="57"/>
        <v>147.51556329366053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67.060204491718608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-5.6843418860808015E-14</v>
      </c>
      <c r="AJ98" s="13">
        <f>AI98*VLOOKUP('Données projet'!$B$10,Paramètres!$A$1:$I$89,3,0)*VLOOKUP('Données projet'!$B$10,Paramètres!$A$1:$I$89,5,0)</f>
        <v>-3.3992364478763198E-14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270.29397440778314</v>
      </c>
      <c r="AO98" s="59">
        <f t="shared" si="90"/>
        <v>281.95928682679596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64.861013169598706</v>
      </c>
      <c r="AV98" s="21">
        <f>EXP(-LN(2)/25)*AV97+(1-EXP(-LN(2)/25))/(LN(2)/25)*Calculateur!AQ98*Calculateur!AS98*VLOOKUP('Données projet'!$B$10,Paramètres!$A$1:$I$89,3,0)*0.475*44/12</f>
        <v>13.693810669499101</v>
      </c>
      <c r="AW98" s="21">
        <f>EXP(-LN(2)/2)*AW97+(1-EXP(-LN(2)/2))/(LN(2)/2)*AQ98*AT98*VLOOKUP('Données projet'!$B$10,Paramètres!$A$1:$I$89,3,0)*0.475*44/12</f>
        <v>1.7243306666018905E-4</v>
      </c>
      <c r="AX98" s="21">
        <f t="shared" si="60"/>
        <v>78.554996272164473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67.060204491718608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8.7211538461538485</v>
      </c>
      <c r="BD98" s="12">
        <f>IF('Données projet'!$A$88&gt;35,BD97+BC98-BL97,IF(A98&lt;'Données projet'!$A$88,$BA$205^A98,IF(A98='Données projet'!$A$88,'Données projet'!$B$88,BD97+BC98-BL97)))</f>
        <v>380.83461538461603</v>
      </c>
      <c r="BE98" s="13">
        <f>BD98*VLOOKUP('Données projet'!$B$11,Paramètres!$A$1:$I$89,3,0)*VLOOKUP('Données projet'!$B$11,Paramètres!$A$1:$I$89,5,0)</f>
        <v>178.23060000000029</v>
      </c>
      <c r="BF98" s="13">
        <f t="shared" si="91"/>
        <v>44.928301223043398</v>
      </c>
      <c r="BG98" s="20">
        <f t="shared" si="61"/>
        <v>388.66841963013439</v>
      </c>
      <c r="BH98" s="59">
        <f t="shared" si="62"/>
        <v>671.22250276643604</v>
      </c>
      <c r="BI98" s="59">
        <f ca="1">AVERAGE(OFFSET($BH$3,0,0,'Données projet'!$E$11+1,1))-AVERAGE(OFFSET($H$3,0,0,'Données projet'!$E$11+1,1))</f>
        <v>308.70979446846718</v>
      </c>
      <c r="BJ98" s="59">
        <f t="shared" si="92"/>
        <v>202.33469175293314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42.727146235226776</v>
      </c>
      <c r="BQ98" s="21">
        <f>EXP(-LN(2)/25)*BQ97+(1-EXP(-LN(2)/25))/(LN(2)/25)*Calculateur!BL98*Calculateur!BN98*VLOOKUP('Données projet'!$B$11,Paramètres!$A$1:$I$89,3,0)*0.475*44/12</f>
        <v>18.273624499315837</v>
      </c>
      <c r="BR98" s="21">
        <f>EXP(-LN(2)/2)*BR97+(1-EXP(-LN(2)/2))/(LN(2)/2)*BL98*BO98*VLOOKUP('Données projet'!$B$11,Paramètres!$A$1:$I$89,3,0)*0.475*44/12</f>
        <v>0.18950099351892766</v>
      </c>
      <c r="BS98" s="22">
        <f t="shared" si="63"/>
        <v>61.190271728061539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67.060204491718608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67.060204491718608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67.060204491718608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67.060204491718608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67.060204491718608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67.060204491718608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67.060204491718608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3.1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11.366666666666667</v>
      </c>
      <c r="H99" s="67">
        <f t="shared" si="56"/>
        <v>211.20000000000002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67.111203371389138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369.06880001017635</v>
      </c>
      <c r="T99" s="59">
        <f t="shared" si="88"/>
        <v>331.91233237772281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120.01082766421047</v>
      </c>
      <c r="AA99" s="21">
        <f>EXP(-LN(2)/25)*AA98+(1-EXP(-LN(2)/25))/(LN(2)/25)*Calculateur!V99*Calculateur!X99*VLOOKUP('Données projet'!$B$9,Paramètres!$A$1:$I$89,3,0)*0.475*44/12</f>
        <v>24.355127836825901</v>
      </c>
      <c r="AB99" s="21">
        <f>EXP(-LN(2)/2)*AB98+(1-EXP(-LN(2)/2))/(LN(2)/2)*V99*Y99*VLOOKUP('Données projet'!$B$9,Paramètres!$A$1:$I$89,3,0)*0.475*44/12</f>
        <v>4.5595835660586094E-2</v>
      </c>
      <c r="AC99" s="22">
        <f t="shared" si="57"/>
        <v>144.41155133669693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67.111203371389138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-5.6843418860808015E-14</v>
      </c>
      <c r="AJ99" s="13">
        <f>AI99*VLOOKUP('Données projet'!$B$10,Paramètres!$A$1:$I$89,3,0)*VLOOKUP('Données projet'!$B$10,Paramètres!$A$1:$I$89,5,0)</f>
        <v>-3.3992364478763198E-14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270.29397440778314</v>
      </c>
      <c r="AO99" s="59">
        <f t="shared" si="90"/>
        <v>281.95928682679596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63.589128262654555</v>
      </c>
      <c r="AV99" s="21">
        <f>EXP(-LN(2)/25)*AV98+(1-EXP(-LN(2)/25))/(LN(2)/25)*Calculateur!AQ99*Calculateur!AS99*VLOOKUP('Données projet'!$B$10,Paramètres!$A$1:$I$89,3,0)*0.475*44/12</f>
        <v>13.319352696615443</v>
      </c>
      <c r="AW99" s="21">
        <f>EXP(-LN(2)/2)*AW98+(1-EXP(-LN(2)/2))/(LN(2)/2)*AQ99*AT99*VLOOKUP('Données projet'!$B$10,Paramètres!$A$1:$I$89,3,0)*0.475*44/12</f>
        <v>1.2192859073621167E-4</v>
      </c>
      <c r="AX99" s="21">
        <f t="shared" si="60"/>
        <v>76.908602887860724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67.111203371389138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8.7211538461538485</v>
      </c>
      <c r="BD99" s="12">
        <f>IF('Données projet'!$A$88&gt;35,BD98+BC99-BL98,IF(A99&lt;'Données projet'!$A$88,$BA$205^A99,IF(A99='Données projet'!$A$88,'Données projet'!$B$88,BD98+BC99-BL98)))</f>
        <v>389.5557692307699</v>
      </c>
      <c r="BE99" s="13">
        <f>BD99*VLOOKUP('Données projet'!$B$11,Paramètres!$A$1:$I$89,3,0)*VLOOKUP('Données projet'!$B$11,Paramètres!$A$1:$I$89,5,0)</f>
        <v>182.31210000000033</v>
      </c>
      <c r="BF99" s="13">
        <f t="shared" si="91"/>
        <v>45.836203090068118</v>
      </c>
      <c r="BG99" s="20">
        <f t="shared" si="61"/>
        <v>397.35829454853587</v>
      </c>
      <c r="BH99" s="59">
        <f t="shared" si="62"/>
        <v>680.09937357696276</v>
      </c>
      <c r="BI99" s="59">
        <f ca="1">AVERAGE(OFFSET($BH$3,0,0,'Données projet'!$E$11+1,1))-AVERAGE(OFFSET($H$3,0,0,'Données projet'!$E$11+1,1))</f>
        <v>308.70979446846718</v>
      </c>
      <c r="BJ99" s="59">
        <f t="shared" si="92"/>
        <v>202.33469175293314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41.889292958539876</v>
      </c>
      <c r="BQ99" s="21">
        <f>EXP(-LN(2)/25)*BQ98+(1-EXP(-LN(2)/25))/(LN(2)/25)*Calculateur!BL99*Calculateur!BN99*VLOOKUP('Données projet'!$B$11,Paramètres!$A$1:$I$89,3,0)*0.475*44/12</f>
        <v>17.773931276413897</v>
      </c>
      <c r="BR99" s="21">
        <f>EXP(-LN(2)/2)*BR98+(1-EXP(-LN(2)/2))/(LN(2)/2)*BL99*BO99*VLOOKUP('Données projet'!$B$11,Paramètres!$A$1:$I$89,3,0)*0.475*44/12</f>
        <v>0.13399743755882174</v>
      </c>
      <c r="BS99" s="22">
        <f t="shared" si="63"/>
        <v>59.797221672512592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67.111203371389138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67.111203371389138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67.111203371389138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67.111203371389138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67.111203371389138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67.111203371389138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67.111203371389138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3.1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11.366666666666667</v>
      </c>
      <c r="H100" s="67">
        <f t="shared" si="56"/>
        <v>211.20000000000002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67.161317534513813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369.06880001017635</v>
      </c>
      <c r="T100" s="59">
        <f t="shared" si="88"/>
        <v>331.91233237772281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117.65748853309233</v>
      </c>
      <c r="AA100" s="21">
        <f>EXP(-LN(2)/25)*AA99+(1-EXP(-LN(2)/25))/(LN(2)/25)*Calculateur!V100*Calculateur!X100*VLOOKUP('Données projet'!$B$9,Paramètres!$A$1:$I$89,3,0)*0.475*44/12</f>
        <v>23.689135585347387</v>
      </c>
      <c r="AB100" s="21">
        <f>EXP(-LN(2)/2)*AB99+(1-EXP(-LN(2)/2))/(LN(2)/2)*V100*Y100*VLOOKUP('Données projet'!$B$9,Paramètres!$A$1:$I$89,3,0)*0.475*44/12</f>
        <v>3.2241124589467832E-2</v>
      </c>
      <c r="AC100" s="22">
        <f t="shared" si="57"/>
        <v>141.37886524302917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67.161317534513813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-5.6843418860808015E-14</v>
      </c>
      <c r="AJ100" s="13">
        <f>AI100*VLOOKUP('Données projet'!$B$10,Paramètres!$A$1:$I$89,3,0)*VLOOKUP('Données projet'!$B$10,Paramètres!$A$1:$I$89,5,0)</f>
        <v>-3.3992364478763198E-14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270.29397440778314</v>
      </c>
      <c r="AO100" s="59">
        <f t="shared" si="90"/>
        <v>281.95928682679596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62.342184242962382</v>
      </c>
      <c r="AV100" s="21">
        <f>EXP(-LN(2)/25)*AV99+(1-EXP(-LN(2)/25))/(LN(2)/25)*Calculateur!AQ100*Calculateur!AS100*VLOOKUP('Données projet'!$B$10,Paramètres!$A$1:$I$89,3,0)*0.475*44/12</f>
        <v>12.955134296692178</v>
      </c>
      <c r="AW100" s="21">
        <f>EXP(-LN(2)/2)*AW99+(1-EXP(-LN(2)/2))/(LN(2)/2)*AQ100*AT100*VLOOKUP('Données projet'!$B$10,Paramètres!$A$1:$I$89,3,0)*0.475*44/12</f>
        <v>8.6216533330094541E-5</v>
      </c>
      <c r="AX100" s="21">
        <f t="shared" si="60"/>
        <v>75.297404756187888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67.161317534513813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>
        <f>VLOOKUP(A100,'Données projet'!$A$87:$I$107,2,0)</f>
        <v>398.27692307692308</v>
      </c>
      <c r="BB100" s="12">
        <f>VLOOKUP(A100,'Données projet'!$A$87:$I$107,9,0)</f>
        <v>8.7211538461538485</v>
      </c>
      <c r="BC100" s="12">
        <f t="array" ref="BC100">INDEX(BB:BB,MIN(IF(ISNUMBER(BB100:BB296),ROW(BB100:BB296),"")))</f>
        <v>8.7211538461538485</v>
      </c>
      <c r="BD100" s="12">
        <f>IF('Données projet'!$A$88&gt;35,BD99+BC100-BL99,IF(A100&lt;'Données projet'!$A$88,$BA$205^A100,IF(A100='Données projet'!$A$88,'Données projet'!$B$88,BD99+BC100-BL99)))</f>
        <v>398.27692307692377</v>
      </c>
      <c r="BE100" s="13">
        <f>BD100*VLOOKUP('Données projet'!$B$11,Paramètres!$A$1:$I$89,3,0)*VLOOKUP('Données projet'!$B$11,Paramètres!$A$1:$I$89,5,0)</f>
        <v>186.39360000000033</v>
      </c>
      <c r="BF100" s="13">
        <f t="shared" si="91"/>
        <v>46.741741929451443</v>
      </c>
      <c r="BG100" s="20">
        <f t="shared" si="61"/>
        <v>406.04405386046182</v>
      </c>
      <c r="BH100" s="59">
        <f t="shared" si="62"/>
        <v>688.96888482034581</v>
      </c>
      <c r="BI100" s="59">
        <f ca="1">AVERAGE(OFFSET($BH$3,0,0,'Données projet'!$E$11+1,1))-AVERAGE(OFFSET($H$3,0,0,'Données projet'!$E$11+1,1))</f>
        <v>308.70979446846718</v>
      </c>
      <c r="BJ100" s="59">
        <f t="shared" si="92"/>
        <v>202.33469175293314</v>
      </c>
      <c r="BK100" s="15">
        <f>IF(ISNA(VLOOKUP(A100,'Données projet'!$A$87:$I$107,3,0)),0,VLOOKUP(A100,'Données projet'!$A$87:$I$107,3,0))</f>
        <v>5</v>
      </c>
      <c r="BL100" s="15">
        <f>IF(ISNA(VLOOKUP(A100,'Données projet'!$A$87:$I$107,4,0)),0,VLOOKUP(A100,'Données projet'!$A$87:$I$107,4,0))</f>
        <v>79.669230769230765</v>
      </c>
      <c r="BM100" s="16">
        <f>IF(ISNA(VLOOKUP(A100,'Données projet'!$A$87:$I$107,5,0)),0%,VLOOKUP(A100,'Données projet'!$A$87:$I$107,5,0)*VLOOKUP('Données projet'!$B$11,Paramètres!$A$1:$I$89,7,0))</f>
        <v>0.38500000000000001</v>
      </c>
      <c r="BN100" s="16">
        <f>IF(ISNA(VLOOKUP(A100,'Données projet'!$A$87:$I$107,6,0)),0%,VLOOKUP(A100,'Données projet'!$A$87:$I$107,6,0)*VLOOKUP('Données projet'!$B$11,Paramètres!$A$1:$I$89,7,0))</f>
        <v>9.240000000000001E-2</v>
      </c>
      <c r="BO100" s="16">
        <f>IF(ISNA(VLOOKUP(A100,'Données projet'!$A$87:$I$107,7,0)),0%,VLOOKUP(A100,'Données projet'!$A$87:$I$107,7,0))</f>
        <v>0.13200000000000001</v>
      </c>
      <c r="BP100" s="21">
        <f>EXP(-LN(2)/35)*BP99+(1-EXP(-LN(2)/35))/(LN(2)/35)*BL100*BM100*VLOOKUP('Données projet'!$B$11,Paramètres!$A$1:$I$89,3,0)*0.475*44/12</f>
        <v>60.110439571641187</v>
      </c>
      <c r="BQ100" s="21">
        <f>EXP(-LN(2)/25)*BQ99+(1-EXP(-LN(2)/25))/(LN(2)/25)*Calculateur!BL100*Calculateur!BN100*VLOOKUP('Données projet'!$B$11,Paramètres!$A$1:$I$89,3,0)*0.475*44/12</f>
        <v>21.84012432948392</v>
      </c>
      <c r="BR100" s="21">
        <f>EXP(-LN(2)/2)*BR99+(1-EXP(-LN(2)/2))/(LN(2)/2)*BL100*BO100*VLOOKUP('Données projet'!$B$11,Paramètres!$A$1:$I$89,3,0)*0.475*44/12</f>
        <v>5.6671975078443229</v>
      </c>
      <c r="BS100" s="22">
        <f t="shared" si="63"/>
        <v>87.617761408969429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67.161317534513813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67.161317534513813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67.161317534513813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67.161317534513813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67.161317534513813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67.161317534513813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67.161317534513813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3.1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11.366666666666667</v>
      </c>
      <c r="H101" s="67">
        <f t="shared" si="56"/>
        <v>211.20000000000002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67.210562328946764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369.06880001017635</v>
      </c>
      <c r="T101" s="59">
        <f t="shared" si="88"/>
        <v>331.91233237772281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115.35029694694029</v>
      </c>
      <c r="AA101" s="21">
        <f>EXP(-LN(2)/25)*AA100+(1-EXP(-LN(2)/25))/(LN(2)/25)*Calculateur!V101*Calculateur!X101*VLOOKUP('Données projet'!$B$9,Paramètres!$A$1:$I$89,3,0)*0.475*44/12</f>
        <v>23.041354927008566</v>
      </c>
      <c r="AB101" s="21">
        <f>EXP(-LN(2)/2)*AB100+(1-EXP(-LN(2)/2))/(LN(2)/2)*V101*Y101*VLOOKUP('Données projet'!$B$9,Paramètres!$A$1:$I$89,3,0)*0.475*44/12</f>
        <v>2.2797917830293047E-2</v>
      </c>
      <c r="AC101" s="22">
        <f t="shared" si="57"/>
        <v>138.41444979177916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67.210562328946764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-5.6843418860808015E-14</v>
      </c>
      <c r="AJ101" s="13">
        <f>AI101*VLOOKUP('Données projet'!$B$10,Paramètres!$A$1:$I$89,3,0)*VLOOKUP('Données projet'!$B$10,Paramètres!$A$1:$I$89,5,0)</f>
        <v>-3.3992364478763198E-14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270.29397440778314</v>
      </c>
      <c r="AO101" s="59">
        <f t="shared" si="90"/>
        <v>281.95928682679596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61.119692034935625</v>
      </c>
      <c r="AV101" s="21">
        <f>EXP(-LN(2)/25)*AV100+(1-EXP(-LN(2)/25))/(LN(2)/25)*Calculateur!AQ101*Calculateur!AS101*VLOOKUP('Données projet'!$B$10,Paramètres!$A$1:$I$89,3,0)*0.475*44/12</f>
        <v>12.600875468068226</v>
      </c>
      <c r="AW101" s="21">
        <f>EXP(-LN(2)/2)*AW100+(1-EXP(-LN(2)/2))/(LN(2)/2)*AQ101*AT101*VLOOKUP('Données projet'!$B$10,Paramètres!$A$1:$I$89,3,0)*0.475*44/12</f>
        <v>6.0964295368105843E-5</v>
      </c>
      <c r="AX101" s="21">
        <f t="shared" si="60"/>
        <v>73.720628467299221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67.210562328946764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7.882692307692305</v>
      </c>
      <c r="BD101" s="12">
        <f>IF('Données projet'!$A$88&gt;35,BD100+BC101-BL100,IF(A101&lt;'Données projet'!$A$88,$BA$205^A101,IF(A101='Données projet'!$A$88,'Données projet'!$B$88,BD100+BC101-BL100)))</f>
        <v>326.49038461538532</v>
      </c>
      <c r="BE101" s="13">
        <f>BD101*VLOOKUP('Données projet'!$B$11,Paramètres!$A$1:$I$89,3,0)*VLOOKUP('Données projet'!$B$11,Paramètres!$A$1:$I$89,5,0)</f>
        <v>152.79750000000033</v>
      </c>
      <c r="BF101" s="13">
        <f t="shared" si="91"/>
        <v>39.213642223408968</v>
      </c>
      <c r="BG101" s="20">
        <f t="shared" si="61"/>
        <v>334.41940603910456</v>
      </c>
      <c r="BH101" s="59">
        <f t="shared" si="62"/>
        <v>617.52480124524277</v>
      </c>
      <c r="BI101" s="59">
        <f ca="1">AVERAGE(OFFSET($BH$3,0,0,'Données projet'!$E$11+1,1))-AVERAGE(OFFSET($H$3,0,0,'Données projet'!$E$11+1,1))</f>
        <v>308.70979446846718</v>
      </c>
      <c r="BJ101" s="59">
        <f t="shared" si="92"/>
        <v>202.33469175293314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58.931710515389199</v>
      </c>
      <c r="BQ101" s="21">
        <f>EXP(-LN(2)/25)*BQ100+(1-EXP(-LN(2)/25))/(LN(2)/25)*Calculateur!BL101*Calculateur!BN101*VLOOKUP('Données projet'!$B$11,Paramètres!$A$1:$I$89,3,0)*0.475*44/12</f>
        <v>21.242904981171961</v>
      </c>
      <c r="BR101" s="21">
        <f>EXP(-LN(2)/2)*BR100+(1-EXP(-LN(2)/2))/(LN(2)/2)*BL101*BO101*VLOOKUP('Données projet'!$B$11,Paramètres!$A$1:$I$89,3,0)*0.475*44/12</f>
        <v>4.0073137881202232</v>
      </c>
      <c r="BS101" s="22">
        <f t="shared" si="63"/>
        <v>84.181929284681388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67.210562328946764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67.210562328946764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67.210562328946764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67.210562328946764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67.210562328946764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67.210562328946764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67.210562328946764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3.1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11.366666666666667</v>
      </c>
      <c r="H102" s="67">
        <f t="shared" si="56"/>
        <v>211.20000000000002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67.258952836291172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369.06880001017635</v>
      </c>
      <c r="T102" s="59">
        <f t="shared" si="88"/>
        <v>331.91233237772281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113.08834798054478</v>
      </c>
      <c r="AA102" s="21">
        <f>EXP(-LN(2)/25)*AA101+(1-EXP(-LN(2)/25))/(LN(2)/25)*Calculateur!V102*Calculateur!X102*VLOOKUP('Données projet'!$B$9,Paramètres!$A$1:$I$89,3,0)*0.475*44/12</f>
        <v>22.411287864837323</v>
      </c>
      <c r="AB102" s="21">
        <f>EXP(-LN(2)/2)*AB101+(1-EXP(-LN(2)/2))/(LN(2)/2)*V102*Y102*VLOOKUP('Données projet'!$B$9,Paramètres!$A$1:$I$89,3,0)*0.475*44/12</f>
        <v>1.6120562294733916E-2</v>
      </c>
      <c r="AC102" s="22">
        <f t="shared" si="57"/>
        <v>135.51575640767683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67.258952836291172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-5.6843418860808015E-14</v>
      </c>
      <c r="AJ102" s="13">
        <f>AI102*VLOOKUP('Données projet'!$B$10,Paramètres!$A$1:$I$89,3,0)*VLOOKUP('Données projet'!$B$10,Paramètres!$A$1:$I$89,5,0)</f>
        <v>-3.3992364478763198E-14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270.29397440778314</v>
      </c>
      <c r="AO102" s="59">
        <f t="shared" si="90"/>
        <v>281.95928682679596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59.921172153461647</v>
      </c>
      <c r="AV102" s="21">
        <f>EXP(-LN(2)/25)*AV101+(1-EXP(-LN(2)/25))/(LN(2)/25)*Calculateur!AQ102*Calculateur!AS102*VLOOKUP('Données projet'!$B$10,Paramètres!$A$1:$I$89,3,0)*0.475*44/12</f>
        <v>12.256303865742659</v>
      </c>
      <c r="AW102" s="21">
        <f>EXP(-LN(2)/2)*AW101+(1-EXP(-LN(2)/2))/(LN(2)/2)*AQ102*AT102*VLOOKUP('Données projet'!$B$10,Paramètres!$A$1:$I$89,3,0)*0.475*44/12</f>
        <v>4.3108266665047277E-5</v>
      </c>
      <c r="AX102" s="21">
        <f t="shared" si="60"/>
        <v>72.177519127470973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67.258952836291172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7.882692307692305</v>
      </c>
      <c r="BD102" s="12">
        <f>IF('Données projet'!$A$88&gt;35,BD101+BC102-BL101,IF(A102&lt;'Données projet'!$A$88,$BA$205^A102,IF(A102='Données projet'!$A$88,'Données projet'!$B$88,BD101+BC102-BL101)))</f>
        <v>334.37307692307763</v>
      </c>
      <c r="BE102" s="13">
        <f>BD102*VLOOKUP('Données projet'!$B$11,Paramètres!$A$1:$I$89,3,0)*VLOOKUP('Données projet'!$B$11,Paramètres!$A$1:$I$89,5,0)</f>
        <v>156.48660000000032</v>
      </c>
      <c r="BF102" s="13">
        <f t="shared" si="91"/>
        <v>40.049037096609261</v>
      </c>
      <c r="BG102" s="20">
        <f t="shared" si="61"/>
        <v>342.29956794326159</v>
      </c>
      <c r="BH102" s="59">
        <f t="shared" si="62"/>
        <v>625.5823950096626</v>
      </c>
      <c r="BI102" s="59">
        <f ca="1">AVERAGE(OFFSET($BH$3,0,0,'Données projet'!$E$11+1,1))-AVERAGE(OFFSET($H$3,0,0,'Données projet'!$E$11+1,1))</f>
        <v>308.70979446846718</v>
      </c>
      <c r="BJ102" s="59">
        <f t="shared" si="92"/>
        <v>202.33469175293314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57.776095616976576</v>
      </c>
      <c r="BQ102" s="21">
        <f>EXP(-LN(2)/25)*BQ101+(1-EXP(-LN(2)/25))/(LN(2)/25)*Calculateur!BL102*Calculateur!BN102*VLOOKUP('Données projet'!$B$11,Paramètres!$A$1:$I$89,3,0)*0.475*44/12</f>
        <v>20.662016627345992</v>
      </c>
      <c r="BR102" s="21">
        <f>EXP(-LN(2)/2)*BR101+(1-EXP(-LN(2)/2))/(LN(2)/2)*BL102*BO102*VLOOKUP('Données projet'!$B$11,Paramètres!$A$1:$I$89,3,0)*0.475*44/12</f>
        <v>2.8335987539221619</v>
      </c>
      <c r="BS102" s="22">
        <f t="shared" si="63"/>
        <v>81.271710998244728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67.258952836291172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67.258952836291172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67.258952836291172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67.258952836291172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67.258952836291172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67.258952836291172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67.258952836291172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3.1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11.366666666666667</v>
      </c>
      <c r="H103" s="67">
        <f t="shared" si="56"/>
        <v>211.20000000000002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67.306503876518093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369.06880001017635</v>
      </c>
      <c r="T103" s="59">
        <f t="shared" si="88"/>
        <v>331.91233237772281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110.87075445372764</v>
      </c>
      <c r="AA103" s="21">
        <f>EXP(-LN(2)/25)*AA102+(1-EXP(-LN(2)/25))/(LN(2)/25)*Calculateur!V103*Calculateur!X103*VLOOKUP('Données projet'!$B$9,Paramètres!$A$1:$I$89,3,0)*0.475*44/12</f>
        <v>21.79845001961494</v>
      </c>
      <c r="AB103" s="21">
        <f>EXP(-LN(2)/2)*AB102+(1-EXP(-LN(2)/2))/(LN(2)/2)*V103*Y103*VLOOKUP('Données projet'!$B$9,Paramètres!$A$1:$I$89,3,0)*0.475*44/12</f>
        <v>1.1398958915146523E-2</v>
      </c>
      <c r="AC103" s="22">
        <f t="shared" si="57"/>
        <v>132.68060343225773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67.306503876518093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-5.6843418860808015E-14</v>
      </c>
      <c r="AJ103" s="13">
        <f>AI103*VLOOKUP('Données projet'!$B$10,Paramètres!$A$1:$I$89,3,0)*VLOOKUP('Données projet'!$B$10,Paramètres!$A$1:$I$89,5,0)</f>
        <v>-3.3992364478763198E-14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270.29397440778314</v>
      </c>
      <c r="AO103" s="59">
        <f t="shared" si="90"/>
        <v>281.95928682679596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58.746154515838434</v>
      </c>
      <c r="AV103" s="21">
        <f>EXP(-LN(2)/25)*AV102+(1-EXP(-LN(2)/25))/(LN(2)/25)*Calculateur!AQ103*Calculateur!AS103*VLOOKUP('Données projet'!$B$10,Paramètres!$A$1:$I$89,3,0)*0.475*44/12</f>
        <v>11.921154592002917</v>
      </c>
      <c r="AW103" s="21">
        <f>EXP(-LN(2)/2)*AW102+(1-EXP(-LN(2)/2))/(LN(2)/2)*AQ103*AT103*VLOOKUP('Données projet'!$B$10,Paramètres!$A$1:$I$89,3,0)*0.475*44/12</f>
        <v>3.0482147684052928E-5</v>
      </c>
      <c r="AX103" s="21">
        <f t="shared" si="60"/>
        <v>70.667339589989027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67.306503876518093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7.882692307692305</v>
      </c>
      <c r="BD103" s="12">
        <f>IF('Données projet'!$A$88&gt;35,BD102+BC103-BL102,IF(A103&lt;'Données projet'!$A$88,$BA$205^A103,IF(A103='Données projet'!$A$88,'Données projet'!$B$88,BD102+BC103-BL102)))</f>
        <v>342.25576923076994</v>
      </c>
      <c r="BE103" s="13">
        <f>BD103*VLOOKUP('Données projet'!$B$11,Paramètres!$A$1:$I$89,3,0)*VLOOKUP('Données projet'!$B$11,Paramètres!$A$1:$I$89,5,0)</f>
        <v>160.17570000000035</v>
      </c>
      <c r="BF103" s="13">
        <f t="shared" si="91"/>
        <v>40.882142500403575</v>
      </c>
      <c r="BG103" s="20">
        <f t="shared" si="61"/>
        <v>350.17574235487018</v>
      </c>
      <c r="BH103" s="59">
        <f t="shared" si="62"/>
        <v>633.63292323543646</v>
      </c>
      <c r="BI103" s="59">
        <f ca="1">AVERAGE(OFFSET($BH$3,0,0,'Données projet'!$E$11+1,1))-AVERAGE(OFFSET($H$3,0,0,'Données projet'!$E$11+1,1))</f>
        <v>308.70979446846718</v>
      </c>
      <c r="BJ103" s="59">
        <f t="shared" si="92"/>
        <v>202.33469175293314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56.643141621866334</v>
      </c>
      <c r="BQ103" s="21">
        <f>EXP(-LN(2)/25)*BQ102+(1-EXP(-LN(2)/25))/(LN(2)/25)*Calculateur!BL103*Calculateur!BN103*VLOOKUP('Données projet'!$B$11,Paramètres!$A$1:$I$89,3,0)*0.475*44/12</f>
        <v>20.097012696102986</v>
      </c>
      <c r="BR103" s="21">
        <f>EXP(-LN(2)/2)*BR102+(1-EXP(-LN(2)/2))/(LN(2)/2)*BL103*BO103*VLOOKUP('Données projet'!$B$11,Paramètres!$A$1:$I$89,3,0)*0.475*44/12</f>
        <v>2.003656894060112</v>
      </c>
      <c r="BS103" s="22">
        <f t="shared" si="63"/>
        <v>78.743811212029428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67.306503876518093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67.306503876518093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67.306503876518093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67.306503876518093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67.306503876518093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67.306503876518093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67.306503876518093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3.1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11.366666666666667</v>
      </c>
      <c r="H104" s="67">
        <f t="shared" si="56"/>
        <v>211.20000000000002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67.353230012505307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369.06880001017635</v>
      </c>
      <c r="T104" s="59">
        <f t="shared" si="88"/>
        <v>331.91233237772281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108.6966465833729</v>
      </c>
      <c r="AA104" s="21">
        <f>EXP(-LN(2)/25)*AA103+(1-EXP(-LN(2)/25))/(LN(2)/25)*Calculateur!V104*Calculateur!X104*VLOOKUP('Données projet'!$B$9,Paramètres!$A$1:$I$89,3,0)*0.475*44/12</f>
        <v>21.202370257497904</v>
      </c>
      <c r="AB104" s="21">
        <f>EXP(-LN(2)/2)*AB103+(1-EXP(-LN(2)/2))/(LN(2)/2)*V104*Y104*VLOOKUP('Données projet'!$B$9,Paramètres!$A$1:$I$89,3,0)*0.475*44/12</f>
        <v>8.0602811473669579E-3</v>
      </c>
      <c r="AC104" s="22">
        <f t="shared" si="57"/>
        <v>129.90707712201817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67.353230012505307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-5.6843418860808015E-14</v>
      </c>
      <c r="AJ104" s="13">
        <f>AI104*VLOOKUP('Données projet'!$B$10,Paramètres!$A$1:$I$89,3,0)*VLOOKUP('Données projet'!$B$10,Paramètres!$A$1:$I$89,5,0)</f>
        <v>-3.3992364478763198E-14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270.29397440778314</v>
      </c>
      <c r="AO104" s="59">
        <f t="shared" si="90"/>
        <v>281.95928682679596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57.594178257399015</v>
      </c>
      <c r="AV104" s="21">
        <f>EXP(-LN(2)/25)*AV103+(1-EXP(-LN(2)/25))/(LN(2)/25)*Calculateur!AQ104*Calculateur!AS104*VLOOKUP('Données projet'!$B$10,Paramètres!$A$1:$I$89,3,0)*0.475*44/12</f>
        <v>11.595169992778324</v>
      </c>
      <c r="AW104" s="21">
        <f>EXP(-LN(2)/2)*AW103+(1-EXP(-LN(2)/2))/(LN(2)/2)*AQ104*AT104*VLOOKUP('Données projet'!$B$10,Paramètres!$A$1:$I$89,3,0)*0.475*44/12</f>
        <v>2.1554133332523642E-5</v>
      </c>
      <c r="AX104" s="21">
        <f t="shared" si="60"/>
        <v>69.189369804310672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67.353230012505307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7.882692307692305</v>
      </c>
      <c r="BD104" s="12">
        <f>IF('Données projet'!$A$88&gt;35,BD103+BC104-BL103,IF(A104&lt;'Données projet'!$A$88,$BA$205^A104,IF(A104='Données projet'!$A$88,'Données projet'!$B$88,BD103+BC104-BL103)))</f>
        <v>350.13846153846225</v>
      </c>
      <c r="BE104" s="13">
        <f>BD104*VLOOKUP('Données projet'!$B$11,Paramètres!$A$1:$I$89,3,0)*VLOOKUP('Données projet'!$B$11,Paramètres!$A$1:$I$89,5,0)</f>
        <v>163.86480000000032</v>
      </c>
      <c r="BF104" s="13">
        <f t="shared" si="91"/>
        <v>41.713017234350204</v>
      </c>
      <c r="BG104" s="20">
        <f t="shared" si="61"/>
        <v>358.04803168316045</v>
      </c>
      <c r="BH104" s="59">
        <f t="shared" si="62"/>
        <v>641.67654172901325</v>
      </c>
      <c r="BI104" s="59">
        <f ca="1">AVERAGE(OFFSET($BH$3,0,0,'Données projet'!$E$11+1,1))-AVERAGE(OFFSET($H$3,0,0,'Données projet'!$E$11+1,1))</f>
        <v>308.70979446846718</v>
      </c>
      <c r="BJ104" s="59">
        <f t="shared" si="92"/>
        <v>202.33469175293314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55.532404163566504</v>
      </c>
      <c r="BQ104" s="21">
        <f>EXP(-LN(2)/25)*BQ103+(1-EXP(-LN(2)/25))/(LN(2)/25)*Calculateur!BL104*Calculateur!BN104*VLOOKUP('Données projet'!$B$11,Paramètres!$A$1:$I$89,3,0)*0.475*44/12</f>
        <v>19.547458827072084</v>
      </c>
      <c r="BR104" s="21">
        <f>EXP(-LN(2)/2)*BR103+(1-EXP(-LN(2)/2))/(LN(2)/2)*BL104*BO104*VLOOKUP('Données projet'!$B$11,Paramètres!$A$1:$I$89,3,0)*0.475*44/12</f>
        <v>1.4167993769610812</v>
      </c>
      <c r="BS104" s="22">
        <f t="shared" si="63"/>
        <v>76.496662367599669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67.353230012505307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67.353230012505307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67.353230012505307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67.353230012505307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67.353230012505307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67.353230012505307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67.353230012505307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3.1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11.366666666666667</v>
      </c>
      <c r="H105" s="67">
        <f t="shared" si="56"/>
        <v>211.20000000000002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67.399145554497125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369.06880001017635</v>
      </c>
      <c r="T105" s="59">
        <f t="shared" si="88"/>
        <v>331.91233237772281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106.56517164228094</v>
      </c>
      <c r="AA105" s="21">
        <f>EXP(-LN(2)/25)*AA104+(1-EXP(-LN(2)/25))/(LN(2)/25)*Calculateur!V105*Calculateur!X105*VLOOKUP('Données projet'!$B$9,Paramètres!$A$1:$I$89,3,0)*0.475*44/12</f>
        <v>20.622590327822429</v>
      </c>
      <c r="AB105" s="21">
        <f>EXP(-LN(2)/2)*AB104+(1-EXP(-LN(2)/2))/(LN(2)/2)*V105*Y105*VLOOKUP('Données projet'!$B$9,Paramètres!$A$1:$I$89,3,0)*0.475*44/12</f>
        <v>5.6994794575732617E-3</v>
      </c>
      <c r="AC105" s="22">
        <f t="shared" si="57"/>
        <v>127.19346144956094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67.399145554497125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-5.6843418860808015E-14</v>
      </c>
      <c r="AJ105" s="13">
        <f>AI105*VLOOKUP('Données projet'!$B$10,Paramètres!$A$1:$I$89,3,0)*VLOOKUP('Données projet'!$B$10,Paramètres!$A$1:$I$89,5,0)</f>
        <v>-3.3992364478763198E-14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270.29397440778314</v>
      </c>
      <c r="AO105" s="59">
        <f t="shared" si="90"/>
        <v>281.95928682679596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56.464791550751457</v>
      </c>
      <c r="AV105" s="21">
        <f>EXP(-LN(2)/25)*AV104+(1-EXP(-LN(2)/25))/(LN(2)/25)*Calculateur!AQ105*Calculateur!AS105*VLOOKUP('Données projet'!$B$10,Paramètres!$A$1:$I$89,3,0)*0.475*44/12</f>
        <v>11.278099459562311</v>
      </c>
      <c r="AW105" s="21">
        <f>EXP(-LN(2)/2)*AW104+(1-EXP(-LN(2)/2))/(LN(2)/2)*AQ105*AT105*VLOOKUP('Données projet'!$B$10,Paramètres!$A$1:$I$89,3,0)*0.475*44/12</f>
        <v>1.5241073842026466E-5</v>
      </c>
      <c r="AX105" s="21">
        <f t="shared" si="60"/>
        <v>67.742906251387609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67.399145554497125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7.882692307692305</v>
      </c>
      <c r="BD105" s="12">
        <f>IF('Données projet'!$A$88&gt;35,BD104+BC105-BL104,IF(A105&lt;'Données projet'!$A$88,$BA$205^A105,IF(A105='Données projet'!$A$88,'Données projet'!$B$88,BD104+BC105-BL104)))</f>
        <v>358.02115384615456</v>
      </c>
      <c r="BE105" s="13">
        <f>BD105*VLOOKUP('Données projet'!$B$11,Paramètres!$A$1:$I$89,3,0)*VLOOKUP('Données projet'!$B$11,Paramètres!$A$1:$I$89,5,0)</f>
        <v>167.55390000000031</v>
      </c>
      <c r="BF105" s="13">
        <f t="shared" si="91"/>
        <v>42.541717299361345</v>
      </c>
      <c r="BG105" s="20">
        <f t="shared" si="61"/>
        <v>365.91653346305492</v>
      </c>
      <c r="BH105" s="59">
        <f t="shared" si="62"/>
        <v>649.71340049621108</v>
      </c>
      <c r="BI105" s="59">
        <f ca="1">AVERAGE(OFFSET($BH$3,0,0,'Données projet'!$E$11+1,1))-AVERAGE(OFFSET($H$3,0,0,'Données projet'!$E$11+1,1))</f>
        <v>308.70979446846718</v>
      </c>
      <c r="BJ105" s="59">
        <f t="shared" si="92"/>
        <v>202.33469175293314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54.443447589340977</v>
      </c>
      <c r="BQ105" s="21">
        <f>EXP(-LN(2)/25)*BQ104+(1-EXP(-LN(2)/25))/(LN(2)/25)*Calculateur!BL105*Calculateur!BN105*VLOOKUP('Données projet'!$B$11,Paramètres!$A$1:$I$89,3,0)*0.475*44/12</f>
        <v>19.012932537489615</v>
      </c>
      <c r="BR105" s="21">
        <f>EXP(-LN(2)/2)*BR104+(1-EXP(-LN(2)/2))/(LN(2)/2)*BL105*BO105*VLOOKUP('Données projet'!$B$11,Paramètres!$A$1:$I$89,3,0)*0.475*44/12</f>
        <v>1.0018284470300562</v>
      </c>
      <c r="BS105" s="22">
        <f t="shared" si="63"/>
        <v>74.458208573860645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67.399145554497125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67.399145554497125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67.399145554497125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67.399145554497125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67.399145554497125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67.399145554497125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67.399145554497125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3.1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11.366666666666667</v>
      </c>
      <c r="H106" s="67">
        <f t="shared" si="56"/>
        <v>211.20000000000002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67.444264564487156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369.06880001017635</v>
      </c>
      <c r="T106" s="59">
        <f t="shared" si="88"/>
        <v>331.91233237772281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104.47549362471247</v>
      </c>
      <c r="AA106" s="21">
        <f>EXP(-LN(2)/25)*AA105+(1-EXP(-LN(2)/25))/(LN(2)/25)*Calculateur!V106*Calculateur!X106*VLOOKUP('Données projet'!$B$9,Paramètres!$A$1:$I$89,3,0)*0.475*44/12</f>
        <v>20.058664510813234</v>
      </c>
      <c r="AB106" s="21">
        <f>EXP(-LN(2)/2)*AB105+(1-EXP(-LN(2)/2))/(LN(2)/2)*V106*Y106*VLOOKUP('Données projet'!$B$9,Paramètres!$A$1:$I$89,3,0)*0.475*44/12</f>
        <v>4.030140573683479E-3</v>
      </c>
      <c r="AC106" s="22">
        <f t="shared" si="57"/>
        <v>124.53818827609939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67.444264564487156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-5.6843418860808015E-14</v>
      </c>
      <c r="AJ106" s="13">
        <f>AI106*VLOOKUP('Données projet'!$B$10,Paramètres!$A$1:$I$89,3,0)*VLOOKUP('Données projet'!$B$10,Paramètres!$A$1:$I$89,5,0)</f>
        <v>-3.3992364478763198E-14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270.29397440778314</v>
      </c>
      <c r="AO106" s="59">
        <f t="shared" si="90"/>
        <v>281.95928682679596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55.35755142856339</v>
      </c>
      <c r="AV106" s="21">
        <f>EXP(-LN(2)/25)*AV105+(1-EXP(-LN(2)/25))/(LN(2)/25)*Calculateur!AQ106*Calculateur!AS106*VLOOKUP('Données projet'!$B$10,Paramètres!$A$1:$I$89,3,0)*0.475*44/12</f>
        <v>10.969699236751106</v>
      </c>
      <c r="AW106" s="21">
        <f>EXP(-LN(2)/2)*AW105+(1-EXP(-LN(2)/2))/(LN(2)/2)*AQ106*AT106*VLOOKUP('Données projet'!$B$10,Paramètres!$A$1:$I$89,3,0)*0.475*44/12</f>
        <v>1.0777066666261823E-5</v>
      </c>
      <c r="AX106" s="21">
        <f t="shared" si="60"/>
        <v>66.327261442381158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67.444264564487156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7.882692307692305</v>
      </c>
      <c r="BD106" s="12">
        <f>IF('Données projet'!$A$88&gt;35,BD105+BC106-BL105,IF(A106&lt;'Données projet'!$A$88,$BA$205^A106,IF(A106='Données projet'!$A$88,'Données projet'!$B$88,BD105+BC106-BL105)))</f>
        <v>365.90384615384687</v>
      </c>
      <c r="BE106" s="13">
        <f>BD106*VLOOKUP('Données projet'!$B$11,Paramètres!$A$1:$I$89,3,0)*VLOOKUP('Données projet'!$B$11,Paramètres!$A$1:$I$89,5,0)</f>
        <v>171.24300000000036</v>
      </c>
      <c r="BF106" s="13">
        <f t="shared" si="91"/>
        <v>43.368296089548551</v>
      </c>
      <c r="BG106" s="20">
        <f t="shared" si="61"/>
        <v>373.78134068929762</v>
      </c>
      <c r="BH106" s="59">
        <f t="shared" si="62"/>
        <v>657.74364409241718</v>
      </c>
      <c r="BI106" s="59">
        <f ca="1">AVERAGE(OFFSET($BH$3,0,0,'Données projet'!$E$11+1,1))-AVERAGE(OFFSET($H$3,0,0,'Données projet'!$E$11+1,1))</f>
        <v>308.70979446846718</v>
      </c>
      <c r="BJ106" s="59">
        <f t="shared" si="92"/>
        <v>202.33469175293314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53.375844789338089</v>
      </c>
      <c r="BQ106" s="21">
        <f>EXP(-LN(2)/25)*BQ105+(1-EXP(-LN(2)/25))/(LN(2)/25)*Calculateur!BL106*Calculateur!BN106*VLOOKUP('Données projet'!$B$11,Paramètres!$A$1:$I$89,3,0)*0.475*44/12</f>
        <v>18.493022897405293</v>
      </c>
      <c r="BR106" s="21">
        <f>EXP(-LN(2)/2)*BR105+(1-EXP(-LN(2)/2))/(LN(2)/2)*BL106*BO106*VLOOKUP('Données projet'!$B$11,Paramètres!$A$1:$I$89,3,0)*0.475*44/12</f>
        <v>0.7083996884805408</v>
      </c>
      <c r="BS106" s="22">
        <f t="shared" si="63"/>
        <v>72.577267375223926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67.444264564487156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67.444264564487156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67.444264564487156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67.444264564487156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67.444264564487156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67.444264564487156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67.444264564487156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3.1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11.366666666666667</v>
      </c>
      <c r="H107" s="67">
        <f t="shared" si="56"/>
        <v>211.20000000000002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67.488600860524855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369.06880001017635</v>
      </c>
      <c r="T107" s="59">
        <f t="shared" si="88"/>
        <v>331.91233237772281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102.42679291849078</v>
      </c>
      <c r="AA107" s="21">
        <f>EXP(-LN(2)/25)*AA106+(1-EXP(-LN(2)/25))/(LN(2)/25)*Calculateur!V107*Calculateur!X107*VLOOKUP('Données projet'!$B$9,Paramètres!$A$1:$I$89,3,0)*0.475*44/12</f>
        <v>19.510159274925723</v>
      </c>
      <c r="AB107" s="21">
        <f>EXP(-LN(2)/2)*AB106+(1-EXP(-LN(2)/2))/(LN(2)/2)*V107*Y107*VLOOKUP('Données projet'!$B$9,Paramètres!$A$1:$I$89,3,0)*0.475*44/12</f>
        <v>2.8497397287866309E-3</v>
      </c>
      <c r="AC107" s="22">
        <f t="shared" si="57"/>
        <v>121.93980193314529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67.488600860524855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-5.6843418860808015E-14</v>
      </c>
      <c r="AJ107" s="13">
        <f>AI107*VLOOKUP('Données projet'!$B$10,Paramètres!$A$1:$I$89,3,0)*VLOOKUP('Données projet'!$B$10,Paramètres!$A$1:$I$89,5,0)</f>
        <v>-3.3992364478763198E-14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270.29397440778314</v>
      </c>
      <c r="AO107" s="59">
        <f t="shared" si="90"/>
        <v>281.95928682679596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54.272023609821638</v>
      </c>
      <c r="AV107" s="21">
        <f>EXP(-LN(2)/25)*AV106+(1-EXP(-LN(2)/25))/(LN(2)/25)*Calculateur!AQ107*Calculateur!AS107*VLOOKUP('Données projet'!$B$10,Paramètres!$A$1:$I$89,3,0)*0.475*44/12</f>
        <v>10.669732234250736</v>
      </c>
      <c r="AW107" s="21">
        <f>EXP(-LN(2)/2)*AW106+(1-EXP(-LN(2)/2))/(LN(2)/2)*AQ107*AT107*VLOOKUP('Données projet'!$B$10,Paramètres!$A$1:$I$89,3,0)*0.475*44/12</f>
        <v>7.6205369210132346E-6</v>
      </c>
      <c r="AX107" s="21">
        <f t="shared" si="60"/>
        <v>64.941763464609295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67.488600860524855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7.882692307692305</v>
      </c>
      <c r="BD107" s="12">
        <f>IF('Données projet'!$A$88&gt;35,BD106+BC107-BL106,IF(A107&lt;'Données projet'!$A$88,$BA$205^A107,IF(A107='Données projet'!$A$88,'Données projet'!$B$88,BD106+BC107-BL106)))</f>
        <v>373.78653846153918</v>
      </c>
      <c r="BE107" s="13">
        <f>BD107*VLOOKUP('Données projet'!$B$11,Paramètres!$A$1:$I$89,3,0)*VLOOKUP('Données projet'!$B$11,Paramètres!$A$1:$I$89,5,0)</f>
        <v>174.93210000000036</v>
      </c>
      <c r="BF107" s="13">
        <f t="shared" si="91"/>
        <v>44.192804567069899</v>
      </c>
      <c r="BG107" s="20">
        <f t="shared" si="61"/>
        <v>381.64254212098064</v>
      </c>
      <c r="BH107" s="59">
        <f t="shared" si="62"/>
        <v>665.76741194290503</v>
      </c>
      <c r="BI107" s="59">
        <f ca="1">AVERAGE(OFFSET($BH$3,0,0,'Données projet'!$E$11+1,1))-AVERAGE(OFFSET($H$3,0,0,'Données projet'!$E$11+1,1))</f>
        <v>308.70979446846718</v>
      </c>
      <c r="BJ107" s="59">
        <f t="shared" si="92"/>
        <v>202.33469175293314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52.329177029069847</v>
      </c>
      <c r="BQ107" s="21">
        <f>EXP(-LN(2)/25)*BQ106+(1-EXP(-LN(2)/25))/(LN(2)/25)*Calculateur!BL107*Calculateur!BN107*VLOOKUP('Données projet'!$B$11,Paramètres!$A$1:$I$89,3,0)*0.475*44/12</f>
        <v>17.987330213769937</v>
      </c>
      <c r="BR107" s="21">
        <f>EXP(-LN(2)/2)*BR106+(1-EXP(-LN(2)/2))/(LN(2)/2)*BL107*BO107*VLOOKUP('Données projet'!$B$11,Paramètres!$A$1:$I$89,3,0)*0.475*44/12</f>
        <v>0.50091422351502823</v>
      </c>
      <c r="BS107" s="22">
        <f t="shared" si="63"/>
        <v>70.817421466354801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67.488600860524855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67.488600860524855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67.488600860524855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67.488600860524855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67.488600860524855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67.488600860524855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67.488600860524855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3.1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11.366666666666667</v>
      </c>
      <c r="H108" s="67">
        <f t="shared" si="56"/>
        <v>211.20000000000002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67.53216802094741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369.06880001017635</v>
      </c>
      <c r="T108" s="59">
        <f t="shared" si="88"/>
        <v>331.91233237772281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100.41826598353404</v>
      </c>
      <c r="AA108" s="21">
        <f>EXP(-LN(2)/25)*AA107+(1-EXP(-LN(2)/25))/(LN(2)/25)*Calculateur!V108*Calculateur!X108*VLOOKUP('Données projet'!$B$9,Paramètres!$A$1:$I$89,3,0)*0.475*44/12</f>
        <v>18.976652943558193</v>
      </c>
      <c r="AB108" s="21">
        <f>EXP(-LN(2)/2)*AB107+(1-EXP(-LN(2)/2))/(LN(2)/2)*V108*Y108*VLOOKUP('Données projet'!$B$9,Paramètres!$A$1:$I$89,3,0)*0.475*44/12</f>
        <v>2.0150702868417395E-3</v>
      </c>
      <c r="AC108" s="22">
        <f t="shared" si="57"/>
        <v>119.39693399737908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67.53216802094741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-5.6843418860808015E-14</v>
      </c>
      <c r="AJ108" s="13">
        <f>AI108*VLOOKUP('Données projet'!$B$10,Paramètres!$A$1:$I$89,3,0)*VLOOKUP('Données projet'!$B$10,Paramètres!$A$1:$I$89,5,0)</f>
        <v>-3.3992364478763198E-14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270.29397440778314</v>
      </c>
      <c r="AO108" s="59">
        <f t="shared" si="90"/>
        <v>281.95928682679596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53.207782329498819</v>
      </c>
      <c r="AV108" s="21">
        <f>EXP(-LN(2)/25)*AV107+(1-EXP(-LN(2)/25))/(LN(2)/25)*Calculateur!AQ108*Calculateur!AS108*VLOOKUP('Données projet'!$B$10,Paramètres!$A$1:$I$89,3,0)*0.475*44/12</f>
        <v>10.377967845208317</v>
      </c>
      <c r="AW108" s="21">
        <f>EXP(-LN(2)/2)*AW107+(1-EXP(-LN(2)/2))/(LN(2)/2)*AQ108*AT108*VLOOKUP('Données projet'!$B$10,Paramètres!$A$1:$I$89,3,0)*0.475*44/12</f>
        <v>5.3885333331309122E-6</v>
      </c>
      <c r="AX108" s="21">
        <f t="shared" si="60"/>
        <v>63.585755563240468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67.53216802094741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7.882692307692305</v>
      </c>
      <c r="BD108" s="12">
        <f>IF('Données projet'!$A$88&gt;35,BD107+BC108-BL107,IF(A108&lt;'Données projet'!$A$88,$BA$205^A108,IF(A108='Données projet'!$A$88,'Données projet'!$B$88,BD107+BC108-BL107)))</f>
        <v>381.66923076923149</v>
      </c>
      <c r="BE108" s="13">
        <f>BD108*VLOOKUP('Données projet'!$B$11,Paramètres!$A$1:$I$89,3,0)*VLOOKUP('Données projet'!$B$11,Paramètres!$A$1:$I$89,5,0)</f>
        <v>178.62120000000033</v>
      </c>
      <c r="BF108" s="13">
        <f t="shared" si="91"/>
        <v>45.01529142181213</v>
      </c>
      <c r="BG108" s="20">
        <f t="shared" si="61"/>
        <v>389.50022255965672</v>
      </c>
      <c r="BH108" s="59">
        <f t="shared" si="62"/>
        <v>673.78483863646386</v>
      </c>
      <c r="BI108" s="59">
        <f ca="1">AVERAGE(OFFSET($BH$3,0,0,'Données projet'!$E$11+1,1))-AVERAGE(OFFSET($H$3,0,0,'Données projet'!$E$11+1,1))</f>
        <v>308.70979446846718</v>
      </c>
      <c r="BJ108" s="59">
        <f t="shared" si="92"/>
        <v>202.33469175293314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51.303033785176169</v>
      </c>
      <c r="BQ108" s="21">
        <f>EXP(-LN(2)/25)*BQ107+(1-EXP(-LN(2)/25))/(LN(2)/25)*Calculateur!BL108*Calculateur!BN108*VLOOKUP('Données projet'!$B$11,Paramètres!$A$1:$I$89,3,0)*0.475*44/12</f>
        <v>17.495465723161814</v>
      </c>
      <c r="BR108" s="21">
        <f>EXP(-LN(2)/2)*BR107+(1-EXP(-LN(2)/2))/(LN(2)/2)*BL108*BO108*VLOOKUP('Données projet'!$B$11,Paramètres!$A$1:$I$89,3,0)*0.475*44/12</f>
        <v>0.35419984424027046</v>
      </c>
      <c r="BS108" s="22">
        <f t="shared" si="63"/>
        <v>69.152699352578253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67.53216802094741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67.53216802094741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67.53216802094741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67.53216802094741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67.53216802094741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67.53216802094741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67.53216802094741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3.1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11.366666666666667</v>
      </c>
      <c r="H109" s="67">
        <f t="shared" si="56"/>
        <v>211.20000000000002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67.574979388538196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369.06880001017635</v>
      </c>
      <c r="T109" s="59">
        <f t="shared" si="88"/>
        <v>331.91233237772281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98.449125036691342</v>
      </c>
      <c r="AA109" s="21">
        <f>EXP(-LN(2)/25)*AA108+(1-EXP(-LN(2)/25))/(LN(2)/25)*Calculateur!V109*Calculateur!X109*VLOOKUP('Données projet'!$B$9,Paramètres!$A$1:$I$89,3,0)*0.475*44/12</f>
        <v>18.457735370877788</v>
      </c>
      <c r="AB109" s="21">
        <f>EXP(-LN(2)/2)*AB108+(1-EXP(-LN(2)/2))/(LN(2)/2)*V109*Y109*VLOOKUP('Données projet'!$B$9,Paramètres!$A$1:$I$89,3,0)*0.475*44/12</f>
        <v>1.4248698643933154E-3</v>
      </c>
      <c r="AC109" s="22">
        <f t="shared" si="57"/>
        <v>116.90828527743352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67.574979388538196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-5.6843418860808015E-14</v>
      </c>
      <c r="AJ109" s="13">
        <f>AI109*VLOOKUP('Données projet'!$B$10,Paramètres!$A$1:$I$89,3,0)*VLOOKUP('Données projet'!$B$10,Paramètres!$A$1:$I$89,5,0)</f>
        <v>-3.3992364478763198E-14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270.29397440778314</v>
      </c>
      <c r="AO109" s="59">
        <f t="shared" si="90"/>
        <v>281.95928682679596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52.16441017156005</v>
      </c>
      <c r="AV109" s="21">
        <f>EXP(-LN(2)/25)*AV108+(1-EXP(-LN(2)/25))/(LN(2)/25)*Calculateur!AQ109*Calculateur!AS109*VLOOKUP('Données projet'!$B$10,Paramètres!$A$1:$I$89,3,0)*0.475*44/12</f>
        <v>10.094181768727486</v>
      </c>
      <c r="AW109" s="21">
        <f>EXP(-LN(2)/2)*AW108+(1-EXP(-LN(2)/2))/(LN(2)/2)*AQ109*AT109*VLOOKUP('Données projet'!$B$10,Paramètres!$A$1:$I$89,3,0)*0.475*44/12</f>
        <v>3.8102684605066177E-6</v>
      </c>
      <c r="AX109" s="21">
        <f t="shared" si="60"/>
        <v>62.258595750555997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67.574979388538196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7.882692307692305</v>
      </c>
      <c r="BD109" s="12">
        <f>IF('Données projet'!$A$88&gt;35,BD108+BC109-BL108,IF(A109&lt;'Données projet'!$A$88,$BA$205^A109,IF(A109='Données projet'!$A$88,'Données projet'!$B$88,BD108+BC109-BL108)))</f>
        <v>389.5519230769238</v>
      </c>
      <c r="BE109" s="13">
        <f>BD109*VLOOKUP('Données projet'!$B$11,Paramètres!$A$1:$I$89,3,0)*VLOOKUP('Données projet'!$B$11,Paramètres!$A$1:$I$89,5,0)</f>
        <v>182.31030000000032</v>
      </c>
      <c r="BF109" s="13">
        <f t="shared" si="91"/>
        <v>45.835803217507902</v>
      </c>
      <c r="BG109" s="20">
        <f t="shared" si="61"/>
        <v>397.35446310382684</v>
      </c>
      <c r="BH109" s="59">
        <f t="shared" si="62"/>
        <v>681.79605419513359</v>
      </c>
      <c r="BI109" s="59">
        <f ca="1">AVERAGE(OFFSET($BH$3,0,0,'Données projet'!$E$11+1,1))-AVERAGE(OFFSET($H$3,0,0,'Données projet'!$E$11+1,1))</f>
        <v>308.70979446846718</v>
      </c>
      <c r="BJ109" s="59">
        <f t="shared" si="92"/>
        <v>202.33469175293314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50.297012584409671</v>
      </c>
      <c r="BQ109" s="21">
        <f>EXP(-LN(2)/25)*BQ108+(1-EXP(-LN(2)/25))/(LN(2)/25)*Calculateur!BL109*Calculateur!BN109*VLOOKUP('Données projet'!$B$11,Paramètres!$A$1:$I$89,3,0)*0.475*44/12</f>
        <v>17.017051292915397</v>
      </c>
      <c r="BR109" s="21">
        <f>EXP(-LN(2)/2)*BR108+(1-EXP(-LN(2)/2))/(LN(2)/2)*BL109*BO109*VLOOKUP('Données projet'!$B$11,Paramètres!$A$1:$I$89,3,0)*0.475*44/12</f>
        <v>0.25045711175751417</v>
      </c>
      <c r="BS109" s="22">
        <f t="shared" si="63"/>
        <v>67.564520989082581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67.574979388538196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67.574979388538196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67.574979388538196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67.574979388538196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67.574979388538196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67.574979388538196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67.574979388538196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3.1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11.366666666666667</v>
      </c>
      <c r="H110" s="67">
        <f t="shared" si="56"/>
        <v>211.20000000000002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67.61704807461318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369.06880001017635</v>
      </c>
      <c r="T110" s="59">
        <f t="shared" si="88"/>
        <v>331.91233237772281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96.518597742758843</v>
      </c>
      <c r="AA110" s="21">
        <f>EXP(-LN(2)/25)*AA109+(1-EXP(-LN(2)/25))/(LN(2)/25)*Calculateur!V110*Calculateur!X110*VLOOKUP('Données projet'!$B$9,Paramètres!$A$1:$I$89,3,0)*0.475*44/12</f>
        <v>17.953007626511017</v>
      </c>
      <c r="AB110" s="21">
        <f>EXP(-LN(2)/2)*AB109+(1-EXP(-LN(2)/2))/(LN(2)/2)*V110*Y110*VLOOKUP('Données projet'!$B$9,Paramètres!$A$1:$I$89,3,0)*0.475*44/12</f>
        <v>1.0075351434208697E-3</v>
      </c>
      <c r="AC110" s="22">
        <f t="shared" si="57"/>
        <v>114.47261290441328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67.61704807461318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-5.6843418860808015E-14</v>
      </c>
      <c r="AJ110" s="13">
        <f>AI110*VLOOKUP('Données projet'!$B$10,Paramètres!$A$1:$I$89,3,0)*VLOOKUP('Données projet'!$B$10,Paramètres!$A$1:$I$89,5,0)</f>
        <v>-3.3992364478763198E-14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270.29397440778314</v>
      </c>
      <c r="AO110" s="59">
        <f t="shared" si="90"/>
        <v>281.95928682679596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51.141497905244279</v>
      </c>
      <c r="AV110" s="21">
        <f>EXP(-LN(2)/25)*AV109+(1-EXP(-LN(2)/25))/(LN(2)/25)*Calculateur!AQ110*Calculateur!AS110*VLOOKUP('Données projet'!$B$10,Paramètres!$A$1:$I$89,3,0)*0.475*44/12</f>
        <v>9.818155837431684</v>
      </c>
      <c r="AW110" s="21">
        <f>EXP(-LN(2)/2)*AW109+(1-EXP(-LN(2)/2))/(LN(2)/2)*AQ110*AT110*VLOOKUP('Données projet'!$B$10,Paramètres!$A$1:$I$89,3,0)*0.475*44/12</f>
        <v>2.6942666665654565E-6</v>
      </c>
      <c r="AX110" s="21">
        <f t="shared" si="60"/>
        <v>60.95965643694263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67.61704807461318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7.882692307692305</v>
      </c>
      <c r="BD110" s="12">
        <f>IF('Données projet'!$A$88&gt;35,BD109+BC110-BL109,IF(A110&lt;'Données projet'!$A$88,$BA$205^A110,IF(A110='Données projet'!$A$88,'Données projet'!$B$88,BD109+BC110-BL109)))</f>
        <v>397.43461538461611</v>
      </c>
      <c r="BE110" s="13">
        <f>BD110*VLOOKUP('Données projet'!$B$11,Paramètres!$A$1:$I$89,3,0)*VLOOKUP('Données projet'!$B$11,Paramètres!$A$1:$I$89,5,0)</f>
        <v>185.99940000000032</v>
      </c>
      <c r="BF110" s="13">
        <f t="shared" si="91"/>
        <v>46.654384525692834</v>
      </c>
      <c r="BG110" s="20">
        <f t="shared" si="61"/>
        <v>405.20534138224889</v>
      </c>
      <c r="BH110" s="59">
        <f t="shared" si="62"/>
        <v>689.80118432249719</v>
      </c>
      <c r="BI110" s="59">
        <f ca="1">AVERAGE(OFFSET($BH$3,0,0,'Données projet'!$E$11+1,1))-AVERAGE(OFFSET($H$3,0,0,'Données projet'!$E$11+1,1))</f>
        <v>308.70979446846718</v>
      </c>
      <c r="BJ110" s="59">
        <f t="shared" si="92"/>
        <v>202.33469175293314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49.310718845777856</v>
      </c>
      <c r="BQ110" s="21">
        <f>EXP(-LN(2)/25)*BQ109+(1-EXP(-LN(2)/25))/(LN(2)/25)*Calculateur!BL110*Calculateur!BN110*VLOOKUP('Données projet'!$B$11,Paramètres!$A$1:$I$89,3,0)*0.475*44/12</f>
        <v>16.551719130422793</v>
      </c>
      <c r="BR110" s="21">
        <f>EXP(-LN(2)/2)*BR109+(1-EXP(-LN(2)/2))/(LN(2)/2)*BL110*BO110*VLOOKUP('Données projet'!$B$11,Paramètres!$A$1:$I$89,3,0)*0.475*44/12</f>
        <v>0.17709992212013526</v>
      </c>
      <c r="BS110" s="22">
        <f t="shared" si="63"/>
        <v>66.039537898320788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67.61704807461318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67.61704807461318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67.61704807461318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67.61704807461318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67.61704807461318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67.61704807461318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67.61704807461318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3.1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11.366666666666667</v>
      </c>
      <c r="H111" s="67">
        <f t="shared" si="56"/>
        <v>211.20000000000002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67.658386963036264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369.06880001017635</v>
      </c>
      <c r="T111" s="59">
        <f t="shared" si="88"/>
        <v>331.91233237772281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94.625926911554984</v>
      </c>
      <c r="AA111" s="21">
        <f>EXP(-LN(2)/25)*AA110+(1-EXP(-LN(2)/25))/(LN(2)/25)*Calculateur!V111*Calculateur!X111*VLOOKUP('Données projet'!$B$9,Paramètres!$A$1:$I$89,3,0)*0.475*44/12</f>
        <v>17.462081688856433</v>
      </c>
      <c r="AB111" s="21">
        <f>EXP(-LN(2)/2)*AB110+(1-EXP(-LN(2)/2))/(LN(2)/2)*V111*Y111*VLOOKUP('Données projet'!$B$9,Paramètres!$A$1:$I$89,3,0)*0.475*44/12</f>
        <v>7.1243493219665772E-4</v>
      </c>
      <c r="AC111" s="22">
        <f t="shared" si="57"/>
        <v>112.08872103534361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67.658386963036264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-5.6843418860808015E-14</v>
      </c>
      <c r="AJ111" s="13">
        <f>AI111*VLOOKUP('Données projet'!$B$10,Paramètres!$A$1:$I$89,3,0)*VLOOKUP('Données projet'!$B$10,Paramètres!$A$1:$I$89,5,0)</f>
        <v>-3.3992364478763198E-14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270.29397440778314</v>
      </c>
      <c r="AO111" s="59">
        <f t="shared" si="90"/>
        <v>281.95928682679596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50.138644324556083</v>
      </c>
      <c r="AV111" s="21">
        <f>EXP(-LN(2)/25)*AV110+(1-EXP(-LN(2)/25))/(LN(2)/25)*Calculateur!AQ111*Calculateur!AS111*VLOOKUP('Données projet'!$B$10,Paramètres!$A$1:$I$89,3,0)*0.475*44/12</f>
        <v>9.5496778497427393</v>
      </c>
      <c r="AW111" s="21">
        <f>EXP(-LN(2)/2)*AW110+(1-EXP(-LN(2)/2))/(LN(2)/2)*AQ111*AT111*VLOOKUP('Données projet'!$B$10,Paramètres!$A$1:$I$89,3,0)*0.475*44/12</f>
        <v>1.9051342302533093E-6</v>
      </c>
      <c r="AX111" s="21">
        <f t="shared" si="60"/>
        <v>59.688324079433052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67.658386963036264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7.882692307692305</v>
      </c>
      <c r="BD111" s="12">
        <f>IF('Données projet'!$A$88&gt;35,BD110+BC111-BL110,IF(A111&lt;'Données projet'!$A$88,$BA$205^A111,IF(A111='Données projet'!$A$88,'Données projet'!$B$88,BD110+BC111-BL110)))</f>
        <v>405.31730769230842</v>
      </c>
      <c r="BE111" s="13">
        <f>BD111*VLOOKUP('Données projet'!$B$11,Paramètres!$A$1:$I$89,3,0)*VLOOKUP('Données projet'!$B$11,Paramètres!$A$1:$I$89,5,0)</f>
        <v>189.68850000000032</v>
      </c>
      <c r="BF111" s="13">
        <f t="shared" si="91"/>
        <v>47.471078048734149</v>
      </c>
      <c r="BG111" s="20">
        <f t="shared" si="61"/>
        <v>413.05293176821243</v>
      </c>
      <c r="BH111" s="59">
        <f t="shared" si="62"/>
        <v>697.80035063267871</v>
      </c>
      <c r="BI111" s="59">
        <f ca="1">AVERAGE(OFFSET($BH$3,0,0,'Données projet'!$E$11+1,1))-AVERAGE(OFFSET($H$3,0,0,'Données projet'!$E$11+1,1))</f>
        <v>308.70979446846718</v>
      </c>
      <c r="BJ111" s="59">
        <f t="shared" si="92"/>
        <v>202.33469175293314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48.343765725780834</v>
      </c>
      <c r="BQ111" s="21">
        <f>EXP(-LN(2)/25)*BQ110+(1-EXP(-LN(2)/25))/(LN(2)/25)*Calculateur!BL111*Calculateur!BN111*VLOOKUP('Données projet'!$B$11,Paramètres!$A$1:$I$89,3,0)*0.475*44/12</f>
        <v>16.099111500384303</v>
      </c>
      <c r="BR111" s="21">
        <f>EXP(-LN(2)/2)*BR110+(1-EXP(-LN(2)/2))/(LN(2)/2)*BL111*BO111*VLOOKUP('Données projet'!$B$11,Paramètres!$A$1:$I$89,3,0)*0.475*44/12</f>
        <v>0.12522855587875709</v>
      </c>
      <c r="BS111" s="22">
        <f t="shared" si="63"/>
        <v>64.568105782043901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67.658386963036264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67.658386963036264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67.658386963036264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67.658386963036264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67.658386963036264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67.658386963036264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67.658386963036264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3.1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11.366666666666667</v>
      </c>
      <c r="H112" s="67">
        <f t="shared" si="56"/>
        <v>211.20000000000002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67.699008714165103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369.06880001017635</v>
      </c>
      <c r="T112" s="59">
        <f t="shared" si="88"/>
        <v>331.91233237772281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92.770370200935815</v>
      </c>
      <c r="AA112" s="21">
        <f>EXP(-LN(2)/25)*AA111+(1-EXP(-LN(2)/25))/(LN(2)/25)*Calculateur!V112*Calculateur!X112*VLOOKUP('Données projet'!$B$9,Paramètres!$A$1:$I$89,3,0)*0.475*44/12</f>
        <v>16.984580146783689</v>
      </c>
      <c r="AB112" s="21">
        <f>EXP(-LN(2)/2)*AB111+(1-EXP(-LN(2)/2))/(LN(2)/2)*V112*Y112*VLOOKUP('Données projet'!$B$9,Paramètres!$A$1:$I$89,3,0)*0.475*44/12</f>
        <v>5.0376757171043487E-4</v>
      </c>
      <c r="AC112" s="22">
        <f t="shared" si="57"/>
        <v>109.75545411529122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67.699008714165103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-5.6843418860808015E-14</v>
      </c>
      <c r="AJ112" s="13">
        <f>AI112*VLOOKUP('Données projet'!$B$10,Paramètres!$A$1:$I$89,3,0)*VLOOKUP('Données projet'!$B$10,Paramètres!$A$1:$I$89,5,0)</f>
        <v>-3.3992364478763198E-14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270.29397440778314</v>
      </c>
      <c r="AO112" s="59">
        <f t="shared" si="90"/>
        <v>281.95928682679596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49.155456090904899</v>
      </c>
      <c r="AV112" s="21">
        <f>EXP(-LN(2)/25)*AV111+(1-EXP(-LN(2)/25))/(LN(2)/25)*Calculateur!AQ112*Calculateur!AS112*VLOOKUP('Données projet'!$B$10,Paramètres!$A$1:$I$89,3,0)*0.475*44/12</f>
        <v>9.2885414067457912</v>
      </c>
      <c r="AW112" s="21">
        <f>EXP(-LN(2)/2)*AW111+(1-EXP(-LN(2)/2))/(LN(2)/2)*AQ112*AT112*VLOOKUP('Données projet'!$B$10,Paramètres!$A$1:$I$89,3,0)*0.475*44/12</f>
        <v>1.3471333332827285E-6</v>
      </c>
      <c r="AX112" s="21">
        <f t="shared" si="60"/>
        <v>58.443998844784026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67.699008714165103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413.2</v>
      </c>
      <c r="BB112" s="12">
        <f>VLOOKUP(A112,'Données projet'!$A$87:$I$107,9,0)</f>
        <v>7.882692307692305</v>
      </c>
      <c r="BC112" s="12">
        <f t="array" ref="BC112">INDEX(BB:BB,MIN(IF(ISNUMBER(BB112:BB308),ROW(BB112:BB308),"")))</f>
        <v>7.882692307692305</v>
      </c>
      <c r="BD112" s="12">
        <f>IF('Données projet'!$A$88&gt;35,BD111+BC112-BL111,IF(A112&lt;'Données projet'!$A$88,$BA$205^A112,IF(A112='Données projet'!$A$88,'Données projet'!$B$88,BD111+BC112-BL111)))</f>
        <v>413.20000000000073</v>
      </c>
      <c r="BE112" s="13">
        <f>BD112*VLOOKUP('Données projet'!$B$11,Paramètres!$A$1:$I$89,3,0)*VLOOKUP('Données projet'!$B$11,Paramètres!$A$1:$I$89,5,0)</f>
        <v>193.37760000000034</v>
      </c>
      <c r="BF112" s="13">
        <f t="shared" si="91"/>
        <v>48.285924733018319</v>
      </c>
      <c r="BG112" s="20">
        <f t="shared" si="61"/>
        <v>420.89730557667417</v>
      </c>
      <c r="BH112" s="59">
        <f t="shared" si="62"/>
        <v>705.79367086194623</v>
      </c>
      <c r="BI112" s="59">
        <f ca="1">AVERAGE(OFFSET($BH$3,0,0,'Données projet'!$E$11+1,1))-AVERAGE(OFFSET($H$3,0,0,'Données projet'!$E$11+1,1))</f>
        <v>308.70979446846718</v>
      </c>
      <c r="BJ112" s="59">
        <f t="shared" si="92"/>
        <v>202.33469175293314</v>
      </c>
      <c r="BK112" s="15">
        <f>IF(ISNA(VLOOKUP(A112,'Données projet'!$A$87:$I$107,3,0)),0,VLOOKUP(A112,'Données projet'!$A$87:$I$107,3,0))</f>
        <v>6</v>
      </c>
      <c r="BL112" s="15">
        <f>IF(ISNA(VLOOKUP(A112,'Données projet'!$A$87:$I$107,4,0)),0,VLOOKUP(A112,'Données projet'!$A$87:$I$107,4,0))</f>
        <v>80.653846153846146</v>
      </c>
      <c r="BM112" s="16">
        <f>IF(ISNA(VLOOKUP(A112,'Données projet'!$A$87:$I$107,5,0)),0%,VLOOKUP(A112,'Données projet'!$A$87:$I$107,5,0)*VLOOKUP('Données projet'!$B$11,Paramètres!$A$1:$I$89,7,0))</f>
        <v>0.38500000000000001</v>
      </c>
      <c r="BN112" s="16">
        <f>IF(ISNA(VLOOKUP(A112,'Données projet'!$A$87:$I$107,6,0)),0%,VLOOKUP(A112,'Données projet'!$A$87:$I$107,6,0)*VLOOKUP('Données projet'!$B$11,Paramètres!$A$1:$I$89,7,0))</f>
        <v>9.240000000000001E-2</v>
      </c>
      <c r="BO112" s="16">
        <f>IF(ISNA(VLOOKUP(A112,'Données projet'!$A$87:$I$107,7,0)),0%,VLOOKUP(A112,'Données projet'!$A$87:$I$107,7,0))</f>
        <v>0.13200000000000001</v>
      </c>
      <c r="BP112" s="21">
        <f>EXP(-LN(2)/35)*BP111+(1-EXP(-LN(2)/35))/(LN(2)/35)*BL112*BM112*VLOOKUP('Données projet'!$B$11,Paramètres!$A$1:$I$89,3,0)*0.475*44/12</f>
        <v>66.673687211666817</v>
      </c>
      <c r="BQ112" s="21">
        <f>EXP(-LN(2)/25)*BQ111+(1-EXP(-LN(2)/25))/(LN(2)/25)*Calculateur!BL112*Calculateur!BN112*VLOOKUP('Données projet'!$B$11,Paramètres!$A$1:$I$89,3,0)*0.475*44/12</f>
        <v>20.267362551009228</v>
      </c>
      <c r="BR112" s="21">
        <f>EXP(-LN(2)/2)*BR111+(1-EXP(-LN(2)/2))/(LN(2)/2)*BL112*BO112*VLOOKUP('Données projet'!$B$11,Paramètres!$A$1:$I$89,3,0)*0.475*44/12</f>
        <v>5.7298656809813524</v>
      </c>
      <c r="BS112" s="22">
        <f t="shared" si="63"/>
        <v>92.670915443657393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67.699008714165103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67.699008714165103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67.699008714165103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67.699008714165103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67.699008714165103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67.699008714165103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67.699008714165103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3.1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11.366666666666667</v>
      </c>
      <c r="H113" s="67">
        <f t="shared" si="56"/>
        <v>211.20000000000002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67.738925768728478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369.06880001017635</v>
      </c>
      <c r="T113" s="59">
        <f t="shared" si="88"/>
        <v>331.91233237772281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90.951199825634049</v>
      </c>
      <c r="AA113" s="21">
        <f>EXP(-LN(2)/25)*AA112+(1-EXP(-LN(2)/25))/(LN(2)/25)*Calculateur!V113*Calculateur!X113*VLOOKUP('Données projet'!$B$9,Paramètres!$A$1:$I$89,3,0)*0.475*44/12</f>
        <v>16.520135909489639</v>
      </c>
      <c r="AB113" s="21">
        <f>EXP(-LN(2)/2)*AB112+(1-EXP(-LN(2)/2))/(LN(2)/2)*V113*Y113*VLOOKUP('Données projet'!$B$9,Paramètres!$A$1:$I$89,3,0)*0.475*44/12</f>
        <v>3.5621746609832886E-4</v>
      </c>
      <c r="AC113" s="22">
        <f t="shared" si="57"/>
        <v>107.47169195258978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67.738925768728478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-5.6843418860808015E-14</v>
      </c>
      <c r="AJ113" s="13">
        <f>AI113*VLOOKUP('Données projet'!$B$10,Paramètres!$A$1:$I$89,3,0)*VLOOKUP('Données projet'!$B$10,Paramètres!$A$1:$I$89,5,0)</f>
        <v>-3.3992364478763198E-14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270.29397440778314</v>
      </c>
      <c r="AO113" s="59">
        <f t="shared" si="90"/>
        <v>281.95928682679596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48.191547578830004</v>
      </c>
      <c r="AV113" s="21">
        <f>EXP(-LN(2)/25)*AV112+(1-EXP(-LN(2)/25))/(LN(2)/25)*Calculateur!AQ113*Calculateur!AS113*VLOOKUP('Données projet'!$B$10,Paramètres!$A$1:$I$89,3,0)*0.475*44/12</f>
        <v>9.0345457535151645</v>
      </c>
      <c r="AW113" s="21">
        <f>EXP(-LN(2)/2)*AW112+(1-EXP(-LN(2)/2))/(LN(2)/2)*AQ113*AT113*VLOOKUP('Données projet'!$B$10,Paramètres!$A$1:$I$89,3,0)*0.475*44/12</f>
        <v>9.5256711512665475E-7</v>
      </c>
      <c r="AX113" s="21">
        <f t="shared" si="60"/>
        <v>57.226094284912286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67.738925768728478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7.0884615384615346</v>
      </c>
      <c r="BD113" s="12">
        <f>IF('Données projet'!$A$88&gt;35,BD112+BC113-BL112,IF(A113&lt;'Données projet'!$A$88,$BA$205^A113,IF(A113='Données projet'!$A$88,'Données projet'!$B$88,BD112+BC113-BL112)))</f>
        <v>339.63461538461615</v>
      </c>
      <c r="BE113" s="13">
        <f>BD113*VLOOKUP('Données projet'!$B$11,Paramètres!$A$1:$I$89,3,0)*VLOOKUP('Données projet'!$B$11,Paramètres!$A$1:$I$89,5,0)</f>
        <v>158.94900000000035</v>
      </c>
      <c r="BF113" s="13">
        <f t="shared" si="91"/>
        <v>40.605368573899682</v>
      </c>
      <c r="BG113" s="20">
        <f t="shared" si="61"/>
        <v>347.55719193287587</v>
      </c>
      <c r="BH113" s="59">
        <f t="shared" si="62"/>
        <v>632.59991975154696</v>
      </c>
      <c r="BI113" s="59">
        <f ca="1">AVERAGE(OFFSET($BH$3,0,0,'Données projet'!$E$11+1,1))-AVERAGE(OFFSET($H$3,0,0,'Données projet'!$E$11+1,1))</f>
        <v>308.70979446846718</v>
      </c>
      <c r="BJ113" s="59">
        <f t="shared" si="92"/>
        <v>202.33469175293314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65.366256872379708</v>
      </c>
      <c r="BQ113" s="21">
        <f>EXP(-LN(2)/25)*BQ112+(1-EXP(-LN(2)/25))/(LN(2)/25)*Calculateur!BL113*Calculateur!BN113*VLOOKUP('Données projet'!$B$11,Paramètres!$A$1:$I$89,3,0)*0.475*44/12</f>
        <v>19.713150456237607</v>
      </c>
      <c r="BR113" s="21">
        <f>EXP(-LN(2)/2)*BR112+(1-EXP(-LN(2)/2))/(LN(2)/2)*BL113*BO113*VLOOKUP('Données projet'!$B$11,Paramètres!$A$1:$I$89,3,0)*0.475*44/12</f>
        <v>4.0516268783099898</v>
      </c>
      <c r="BS113" s="22">
        <f t="shared" si="63"/>
        <v>89.13103420692731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67.738925768728478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67.738925768728478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67.738925768728478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67.738925768728478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67.738925768728478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67.738925768728478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67.738925768728478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3.1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11.366666666666667</v>
      </c>
      <c r="H114" s="67">
        <f t="shared" si="56"/>
        <v>211.20000000000002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67.778150351636356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369.06880001017635</v>
      </c>
      <c r="T114" s="59">
        <f t="shared" si="88"/>
        <v>331.91233237772281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89.167702271807585</v>
      </c>
      <c r="AA114" s="21">
        <f>EXP(-LN(2)/25)*AA113+(1-EXP(-LN(2)/25))/(LN(2)/25)*Calculateur!V114*Calculateur!X114*VLOOKUP('Données projet'!$B$9,Paramètres!$A$1:$I$89,3,0)*0.475*44/12</f>
        <v>16.068391924288456</v>
      </c>
      <c r="AB114" s="21">
        <f>EXP(-LN(2)/2)*AB113+(1-EXP(-LN(2)/2))/(LN(2)/2)*V114*Y114*VLOOKUP('Données projet'!$B$9,Paramètres!$A$1:$I$89,3,0)*0.475*44/12</f>
        <v>2.5188378585521743E-4</v>
      </c>
      <c r="AC114" s="22">
        <f t="shared" si="57"/>
        <v>105.2363460798819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67.778150351636356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-5.6843418860808015E-14</v>
      </c>
      <c r="AJ114" s="13">
        <f>AI114*VLOOKUP('Données projet'!$B$10,Paramètres!$A$1:$I$89,3,0)*VLOOKUP('Données projet'!$B$10,Paramètres!$A$1:$I$89,5,0)</f>
        <v>-3.3992364478763198E-14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270.29397440778314</v>
      </c>
      <c r="AO114" s="59">
        <f t="shared" si="90"/>
        <v>281.95928682679596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47.246540724750758</v>
      </c>
      <c r="AV114" s="21">
        <f>EXP(-LN(2)/25)*AV113+(1-EXP(-LN(2)/25))/(LN(2)/25)*Calculateur!AQ114*Calculateur!AS114*VLOOKUP('Données projet'!$B$10,Paramètres!$A$1:$I$89,3,0)*0.475*44/12</f>
        <v>8.7874956247791793</v>
      </c>
      <c r="AW114" s="21">
        <f>EXP(-LN(2)/2)*AW113+(1-EXP(-LN(2)/2))/(LN(2)/2)*AQ114*AT114*VLOOKUP('Données projet'!$B$10,Paramètres!$A$1:$I$89,3,0)*0.475*44/12</f>
        <v>6.7356666664136434E-7</v>
      </c>
      <c r="AX114" s="21">
        <f t="shared" si="60"/>
        <v>56.034037023096609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67.778150351636356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7.0884615384615346</v>
      </c>
      <c r="BD114" s="12">
        <f>IF('Données projet'!$A$88&gt;35,BD113+BC114-BL113,IF(A114&lt;'Données projet'!$A$88,$BA$205^A114,IF(A114='Données projet'!$A$88,'Données projet'!$B$88,BD113+BC114-BL113)))</f>
        <v>346.72307692307771</v>
      </c>
      <c r="BE114" s="13">
        <f>BD114*VLOOKUP('Données projet'!$B$11,Paramètres!$A$1:$I$89,3,0)*VLOOKUP('Données projet'!$B$11,Paramètres!$A$1:$I$89,5,0)</f>
        <v>162.26640000000037</v>
      </c>
      <c r="BF114" s="13">
        <f t="shared" si="91"/>
        <v>41.35328902901945</v>
      </c>
      <c r="BG114" s="20">
        <f t="shared" si="61"/>
        <v>354.63762505887615</v>
      </c>
      <c r="BH114" s="59">
        <f t="shared" si="62"/>
        <v>639.82417634820945</v>
      </c>
      <c r="BI114" s="59">
        <f ca="1">AVERAGE(OFFSET($BH$3,0,0,'Données projet'!$E$11+1,1))-AVERAGE(OFFSET($H$3,0,0,'Données projet'!$E$11+1,1))</f>
        <v>308.70979446846718</v>
      </c>
      <c r="BJ114" s="59">
        <f t="shared" si="92"/>
        <v>202.33469175293314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64.084464444592257</v>
      </c>
      <c r="BQ114" s="21">
        <f>EXP(-LN(2)/25)*BQ113+(1-EXP(-LN(2)/25))/(LN(2)/25)*Calculateur!BL114*Calculateur!BN114*VLOOKUP('Données projet'!$B$11,Paramètres!$A$1:$I$89,3,0)*0.475*44/12</f>
        <v>19.174093320342262</v>
      </c>
      <c r="BR114" s="21">
        <f>EXP(-LN(2)/2)*BR113+(1-EXP(-LN(2)/2))/(LN(2)/2)*BL114*BO114*VLOOKUP('Données projet'!$B$11,Paramètres!$A$1:$I$89,3,0)*0.475*44/12</f>
        <v>2.8649328404906766</v>
      </c>
      <c r="BS114" s="22">
        <f t="shared" si="63"/>
        <v>86.123490605425204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67.778150351636356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67.778150351636356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67.778150351636356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67.778150351636356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67.778150351636356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67.778150351636356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67.778150351636356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3.1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11.366666666666667</v>
      </c>
      <c r="H115" s="67">
        <f t="shared" si="56"/>
        <v>211.20000000000002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67.816694475723807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369.06880001017635</v>
      </c>
      <c r="T115" s="59">
        <f t="shared" si="88"/>
        <v>331.91233237772281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87.419178017185558</v>
      </c>
      <c r="AA115" s="21">
        <f>EXP(-LN(2)/25)*AA114+(1-EXP(-LN(2)/25))/(LN(2)/25)*Calculateur!V115*Calculateur!X115*VLOOKUP('Données projet'!$B$9,Paramètres!$A$1:$I$89,3,0)*0.475*44/12</f>
        <v>15.629000902118781</v>
      </c>
      <c r="AB115" s="21">
        <f>EXP(-LN(2)/2)*AB114+(1-EXP(-LN(2)/2))/(LN(2)/2)*V115*Y115*VLOOKUP('Données projet'!$B$9,Paramètres!$A$1:$I$89,3,0)*0.475*44/12</f>
        <v>1.7810873304916443E-4</v>
      </c>
      <c r="AC115" s="22">
        <f t="shared" si="57"/>
        <v>103.04835702803739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67.816694475723807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-5.6843418860808015E-14</v>
      </c>
      <c r="AJ115" s="13">
        <f>AI115*VLOOKUP('Données projet'!$B$10,Paramètres!$A$1:$I$89,3,0)*VLOOKUP('Données projet'!$B$10,Paramètres!$A$1:$I$89,5,0)</f>
        <v>-3.3992364478763198E-14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270.29397440778314</v>
      </c>
      <c r="AO115" s="59">
        <f t="shared" si="90"/>
        <v>281.95928682679596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46.320064878682743</v>
      </c>
      <c r="AV115" s="21">
        <f>EXP(-LN(2)/25)*AV114+(1-EXP(-LN(2)/25))/(LN(2)/25)*Calculateur!AQ115*Calculateur!AS115*VLOOKUP('Données projet'!$B$10,Paramètres!$A$1:$I$89,3,0)*0.475*44/12</f>
        <v>8.5472010948052812</v>
      </c>
      <c r="AW115" s="21">
        <f>EXP(-LN(2)/2)*AW114+(1-EXP(-LN(2)/2))/(LN(2)/2)*AQ115*AT115*VLOOKUP('Données projet'!$B$10,Paramètres!$A$1:$I$89,3,0)*0.475*44/12</f>
        <v>4.7628355756332743E-7</v>
      </c>
      <c r="AX115" s="21">
        <f t="shared" si="60"/>
        <v>54.867266449771584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67.816694475723807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7.0884615384615346</v>
      </c>
      <c r="BD115" s="12">
        <f>IF('Données projet'!$A$88&gt;35,BD114+BC115-BL114,IF(A115&lt;'Données projet'!$A$88,$BA$205^A115,IF(A115='Données projet'!$A$88,'Données projet'!$B$88,BD114+BC115-BL114)))</f>
        <v>353.81153846153927</v>
      </c>
      <c r="BE115" s="13">
        <f>BD115*VLOOKUP('Données projet'!$B$11,Paramètres!$A$1:$I$89,3,0)*VLOOKUP('Données projet'!$B$11,Paramètres!$A$1:$I$89,5,0)</f>
        <v>165.58380000000037</v>
      </c>
      <c r="BF115" s="13">
        <f t="shared" si="91"/>
        <v>42.099431642932551</v>
      </c>
      <c r="BG115" s="20">
        <f t="shared" si="61"/>
        <v>361.71496177810815</v>
      </c>
      <c r="BH115" s="59">
        <f t="shared" si="62"/>
        <v>647.04284152242872</v>
      </c>
      <c r="BI115" s="59">
        <f ca="1">AVERAGE(OFFSET($BH$3,0,0,'Données projet'!$E$11+1,1))-AVERAGE(OFFSET($H$3,0,0,'Données projet'!$E$11+1,1))</f>
        <v>308.70979446846718</v>
      </c>
      <c r="BJ115" s="59">
        <f t="shared" si="92"/>
        <v>202.33469175293314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62.82780718449753</v>
      </c>
      <c r="BQ115" s="21">
        <f>EXP(-LN(2)/25)*BQ114+(1-EXP(-LN(2)/25))/(LN(2)/25)*Calculateur!BL115*Calculateur!BN115*VLOOKUP('Données projet'!$B$11,Paramètres!$A$1:$I$89,3,0)*0.475*44/12</f>
        <v>18.649776730175759</v>
      </c>
      <c r="BR115" s="21">
        <f>EXP(-LN(2)/2)*BR114+(1-EXP(-LN(2)/2))/(LN(2)/2)*BL115*BO115*VLOOKUP('Données projet'!$B$11,Paramètres!$A$1:$I$89,3,0)*0.475*44/12</f>
        <v>2.0258134391549949</v>
      </c>
      <c r="BS115" s="22">
        <f t="shared" si="63"/>
        <v>83.503397353828291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67.816694475723807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67.816694475723807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67.816694475723807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67.816694475723807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67.816694475723807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67.816694475723807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67.816694475723807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3.1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11.366666666666667</v>
      </c>
      <c r="H116" s="67">
        <f t="shared" si="56"/>
        <v>211.20000000000002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67.854569945430086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369.06880001017635</v>
      </c>
      <c r="T116" s="59">
        <f t="shared" si="88"/>
        <v>331.91233237772281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85.704941256702185</v>
      </c>
      <c r="AA116" s="21">
        <f>EXP(-LN(2)/25)*AA115+(1-EXP(-LN(2)/25))/(LN(2)/25)*Calculateur!V116*Calculateur!X116*VLOOKUP('Données projet'!$B$9,Paramètres!$A$1:$I$89,3,0)*0.475*44/12</f>
        <v>15.201625050556906</v>
      </c>
      <c r="AB116" s="21">
        <f>EXP(-LN(2)/2)*AB115+(1-EXP(-LN(2)/2))/(LN(2)/2)*V116*Y116*VLOOKUP('Données projet'!$B$9,Paramètres!$A$1:$I$89,3,0)*0.475*44/12</f>
        <v>1.2594189292760872E-4</v>
      </c>
      <c r="AC116" s="22">
        <f t="shared" si="57"/>
        <v>100.90669224915202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67.854569945430086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-5.6843418860808015E-14</v>
      </c>
      <c r="AJ116" s="13">
        <f>AI116*VLOOKUP('Données projet'!$B$10,Paramètres!$A$1:$I$89,3,0)*VLOOKUP('Données projet'!$B$10,Paramètres!$A$1:$I$89,5,0)</f>
        <v>-3.3992364478763198E-14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270.29397440778314</v>
      </c>
      <c r="AO116" s="59">
        <f t="shared" si="90"/>
        <v>281.95928682679596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45.411756658861655</v>
      </c>
      <c r="AV116" s="21">
        <f>EXP(-LN(2)/25)*AV115+(1-EXP(-LN(2)/25))/(LN(2)/25)*Calculateur!AQ116*Calculateur!AS116*VLOOKUP('Données projet'!$B$10,Paramètres!$A$1:$I$89,3,0)*0.475*44/12</f>
        <v>8.3134774313900603</v>
      </c>
      <c r="AW116" s="21">
        <f>EXP(-LN(2)/2)*AW115+(1-EXP(-LN(2)/2))/(LN(2)/2)*AQ116*AT116*VLOOKUP('Données projet'!$B$10,Paramètres!$A$1:$I$89,3,0)*0.475*44/12</f>
        <v>3.3678333332068222E-7</v>
      </c>
      <c r="AX116" s="21">
        <f t="shared" si="60"/>
        <v>53.725234427035048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67.854569945430086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7.0884615384615346</v>
      </c>
      <c r="BD116" s="12">
        <f>IF('Données projet'!$A$88&gt;35,BD115+BC116-BL115,IF(A116&lt;'Données projet'!$A$88,$BA$205^A116,IF(A116='Données projet'!$A$88,'Données projet'!$B$88,BD115+BC116-BL115)))</f>
        <v>360.90000000000083</v>
      </c>
      <c r="BE116" s="13">
        <f>BD116*VLOOKUP('Données projet'!$B$11,Paramètres!$A$1:$I$89,3,0)*VLOOKUP('Données projet'!$B$11,Paramètres!$A$1:$I$89,5,0)</f>
        <v>168.90120000000039</v>
      </c>
      <c r="BF116" s="13">
        <f t="shared" si="91"/>
        <v>42.843836138922327</v>
      </c>
      <c r="BG116" s="20">
        <f t="shared" si="61"/>
        <v>368.78927127529045</v>
      </c>
      <c r="BH116" s="59">
        <f t="shared" si="62"/>
        <v>654.25602774186746</v>
      </c>
      <c r="BI116" s="59">
        <f ca="1">AVERAGE(OFFSET($BH$3,0,0,'Données projet'!$E$11+1,1))-AVERAGE(OFFSET($H$3,0,0,'Données projet'!$E$11+1,1))</f>
        <v>308.70979446846718</v>
      </c>
      <c r="BJ116" s="59">
        <f t="shared" si="92"/>
        <v>202.33469175293314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61.595792206788012</v>
      </c>
      <c r="BQ116" s="21">
        <f>EXP(-LN(2)/25)*BQ115+(1-EXP(-LN(2)/25))/(LN(2)/25)*Calculateur!BL116*Calculateur!BN116*VLOOKUP('Données projet'!$B$11,Paramètres!$A$1:$I$89,3,0)*0.475*44/12</f>
        <v>18.139797604739968</v>
      </c>
      <c r="BR116" s="21">
        <f>EXP(-LN(2)/2)*BR115+(1-EXP(-LN(2)/2))/(LN(2)/2)*BL116*BO116*VLOOKUP('Données projet'!$B$11,Paramètres!$A$1:$I$89,3,0)*0.475*44/12</f>
        <v>1.4324664202453383</v>
      </c>
      <c r="BS116" s="22">
        <f t="shared" si="63"/>
        <v>81.168056231773306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67.854569945430086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67.854569945430086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67.854569945430086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67.854569945430086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67.854569945430086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67.854569945430086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67.854569945430086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3.1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11.366666666666667</v>
      </c>
      <c r="H117" s="67">
        <f t="shared" si="56"/>
        <v>211.20000000000002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67.891788360413841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369.06880001017635</v>
      </c>
      <c r="T117" s="59">
        <f t="shared" si="88"/>
        <v>331.91233237772281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84.024319633510714</v>
      </c>
      <c r="AA117" s="21">
        <f>EXP(-LN(2)/25)*AA116+(1-EXP(-LN(2)/25))/(LN(2)/25)*Calculateur!V117*Calculateur!X117*VLOOKUP('Données projet'!$B$9,Paramètres!$A$1:$I$89,3,0)*0.475*44/12</f>
        <v>14.78593581413071</v>
      </c>
      <c r="AB117" s="21">
        <f>EXP(-LN(2)/2)*AB116+(1-EXP(-LN(2)/2))/(LN(2)/2)*V117*Y117*VLOOKUP('Données projet'!$B$9,Paramètres!$A$1:$I$89,3,0)*0.475*44/12</f>
        <v>8.9054366524582215E-5</v>
      </c>
      <c r="AC117" s="22">
        <f t="shared" si="57"/>
        <v>98.81034450200795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67.891788360413841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-5.6843418860808015E-14</v>
      </c>
      <c r="AJ117" s="13">
        <f>AI117*VLOOKUP('Données projet'!$B$10,Paramètres!$A$1:$I$89,3,0)*VLOOKUP('Données projet'!$B$10,Paramètres!$A$1:$I$89,5,0)</f>
        <v>-3.3992364478763198E-14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270.29397440778314</v>
      </c>
      <c r="AO117" s="59">
        <f t="shared" si="90"/>
        <v>281.95928682679596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44.521259809217945</v>
      </c>
      <c r="AV117" s="21">
        <f>EXP(-LN(2)/25)*AV116+(1-EXP(-LN(2)/25))/(LN(2)/25)*Calculateur!AQ117*Calculateur!AS117*VLOOKUP('Données projet'!$B$10,Paramètres!$A$1:$I$89,3,0)*0.475*44/12</f>
        <v>8.0861449538419219</v>
      </c>
      <c r="AW117" s="21">
        <f>EXP(-LN(2)/2)*AW116+(1-EXP(-LN(2)/2))/(LN(2)/2)*AQ117*AT117*VLOOKUP('Données projet'!$B$10,Paramètres!$A$1:$I$89,3,0)*0.475*44/12</f>
        <v>2.3814177878166377E-7</v>
      </c>
      <c r="AX117" s="21">
        <f t="shared" si="60"/>
        <v>52.607405001201649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67.891788360413841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7.0884615384615346</v>
      </c>
      <c r="BD117" s="12">
        <f>IF('Données projet'!$A$88&gt;35,BD116+BC117-BL116,IF(A117&lt;'Données projet'!$A$88,$BA$205^A117,IF(A117='Données projet'!$A$88,'Données projet'!$B$88,BD116+BC117-BL116)))</f>
        <v>367.98846153846239</v>
      </c>
      <c r="BE117" s="13">
        <f>BD117*VLOOKUP('Données projet'!$B$11,Paramètres!$A$1:$I$89,3,0)*VLOOKUP('Données projet'!$B$11,Paramètres!$A$1:$I$89,5,0)</f>
        <v>172.21860000000038</v>
      </c>
      <c r="BF117" s="13">
        <f t="shared" si="91"/>
        <v>43.586540590608692</v>
      </c>
      <c r="BG117" s="20">
        <f t="shared" si="61"/>
        <v>375.86061986197745</v>
      </c>
      <c r="BH117" s="59">
        <f t="shared" si="62"/>
        <v>661.46384385016154</v>
      </c>
      <c r="BI117" s="59">
        <f ca="1">AVERAGE(OFFSET($BH$3,0,0,'Données projet'!$E$11+1,1))-AVERAGE(OFFSET($H$3,0,0,'Données projet'!$E$11+1,1))</f>
        <v>308.70979446846718</v>
      </c>
      <c r="BJ117" s="59">
        <f t="shared" si="92"/>
        <v>202.33469175293314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60.387936291336445</v>
      </c>
      <c r="BQ117" s="21">
        <f>EXP(-LN(2)/25)*BQ116+(1-EXP(-LN(2)/25))/(LN(2)/25)*Calculateur!BL117*Calculateur!BN117*VLOOKUP('Données projet'!$B$11,Paramètres!$A$1:$I$89,3,0)*0.475*44/12</f>
        <v>17.643763885307855</v>
      </c>
      <c r="BR117" s="21">
        <f>EXP(-LN(2)/2)*BR116+(1-EXP(-LN(2)/2))/(LN(2)/2)*BL117*BO117*VLOOKUP('Données projet'!$B$11,Paramètres!$A$1:$I$89,3,0)*0.475*44/12</f>
        <v>1.0129067195774974</v>
      </c>
      <c r="BS117" s="22">
        <f t="shared" si="63"/>
        <v>79.044606896221808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67.891788360413841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67.891788360413841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67.891788360413841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67.891788360413841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67.891788360413841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67.891788360413841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67.891788360413841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3.1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11.366666666666667</v>
      </c>
      <c r="H118" s="67">
        <f t="shared" si="56"/>
        <v>211.20000000000002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67.928361119105531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369.06880001017635</v>
      </c>
      <c r="T118" s="59">
        <f t="shared" si="88"/>
        <v>331.91233237772281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82.376653975272049</v>
      </c>
      <c r="AA118" s="21">
        <f>EXP(-LN(2)/25)*AA117+(1-EXP(-LN(2)/25))/(LN(2)/25)*Calculateur!V118*Calculateur!X118*VLOOKUP('Données projet'!$B$9,Paramètres!$A$1:$I$89,3,0)*0.475*44/12</f>
        <v>14.381613621734735</v>
      </c>
      <c r="AB118" s="21">
        <f>EXP(-LN(2)/2)*AB117+(1-EXP(-LN(2)/2))/(LN(2)/2)*V118*Y118*VLOOKUP('Données projet'!$B$9,Paramètres!$A$1:$I$89,3,0)*0.475*44/12</f>
        <v>6.2970946463804359E-5</v>
      </c>
      <c r="AC118" s="22">
        <f t="shared" si="57"/>
        <v>96.758330567953237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67.928361119105531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-5.6843418860808015E-14</v>
      </c>
      <c r="AJ118" s="13">
        <f>AI118*VLOOKUP('Données projet'!$B$10,Paramètres!$A$1:$I$89,3,0)*VLOOKUP('Données projet'!$B$10,Paramètres!$A$1:$I$89,5,0)</f>
        <v>-3.3992364478763198E-14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270.29397440778314</v>
      </c>
      <c r="AO118" s="59">
        <f t="shared" si="90"/>
        <v>281.95928682679596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43.6482250596463</v>
      </c>
      <c r="AV118" s="21">
        <f>EXP(-LN(2)/25)*AV117+(1-EXP(-LN(2)/25))/(LN(2)/25)*Calculateur!AQ118*Calculateur!AS118*VLOOKUP('Données projet'!$B$10,Paramètres!$A$1:$I$89,3,0)*0.475*44/12</f>
        <v>7.8650288948472324</v>
      </c>
      <c r="AW118" s="21">
        <f>EXP(-LN(2)/2)*AW117+(1-EXP(-LN(2)/2))/(LN(2)/2)*AQ118*AT118*VLOOKUP('Données projet'!$B$10,Paramètres!$A$1:$I$89,3,0)*0.475*44/12</f>
        <v>1.6839166666034114E-7</v>
      </c>
      <c r="AX118" s="21">
        <f t="shared" si="60"/>
        <v>51.513254122885201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67.928361119105531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7.0884615384615346</v>
      </c>
      <c r="BD118" s="12">
        <f>IF('Données projet'!$A$88&gt;35,BD117+BC118-BL117,IF(A118&lt;'Données projet'!$A$88,$BA$205^A118,IF(A118='Données projet'!$A$88,'Données projet'!$B$88,BD117+BC118-BL117)))</f>
        <v>375.07692307692395</v>
      </c>
      <c r="BE118" s="13">
        <f>BD118*VLOOKUP('Données projet'!$B$11,Paramètres!$A$1:$I$89,3,0)*VLOOKUP('Données projet'!$B$11,Paramètres!$A$1:$I$89,5,0)</f>
        <v>175.5360000000004</v>
      </c>
      <c r="BF118" s="13">
        <f t="shared" si="91"/>
        <v>44.327581520891201</v>
      </c>
      <c r="BG118" s="20">
        <f t="shared" si="61"/>
        <v>382.92907114888618</v>
      </c>
      <c r="BH118" s="59">
        <f t="shared" si="62"/>
        <v>668.66639525227311</v>
      </c>
      <c r="BI118" s="59">
        <f ca="1">AVERAGE(OFFSET($BH$3,0,0,'Données projet'!$E$11+1,1))-AVERAGE(OFFSET($H$3,0,0,'Données projet'!$E$11+1,1))</f>
        <v>308.70979446846718</v>
      </c>
      <c r="BJ118" s="59">
        <f t="shared" si="92"/>
        <v>202.33469175293314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59.203765693667521</v>
      </c>
      <c r="BQ118" s="21">
        <f>EXP(-LN(2)/25)*BQ117+(1-EXP(-LN(2)/25))/(LN(2)/25)*Calculateur!BL118*Calculateur!BN118*VLOOKUP('Données projet'!$B$11,Paramètres!$A$1:$I$89,3,0)*0.475*44/12</f>
        <v>17.161294234018893</v>
      </c>
      <c r="BR118" s="21">
        <f>EXP(-LN(2)/2)*BR117+(1-EXP(-LN(2)/2))/(LN(2)/2)*BL118*BO118*VLOOKUP('Données projet'!$B$11,Paramètres!$A$1:$I$89,3,0)*0.475*44/12</f>
        <v>0.71623321012266916</v>
      </c>
      <c r="BS118" s="22">
        <f t="shared" si="63"/>
        <v>77.081293137809084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67.928361119105531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67.928361119105531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67.928361119105531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67.928361119105531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67.928361119105531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67.928361119105531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67.928361119105531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3.1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11.366666666666667</v>
      </c>
      <c r="H119" s="67">
        <f t="shared" si="56"/>
        <v>211.20000000000002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67.964299422198366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369.06880001017635</v>
      </c>
      <c r="T119" s="59">
        <f t="shared" si="88"/>
        <v>331.91233237772281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80.761298035614629</v>
      </c>
      <c r="AA119" s="21">
        <f>EXP(-LN(2)/25)*AA118+(1-EXP(-LN(2)/25))/(LN(2)/25)*Calculateur!V119*Calculateur!X119*VLOOKUP('Données projet'!$B$9,Paramètres!$A$1:$I$89,3,0)*0.475*44/12</f>
        <v>13.988347640952208</v>
      </c>
      <c r="AB119" s="21">
        <f>EXP(-LN(2)/2)*AB118+(1-EXP(-LN(2)/2))/(LN(2)/2)*V119*Y119*VLOOKUP('Données projet'!$B$9,Paramètres!$A$1:$I$89,3,0)*0.475*44/12</f>
        <v>4.4527183262291107E-5</v>
      </c>
      <c r="AC119" s="22">
        <f t="shared" si="57"/>
        <v>94.749690203750106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67.964299422198366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-5.6843418860808015E-14</v>
      </c>
      <c r="AJ119" s="13">
        <f>AI119*VLOOKUP('Données projet'!$B$10,Paramètres!$A$1:$I$89,3,0)*VLOOKUP('Données projet'!$B$10,Paramètres!$A$1:$I$89,5,0)</f>
        <v>-3.3992364478763198E-14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270.29397440778314</v>
      </c>
      <c r="AO119" s="59">
        <f t="shared" si="90"/>
        <v>281.95928682679596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42.792309989015138</v>
      </c>
      <c r="AV119" s="21">
        <f>EXP(-LN(2)/25)*AV118+(1-EXP(-LN(2)/25))/(LN(2)/25)*Calculateur!AQ119*Calculateur!AS119*VLOOKUP('Données projet'!$B$10,Paramètres!$A$1:$I$89,3,0)*0.475*44/12</f>
        <v>7.6499592661137408</v>
      </c>
      <c r="AW119" s="21">
        <f>EXP(-LN(2)/2)*AW118+(1-EXP(-LN(2)/2))/(LN(2)/2)*AQ119*AT119*VLOOKUP('Données projet'!$B$10,Paramètres!$A$1:$I$89,3,0)*0.475*44/12</f>
        <v>1.190708893908319E-7</v>
      </c>
      <c r="AX119" s="21">
        <f t="shared" si="60"/>
        <v>50.442269374199768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67.964299422198366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7.0884615384615346</v>
      </c>
      <c r="BD119" s="12">
        <f>IF('Données projet'!$A$88&gt;35,BD118+BC119-BL118,IF(A119&lt;'Données projet'!$A$88,$BA$205^A119,IF(A119='Données projet'!$A$88,'Données projet'!$B$88,BD118+BC119-BL118)))</f>
        <v>382.16538461538551</v>
      </c>
      <c r="BE119" s="13">
        <f>BD119*VLOOKUP('Données projet'!$B$11,Paramètres!$A$1:$I$89,3,0)*VLOOKUP('Données projet'!$B$11,Paramètres!$A$1:$I$89,5,0)</f>
        <v>178.85340000000042</v>
      </c>
      <c r="BF119" s="13">
        <f t="shared" si="91"/>
        <v>45.066993993201848</v>
      </c>
      <c r="BG119" s="20">
        <f t="shared" si="61"/>
        <v>389.99468620482725</v>
      </c>
      <c r="BH119" s="59">
        <f t="shared" si="62"/>
        <v>675.86378408622124</v>
      </c>
      <c r="BI119" s="59">
        <f ca="1">AVERAGE(OFFSET($BH$3,0,0,'Données projet'!$E$11+1,1))-AVERAGE(OFFSET($H$3,0,0,'Données projet'!$E$11+1,1))</f>
        <v>308.70979446846718</v>
      </c>
      <c r="BJ119" s="59">
        <f t="shared" si="92"/>
        <v>202.33469175293314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58.042815959146132</v>
      </c>
      <c r="BQ119" s="21">
        <f>EXP(-LN(2)/25)*BQ118+(1-EXP(-LN(2)/25))/(LN(2)/25)*Calculateur!BL119*Calculateur!BN119*VLOOKUP('Données projet'!$B$11,Paramètres!$A$1:$I$89,3,0)*0.475*44/12</f>
        <v>16.692017740716405</v>
      </c>
      <c r="BR119" s="21">
        <f>EXP(-LN(2)/2)*BR118+(1-EXP(-LN(2)/2))/(LN(2)/2)*BL119*BO119*VLOOKUP('Données projet'!$B$11,Paramètres!$A$1:$I$89,3,0)*0.475*44/12</f>
        <v>0.50645335978874872</v>
      </c>
      <c r="BS119" s="22">
        <f t="shared" si="63"/>
        <v>75.241287059651285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67.964299422198366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67.964299422198366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67.964299422198366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67.964299422198366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67.964299422198366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67.964299422198366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67.964299422198366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3.1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11.366666666666667</v>
      </c>
      <c r="H120" s="67">
        <f t="shared" si="56"/>
        <v>211.20000000000002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67.999614276078546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369.06880001017635</v>
      </c>
      <c r="T120" s="59">
        <f t="shared" si="88"/>
        <v>331.91233237772281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79.17761824066406</v>
      </c>
      <c r="AA120" s="21">
        <f>EXP(-LN(2)/25)*AA119+(1-EXP(-LN(2)/25))/(LN(2)/25)*Calculateur!V120*Calculateur!X120*VLOOKUP('Données projet'!$B$9,Paramètres!$A$1:$I$89,3,0)*0.475*44/12</f>
        <v>13.605835539095137</v>
      </c>
      <c r="AB120" s="21">
        <f>EXP(-LN(2)/2)*AB119+(1-EXP(-LN(2)/2))/(LN(2)/2)*V120*Y120*VLOOKUP('Données projet'!$B$9,Paramètres!$A$1:$I$89,3,0)*0.475*44/12</f>
        <v>3.1485473231902179E-5</v>
      </c>
      <c r="AC120" s="22">
        <f t="shared" si="57"/>
        <v>92.783485265232429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67.999614276078546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-5.6843418860808015E-14</v>
      </c>
      <c r="AJ120" s="13">
        <f>AI120*VLOOKUP('Données projet'!$B$10,Paramètres!$A$1:$I$89,3,0)*VLOOKUP('Données projet'!$B$10,Paramètres!$A$1:$I$89,5,0)</f>
        <v>-3.3992364478763198E-14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270.29397440778314</v>
      </c>
      <c r="AO120" s="59">
        <f t="shared" si="90"/>
        <v>281.95928682679596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41.953178890862411</v>
      </c>
      <c r="AV120" s="21">
        <f>EXP(-LN(2)/25)*AV119+(1-EXP(-LN(2)/25))/(LN(2)/25)*Calculateur!AQ120*Calculateur!AS120*VLOOKUP('Données projet'!$B$10,Paramètres!$A$1:$I$89,3,0)*0.475*44/12</f>
        <v>7.4407707276879869</v>
      </c>
      <c r="AW120" s="21">
        <f>EXP(-LN(2)/2)*AW119+(1-EXP(-LN(2)/2))/(LN(2)/2)*AQ120*AT120*VLOOKUP('Données projet'!$B$10,Paramètres!$A$1:$I$89,3,0)*0.475*44/12</f>
        <v>8.4195833330170582E-8</v>
      </c>
      <c r="AX120" s="21">
        <f t="shared" si="60"/>
        <v>49.393949702746227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67.999614276078546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7.0884615384615346</v>
      </c>
      <c r="BD120" s="12">
        <f>IF('Données projet'!$A$88&gt;35,BD119+BC120-BL119,IF(A120&lt;'Données projet'!$A$88,$BA$205^A120,IF(A120='Données projet'!$A$88,'Données projet'!$B$88,BD119+BC120-BL119)))</f>
        <v>389.25384615384706</v>
      </c>
      <c r="BE120" s="13">
        <f>BD120*VLOOKUP('Données projet'!$B$11,Paramètres!$A$1:$I$89,3,0)*VLOOKUP('Données projet'!$B$11,Paramètres!$A$1:$I$89,5,0)</f>
        <v>182.17080000000044</v>
      </c>
      <c r="BF120" s="13">
        <f t="shared" si="91"/>
        <v>45.804811695795308</v>
      </c>
      <c r="BG120" s="20">
        <f t="shared" si="61"/>
        <v>397.05752370351092</v>
      </c>
      <c r="BH120" s="59">
        <f t="shared" si="62"/>
        <v>683.05610938246559</v>
      </c>
      <c r="BI120" s="59">
        <f ca="1">AVERAGE(OFFSET($BH$3,0,0,'Données projet'!$E$11+1,1))-AVERAGE(OFFSET($H$3,0,0,'Données projet'!$E$11+1,1))</f>
        <v>308.70979446846718</v>
      </c>
      <c r="BJ120" s="59">
        <f t="shared" si="92"/>
        <v>202.33469175293314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56.904631740809293</v>
      </c>
      <c r="BQ120" s="21">
        <f>EXP(-LN(2)/25)*BQ119+(1-EXP(-LN(2)/25))/(LN(2)/25)*Calculateur!BL120*Calculateur!BN120*VLOOKUP('Données projet'!$B$11,Paramètres!$A$1:$I$89,3,0)*0.475*44/12</f>
        <v>16.235573637801451</v>
      </c>
      <c r="BR120" s="21">
        <f>EXP(-LN(2)/2)*BR119+(1-EXP(-LN(2)/2))/(LN(2)/2)*BL120*BO120*VLOOKUP('Données projet'!$B$11,Paramètres!$A$1:$I$89,3,0)*0.475*44/12</f>
        <v>0.35811660506133458</v>
      </c>
      <c r="BS120" s="22">
        <f t="shared" si="63"/>
        <v>73.498321983672085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67.999614276078546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67.999614276078546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67.999614276078546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67.999614276078546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67.999614276078546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67.999614276078546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67.999614276078546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3.1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11.366666666666667</v>
      </c>
      <c r="H121" s="67">
        <f t="shared" si="56"/>
        <v>211.20000000000002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68.034316496196084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369.06880001017635</v>
      </c>
      <c r="T121" s="59">
        <f t="shared" si="88"/>
        <v>331.91233237772281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77.624993440543165</v>
      </c>
      <c r="AA121" s="21">
        <f>EXP(-LN(2)/25)*AA120+(1-EXP(-LN(2)/25))/(LN(2)/25)*Calculateur!V121*Calculateur!X121*VLOOKUP('Données projet'!$B$9,Paramètres!$A$1:$I$89,3,0)*0.475*44/12</f>
        <v>13.233783250778787</v>
      </c>
      <c r="AB121" s="21">
        <f>EXP(-LN(2)/2)*AB120+(1-EXP(-LN(2)/2))/(LN(2)/2)*V121*Y121*VLOOKUP('Données projet'!$B$9,Paramètres!$A$1:$I$89,3,0)*0.475*44/12</f>
        <v>2.2263591631145554E-5</v>
      </c>
      <c r="AC121" s="22">
        <f t="shared" si="57"/>
        <v>90.858798954913581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68.034316496196084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-5.6843418860808015E-14</v>
      </c>
      <c r="AJ121" s="13">
        <f>AI121*VLOOKUP('Données projet'!$B$10,Paramètres!$A$1:$I$89,3,0)*VLOOKUP('Données projet'!$B$10,Paramètres!$A$1:$I$89,5,0)</f>
        <v>-3.3992364478763198E-14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270.29397440778314</v>
      </c>
      <c r="AO121" s="59">
        <f t="shared" si="90"/>
        <v>281.95928682679596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41.13050264172503</v>
      </c>
      <c r="AV121" s="21">
        <f>EXP(-LN(2)/25)*AV120+(1-EXP(-LN(2)/25))/(LN(2)/25)*Calculateur!AQ121*Calculateur!AS121*VLOOKUP('Données projet'!$B$10,Paramètres!$A$1:$I$89,3,0)*0.475*44/12</f>
        <v>7.237302460846232</v>
      </c>
      <c r="AW121" s="21">
        <f>EXP(-LN(2)/2)*AW120+(1-EXP(-LN(2)/2))/(LN(2)/2)*AQ121*AT121*VLOOKUP('Données projet'!$B$10,Paramètres!$A$1:$I$89,3,0)*0.475*44/12</f>
        <v>5.9535444695415961E-8</v>
      </c>
      <c r="AX121" s="21">
        <f t="shared" si="60"/>
        <v>48.367805162106706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68.034316496196084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7.0884615384615346</v>
      </c>
      <c r="BD121" s="12">
        <f>IF('Données projet'!$A$88&gt;35,BD120+BC121-BL120,IF(A121&lt;'Données projet'!$A$88,$BA$205^A121,IF(A121='Données projet'!$A$88,'Données projet'!$B$88,BD120+BC121-BL120)))</f>
        <v>396.34230769230862</v>
      </c>
      <c r="BE121" s="13">
        <f>BD121*VLOOKUP('Données projet'!$B$11,Paramètres!$A$1:$I$89,3,0)*VLOOKUP('Données projet'!$B$11,Paramètres!$A$1:$I$89,5,0)</f>
        <v>185.48820000000043</v>
      </c>
      <c r="BF121" s="13">
        <f t="shared" si="91"/>
        <v>46.541067019726086</v>
      </c>
      <c r="BG121" s="20">
        <f t="shared" si="61"/>
        <v>404.11764005935697</v>
      </c>
      <c r="BH121" s="59">
        <f t="shared" si="62"/>
        <v>690.24346721207598</v>
      </c>
      <c r="BI121" s="59">
        <f ca="1">AVERAGE(OFFSET($BH$3,0,0,'Données projet'!$E$11+1,1))-AVERAGE(OFFSET($H$3,0,0,'Données projet'!$E$11+1,1))</f>
        <v>308.70979446846718</v>
      </c>
      <c r="BJ121" s="59">
        <f t="shared" si="92"/>
        <v>202.33469175293314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55.788766620770218</v>
      </c>
      <c r="BQ121" s="21">
        <f>EXP(-LN(2)/25)*BQ120+(1-EXP(-LN(2)/25))/(LN(2)/25)*Calculateur!BL121*Calculateur!BN121*VLOOKUP('Données projet'!$B$11,Paramètres!$A$1:$I$89,3,0)*0.475*44/12</f>
        <v>15.79161102288406</v>
      </c>
      <c r="BR121" s="21">
        <f>EXP(-LN(2)/2)*BR120+(1-EXP(-LN(2)/2))/(LN(2)/2)*BL121*BO121*VLOOKUP('Données projet'!$B$11,Paramètres!$A$1:$I$89,3,0)*0.475*44/12</f>
        <v>0.25322667989437436</v>
      </c>
      <c r="BS121" s="22">
        <f t="shared" si="63"/>
        <v>71.833604323548641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68.034316496196084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68.034316496196084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68.034316496196084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68.034316496196084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68.034316496196084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68.034316496196084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68.034316496196084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3.1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11.366666666666667</v>
      </c>
      <c r="H122" s="67">
        <f t="shared" si="56"/>
        <v>211.20000000000002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68.068416710377107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369.06880001017635</v>
      </c>
      <c r="T122" s="59">
        <f t="shared" si="88"/>
        <v>331.91233237772281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76.102814665745029</v>
      </c>
      <c r="AA122" s="21">
        <f>EXP(-LN(2)/25)*AA121+(1-EXP(-LN(2)/25))/(LN(2)/25)*Calculateur!V122*Calculateur!X122*VLOOKUP('Données projet'!$B$9,Paramètres!$A$1:$I$89,3,0)*0.475*44/12</f>
        <v>12.871904751851826</v>
      </c>
      <c r="AB122" s="21">
        <f>EXP(-LN(2)/2)*AB121+(1-EXP(-LN(2)/2))/(LN(2)/2)*V122*Y122*VLOOKUP('Données projet'!$B$9,Paramètres!$A$1:$I$89,3,0)*0.475*44/12</f>
        <v>1.574273661595109E-5</v>
      </c>
      <c r="AC122" s="22">
        <f t="shared" si="57"/>
        <v>88.974735160333481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68.068416710377107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-5.6843418860808015E-14</v>
      </c>
      <c r="AJ122" s="13">
        <f>AI122*VLOOKUP('Données projet'!$B$10,Paramètres!$A$1:$I$89,3,0)*VLOOKUP('Données projet'!$B$10,Paramètres!$A$1:$I$89,5,0)</f>
        <v>-3.3992364478763198E-14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270.29397440778314</v>
      </c>
      <c r="AO122" s="59">
        <f t="shared" si="90"/>
        <v>281.95928682679596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40.323958572050266</v>
      </c>
      <c r="AV122" s="21">
        <f>EXP(-LN(2)/25)*AV121+(1-EXP(-LN(2)/25))/(LN(2)/25)*Calculateur!AQ122*Calculateur!AS122*VLOOKUP('Données projet'!$B$10,Paramètres!$A$1:$I$89,3,0)*0.475*44/12</f>
        <v>7.0393980444611968</v>
      </c>
      <c r="AW122" s="21">
        <f>EXP(-LN(2)/2)*AW121+(1-EXP(-LN(2)/2))/(LN(2)/2)*AQ122*AT122*VLOOKUP('Données projet'!$B$10,Paramètres!$A$1:$I$89,3,0)*0.475*44/12</f>
        <v>4.2097916665085298E-8</v>
      </c>
      <c r="AX122" s="21">
        <f t="shared" si="60"/>
        <v>47.363356658609376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68.068416710377107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7.0884615384615346</v>
      </c>
      <c r="BD122" s="12">
        <f>IF('Données projet'!$A$88&gt;35,BD121+BC122-BL121,IF(A122&lt;'Données projet'!$A$88,$BA$205^A122,IF(A122='Données projet'!$A$88,'Données projet'!$B$88,BD121+BC122-BL121)))</f>
        <v>403.43076923077018</v>
      </c>
      <c r="BE122" s="13">
        <f>BD122*VLOOKUP('Données projet'!$B$11,Paramètres!$A$1:$I$89,3,0)*VLOOKUP('Données projet'!$B$11,Paramètres!$A$1:$I$89,5,0)</f>
        <v>188.80560000000045</v>
      </c>
      <c r="BF122" s="13">
        <f t="shared" si="91"/>
        <v>47.275791131089136</v>
      </c>
      <c r="BG122" s="20">
        <f t="shared" si="61"/>
        <v>411.17508955331436</v>
      </c>
      <c r="BH122" s="59">
        <f t="shared" si="62"/>
        <v>697.42595082469711</v>
      </c>
      <c r="BI122" s="59">
        <f ca="1">AVERAGE(OFFSET($BH$3,0,0,'Données projet'!$E$11+1,1))-AVERAGE(OFFSET($H$3,0,0,'Données projet'!$E$11+1,1))</f>
        <v>308.70979446846718</v>
      </c>
      <c r="BJ122" s="59">
        <f t="shared" si="92"/>
        <v>202.33469175293314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54.694782935124586</v>
      </c>
      <c r="BQ122" s="21">
        <f>EXP(-LN(2)/25)*BQ121+(1-EXP(-LN(2)/25))/(LN(2)/25)*Calculateur!BL122*Calculateur!BN122*VLOOKUP('Données projet'!$B$11,Paramètres!$A$1:$I$89,3,0)*0.475*44/12</f>
        <v>15.359788589018564</v>
      </c>
      <c r="BR122" s="21">
        <f>EXP(-LN(2)/2)*BR121+(1-EXP(-LN(2)/2))/(LN(2)/2)*BL122*BO122*VLOOKUP('Données projet'!$B$11,Paramètres!$A$1:$I$89,3,0)*0.475*44/12</f>
        <v>0.17905830253066729</v>
      </c>
      <c r="BS122" s="22">
        <f t="shared" si="63"/>
        <v>70.233629826673805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68.068416710377107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68.068416710377107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68.068416710377107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68.068416710377107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68.068416710377107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68.068416710377107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68.068416710377107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3.1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11.366666666666667</v>
      </c>
      <c r="H123" s="67">
        <f t="shared" si="56"/>
        <v>211.20000000000002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68.101925362078788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369.06880001017635</v>
      </c>
      <c r="T123" s="59">
        <f t="shared" si="88"/>
        <v>331.91233237772281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74.61048488828331</v>
      </c>
      <c r="AA123" s="21">
        <f>EXP(-LN(2)/25)*AA122+(1-EXP(-LN(2)/25))/(LN(2)/25)*Calculateur!V123*Calculateur!X123*VLOOKUP('Données projet'!$B$9,Paramètres!$A$1:$I$89,3,0)*0.475*44/12</f>
        <v>12.519921839508386</v>
      </c>
      <c r="AB123" s="21">
        <f>EXP(-LN(2)/2)*AB122+(1-EXP(-LN(2)/2))/(LN(2)/2)*V123*Y123*VLOOKUP('Données projet'!$B$9,Paramètres!$A$1:$I$89,3,0)*0.475*44/12</f>
        <v>1.1131795815572777E-5</v>
      </c>
      <c r="AC123" s="22">
        <f t="shared" si="57"/>
        <v>87.13041785958751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68.101925362078788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-5.6843418860808015E-14</v>
      </c>
      <c r="AJ123" s="13">
        <f>AI123*VLOOKUP('Données projet'!$B$10,Paramètres!$A$1:$I$89,3,0)*VLOOKUP('Données projet'!$B$10,Paramètres!$A$1:$I$89,5,0)</f>
        <v>-3.3992364478763198E-14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270.29397440778314</v>
      </c>
      <c r="AO123" s="59">
        <f t="shared" si="90"/>
        <v>281.95928682679596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39.533230339638514</v>
      </c>
      <c r="AV123" s="21">
        <f>EXP(-LN(2)/25)*AV122+(1-EXP(-LN(2)/25))/(LN(2)/25)*Calculateur!AQ123*Calculateur!AS123*VLOOKUP('Données projet'!$B$10,Paramètres!$A$1:$I$89,3,0)*0.475*44/12</f>
        <v>6.8469053347495512</v>
      </c>
      <c r="AW123" s="21">
        <f>EXP(-LN(2)/2)*AW122+(1-EXP(-LN(2)/2))/(LN(2)/2)*AQ123*AT123*VLOOKUP('Données projet'!$B$10,Paramètres!$A$1:$I$89,3,0)*0.475*44/12</f>
        <v>2.9767722347707984E-8</v>
      </c>
      <c r="AX123" s="21">
        <f t="shared" si="60"/>
        <v>46.380135704155784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68.101925362078788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7.0884615384615346</v>
      </c>
      <c r="BD123" s="12">
        <f>IF('Données projet'!$A$88&gt;35,BD122+BC123-BL122,IF(A123&lt;'Données projet'!$A$88,$BA$205^A123,IF(A123='Données projet'!$A$88,'Données projet'!$B$88,BD122+BC123-BL122)))</f>
        <v>410.51923076923174</v>
      </c>
      <c r="BE123" s="13">
        <f>BD123*VLOOKUP('Données projet'!$B$11,Paramètres!$A$1:$I$89,3,0)*VLOOKUP('Données projet'!$B$11,Paramètres!$A$1:$I$89,5,0)</f>
        <v>192.12300000000045</v>
      </c>
      <c r="BF123" s="13">
        <f t="shared" si="91"/>
        <v>48.009014038039808</v>
      </c>
      <c r="BG123" s="20">
        <f t="shared" si="61"/>
        <v>418.2299244495868</v>
      </c>
      <c r="BH123" s="59">
        <f t="shared" si="62"/>
        <v>704.60365077720905</v>
      </c>
      <c r="BI123" s="59">
        <f ca="1">AVERAGE(OFFSET($BH$3,0,0,'Données projet'!$E$11+1,1))-AVERAGE(OFFSET($H$3,0,0,'Données projet'!$E$11+1,1))</f>
        <v>308.70979446846718</v>
      </c>
      <c r="BJ123" s="59">
        <f t="shared" si="92"/>
        <v>202.33469175293314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53.622251602290305</v>
      </c>
      <c r="BQ123" s="21">
        <f>EXP(-LN(2)/25)*BQ122+(1-EXP(-LN(2)/25))/(LN(2)/25)*Calculateur!BL123*Calculateur!BN123*VLOOKUP('Données projet'!$B$11,Paramètres!$A$1:$I$89,3,0)*0.475*44/12</f>
        <v>14.939774362315674</v>
      </c>
      <c r="BR123" s="21">
        <f>EXP(-LN(2)/2)*BR122+(1-EXP(-LN(2)/2))/(LN(2)/2)*BL123*BO123*VLOOKUP('Données projet'!$B$11,Paramètres!$A$1:$I$89,3,0)*0.475*44/12</f>
        <v>0.12661333994718718</v>
      </c>
      <c r="BS123" s="22">
        <f t="shared" si="63"/>
        <v>68.688639304553163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68.101925362078788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68.101925362078788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68.101925362078788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68.101925362078788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68.101925362078788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68.101925362078788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68.101925362078788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3.1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11.366666666666667</v>
      </c>
      <c r="H124" s="67">
        <f t="shared" si="56"/>
        <v>211.20000000000002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68.134852713587549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369.06880001017635</v>
      </c>
      <c r="T124" s="59">
        <f t="shared" si="88"/>
        <v>331.91233237772281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73.14741878752632</v>
      </c>
      <c r="AA124" s="21">
        <f>EXP(-LN(2)/25)*AA123+(1-EXP(-LN(2)/25))/(LN(2)/25)*Calculateur!V124*Calculateur!X124*VLOOKUP('Données projet'!$B$9,Paramètres!$A$1:$I$89,3,0)*0.475*44/12</f>
        <v>12.177563918412956</v>
      </c>
      <c r="AB124" s="21">
        <f>EXP(-LN(2)/2)*AB123+(1-EXP(-LN(2)/2))/(LN(2)/2)*V124*Y124*VLOOKUP('Données projet'!$B$9,Paramètres!$A$1:$I$89,3,0)*0.475*44/12</f>
        <v>7.8713683079755448E-6</v>
      </c>
      <c r="AC124" s="22">
        <f t="shared" si="57"/>
        <v>85.324990577307588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68.134852713587549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-5.6843418860808015E-14</v>
      </c>
      <c r="AJ124" s="13">
        <f>AI124*VLOOKUP('Données projet'!$B$10,Paramètres!$A$1:$I$89,3,0)*VLOOKUP('Données projet'!$B$10,Paramètres!$A$1:$I$89,5,0)</f>
        <v>-3.3992364478763198E-14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270.29397440778314</v>
      </c>
      <c r="AO124" s="59">
        <f t="shared" si="90"/>
        <v>281.95928682679596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38.758007805567757</v>
      </c>
      <c r="AV124" s="21">
        <f>EXP(-LN(2)/25)*AV123+(1-EXP(-LN(2)/25))/(LN(2)/25)*Calculateur!AQ124*Calculateur!AS124*VLOOKUP('Données projet'!$B$10,Paramètres!$A$1:$I$89,3,0)*0.475*44/12</f>
        <v>6.6596763483077224</v>
      </c>
      <c r="AW124" s="21">
        <f>EXP(-LN(2)/2)*AW123+(1-EXP(-LN(2)/2))/(LN(2)/2)*AQ124*AT124*VLOOKUP('Données projet'!$B$10,Paramètres!$A$1:$I$89,3,0)*0.475*44/12</f>
        <v>2.1048958332542652E-8</v>
      </c>
      <c r="AX124" s="21">
        <f t="shared" si="60"/>
        <v>45.417684174924439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68.134852713587549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>
        <f>VLOOKUP(A124,'Données projet'!$A$87:$I$107,2,0)</f>
        <v>417.60769230769228</v>
      </c>
      <c r="BB124" s="12">
        <f>VLOOKUP(A124,'Données projet'!$A$87:$I$107,9,0)</f>
        <v>7.0884615384615346</v>
      </c>
      <c r="BC124" s="12">
        <f t="array" ref="BC124">INDEX(BB:BB,MIN(IF(ISNUMBER(BB124:BB320),ROW(BB124:BB320),"")))</f>
        <v>7.0884615384615346</v>
      </c>
      <c r="BD124" s="12">
        <f>IF('Données projet'!$A$88&gt;35,BD123+BC124-BL123,IF(A124&lt;'Données projet'!$A$88,$BA$205^A124,IF(A124='Données projet'!$A$88,'Données projet'!$B$88,BD123+BC124-BL123)))</f>
        <v>417.6076923076933</v>
      </c>
      <c r="BE124" s="13">
        <f>BD124*VLOOKUP('Données projet'!$B$11,Paramètres!$A$1:$I$89,3,0)*VLOOKUP('Données projet'!$B$11,Paramètres!$A$1:$I$89,5,0)</f>
        <v>195.44040000000044</v>
      </c>
      <c r="BF124" s="13">
        <f t="shared" si="91"/>
        <v>48.740764653053404</v>
      </c>
      <c r="BG124" s="20">
        <f t="shared" si="61"/>
        <v>425.28219510406871</v>
      </c>
      <c r="BH124" s="59">
        <f t="shared" si="62"/>
        <v>711.77665505388973</v>
      </c>
      <c r="BI124" s="59">
        <f ca="1">AVERAGE(OFFSET($BH$3,0,0,'Données projet'!$E$11+1,1))-AVERAGE(OFFSET($H$3,0,0,'Données projet'!$E$11+1,1))</f>
        <v>308.70979446846718</v>
      </c>
      <c r="BJ124" s="59">
        <f t="shared" si="92"/>
        <v>202.33469175293314</v>
      </c>
      <c r="BK124" s="15">
        <f>IF(ISNA(VLOOKUP(A124,'Données projet'!$A$87:$I$107,3,0)),0,VLOOKUP(A124,'Données projet'!$A$87:$I$107,3,0))</f>
        <v>7</v>
      </c>
      <c r="BL124" s="15">
        <f>IF(ISNA(VLOOKUP(A124,'Données projet'!$A$87:$I$107,4,0)),0,VLOOKUP(A124,'Données projet'!$A$87:$I$107,4,0))</f>
        <v>207.07692307692307</v>
      </c>
      <c r="BM124" s="16">
        <f>IF(ISNA(VLOOKUP(A124,'Données projet'!$A$87:$I$107,5,0)),0%,VLOOKUP(A124,'Données projet'!$A$87:$I$107,5,0)*VLOOKUP('Données projet'!$B$11,Paramètres!$A$1:$I$89,7,0))</f>
        <v>0.38500000000000001</v>
      </c>
      <c r="BN124" s="16">
        <f>IF(ISNA(VLOOKUP(A124,'Données projet'!$A$87:$I$107,6,0)),0%,VLOOKUP(A124,'Données projet'!$A$87:$I$107,6,0)*VLOOKUP('Données projet'!$B$11,Paramètres!$A$1:$I$89,7,0))</f>
        <v>9.240000000000001E-2</v>
      </c>
      <c r="BO124" s="16">
        <f>IF(ISNA(VLOOKUP(A124,'Données projet'!$A$87:$I$107,7,0)),0%,VLOOKUP(A124,'Données projet'!$A$87:$I$107,7,0))</f>
        <v>0.13200000000000001</v>
      </c>
      <c r="BP124" s="21">
        <f>EXP(-LN(2)/35)*BP123+(1-EXP(-LN(2)/35))/(LN(2)/35)*BL124*BM124*VLOOKUP('Données projet'!$B$11,Paramètres!$A$1:$I$89,3,0)*0.475*44/12</f>
        <v>102.06635753935271</v>
      </c>
      <c r="BQ124" s="21">
        <f>EXP(-LN(2)/25)*BQ123+(1-EXP(-LN(2)/25))/(LN(2)/25)*Calculateur!BL124*Calculateur!BN124*VLOOKUP('Données projet'!$B$11,Paramètres!$A$1:$I$89,3,0)*0.475*44/12</f>
        <v>26.363418853005165</v>
      </c>
      <c r="BR124" s="21">
        <f>EXP(-LN(2)/2)*BR123+(1-EXP(-LN(2)/2))/(LN(2)/2)*BL124*BO124*VLOOKUP('Données projet'!$B$11,Paramètres!$A$1:$I$89,3,0)*0.475*44/12</f>
        <v>14.573479478426137</v>
      </c>
      <c r="BS124" s="22">
        <f t="shared" si="63"/>
        <v>143.00325587078402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68.134852713587549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68.134852713587549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68.134852713587549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68.134852713587549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68.134852713587549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68.134852713587549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68.134852713587549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3.1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11.366666666666667</v>
      </c>
      <c r="H125" s="67">
        <f t="shared" si="56"/>
        <v>211.20000000000002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68.167208849162151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369.06880001017635</v>
      </c>
      <c r="T125" s="59">
        <f t="shared" si="88"/>
        <v>331.91233237772281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71.713042520622977</v>
      </c>
      <c r="AA125" s="21">
        <f>EXP(-LN(2)/25)*AA124+(1-EXP(-LN(2)/25))/(LN(2)/25)*Calculateur!V125*Calculateur!X125*VLOOKUP('Données projet'!$B$9,Paramètres!$A$1:$I$89,3,0)*0.475*44/12</f>
        <v>11.844567792673699</v>
      </c>
      <c r="AB125" s="21">
        <f>EXP(-LN(2)/2)*AB124+(1-EXP(-LN(2)/2))/(LN(2)/2)*V125*Y125*VLOOKUP('Données projet'!$B$9,Paramètres!$A$1:$I$89,3,0)*0.475*44/12</f>
        <v>5.5658979077863884E-6</v>
      </c>
      <c r="AC125" s="22">
        <f t="shared" si="57"/>
        <v>83.557615879194586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68.167208849162151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-5.6843418860808015E-14</v>
      </c>
      <c r="AJ125" s="13">
        <f>AI125*VLOOKUP('Données projet'!$B$10,Paramètres!$A$1:$I$89,3,0)*VLOOKUP('Données projet'!$B$10,Paramètres!$A$1:$I$89,5,0)</f>
        <v>-3.3992364478763198E-14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270.29397440778314</v>
      </c>
      <c r="AO125" s="59">
        <f t="shared" si="90"/>
        <v>281.95928682679596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37.997986912551077</v>
      </c>
      <c r="AV125" s="21">
        <f>EXP(-LN(2)/25)*AV124+(1-EXP(-LN(2)/25))/(LN(2)/25)*Calculateur!AQ125*Calculateur!AS125*VLOOKUP('Données projet'!$B$10,Paramètres!$A$1:$I$89,3,0)*0.475*44/12</f>
        <v>6.4775671483460897</v>
      </c>
      <c r="AW125" s="21">
        <f>EXP(-LN(2)/2)*AW124+(1-EXP(-LN(2)/2))/(LN(2)/2)*AQ125*AT125*VLOOKUP('Données projet'!$B$10,Paramètres!$A$1:$I$89,3,0)*0.475*44/12</f>
        <v>1.4883861173853994E-8</v>
      </c>
      <c r="AX125" s="21">
        <f t="shared" si="60"/>
        <v>44.475554075781027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68.167208849162151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4.9084615384615375</v>
      </c>
      <c r="BD125" s="12">
        <f>IF('Données projet'!$A$88&gt;35,BD124+BC125-BL124,IF(A125&lt;'Données projet'!$A$88,$BA$205^A125,IF(A125='Données projet'!$A$88,'Données projet'!$B$88,BD124+BC125-BL124)))</f>
        <v>215.43923076923178</v>
      </c>
      <c r="BE125" s="13">
        <f>BD125*VLOOKUP('Données projet'!$B$11,Paramètres!$A$1:$I$89,3,0)*VLOOKUP('Données projet'!$B$11,Paramètres!$A$1:$I$89,5,0)</f>
        <v>100.82556000000046</v>
      </c>
      <c r="BF125" s="13">
        <f t="shared" si="91"/>
        <v>27.158581624033999</v>
      </c>
      <c r="BG125" s="20">
        <f t="shared" si="61"/>
        <v>222.90571332852667</v>
      </c>
      <c r="BH125" s="59">
        <f t="shared" si="62"/>
        <v>509.5188124421212</v>
      </c>
      <c r="BI125" s="59">
        <f ca="1">AVERAGE(OFFSET($BH$3,0,0,'Données projet'!$E$11+1,1))-AVERAGE(OFFSET($H$3,0,0,'Données projet'!$E$11+1,1))</f>
        <v>308.70979446846718</v>
      </c>
      <c r="BJ125" s="59">
        <f t="shared" si="92"/>
        <v>202.33469175293314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100.06489852233699</v>
      </c>
      <c r="BQ125" s="21">
        <f>EXP(-LN(2)/25)*BQ124+(1-EXP(-LN(2)/25))/(LN(2)/25)*Calculateur!BL125*Calculateur!BN125*VLOOKUP('Données projet'!$B$11,Paramètres!$A$1:$I$89,3,0)*0.475*44/12</f>
        <v>25.642509778077795</v>
      </c>
      <c r="BR125" s="21">
        <f>EXP(-LN(2)/2)*BR124+(1-EXP(-LN(2)/2))/(LN(2)/2)*BL125*BO125*VLOOKUP('Données projet'!$B$11,Paramètres!$A$1:$I$89,3,0)*0.475*44/12</f>
        <v>10.305006164678112</v>
      </c>
      <c r="BS125" s="22">
        <f t="shared" si="63"/>
        <v>136.01241446509289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68.167208849162151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68.167208849162151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68.167208849162151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68.167208849162151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68.167208849162151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68.167208849162151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68.167208849162151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3.1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11.366666666666667</v>
      </c>
      <c r="H126" s="67">
        <f t="shared" si="56"/>
        <v>211.20000000000002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68.199003678122025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369.06880001017635</v>
      </c>
      <c r="T126" s="59">
        <f t="shared" si="88"/>
        <v>331.91233237772281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70.306793497430476</v>
      </c>
      <c r="AA126" s="21">
        <f>EXP(-LN(2)/25)*AA125+(1-EXP(-LN(2)/25))/(LN(2)/25)*Calculateur!V126*Calculateur!X126*VLOOKUP('Données projet'!$B$9,Paramètres!$A$1:$I$89,3,0)*0.475*44/12</f>
        <v>11.520677463504287</v>
      </c>
      <c r="AB126" s="21">
        <f>EXP(-LN(2)/2)*AB125+(1-EXP(-LN(2)/2))/(LN(2)/2)*V126*Y126*VLOOKUP('Données projet'!$B$9,Paramètres!$A$1:$I$89,3,0)*0.475*44/12</f>
        <v>3.9356841539877724E-6</v>
      </c>
      <c r="AC126" s="22">
        <f t="shared" si="57"/>
        <v>81.827474896618909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68.199003678122025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-5.6843418860808015E-14</v>
      </c>
      <c r="AJ126" s="13">
        <f>AI126*VLOOKUP('Données projet'!$B$10,Paramètres!$A$1:$I$89,3,0)*VLOOKUP('Données projet'!$B$10,Paramètres!$A$1:$I$89,5,0)</f>
        <v>-3.3992364478763198E-14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270.29397440778314</v>
      </c>
      <c r="AO126" s="59">
        <f t="shared" si="90"/>
        <v>281.95928682679596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37.252869565679482</v>
      </c>
      <c r="AV126" s="21">
        <f>EXP(-LN(2)/25)*AV125+(1-EXP(-LN(2)/25))/(LN(2)/25)*Calculateur!AQ126*Calculateur!AS126*VLOOKUP('Données projet'!$B$10,Paramètres!$A$1:$I$89,3,0)*0.475*44/12</f>
        <v>6.300437734034114</v>
      </c>
      <c r="AW126" s="21">
        <f>EXP(-LN(2)/2)*AW125+(1-EXP(-LN(2)/2))/(LN(2)/2)*AQ126*AT126*VLOOKUP('Données projet'!$B$10,Paramètres!$A$1:$I$89,3,0)*0.475*44/12</f>
        <v>1.0524479166271328E-8</v>
      </c>
      <c r="AX126" s="21">
        <f t="shared" si="60"/>
        <v>43.553307310238075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68.199003678122025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4.9084615384615375</v>
      </c>
      <c r="BD126" s="12">
        <f>IF('Données projet'!$A$88&gt;35,BD125+BC126-BL125,IF(A126&lt;'Données projet'!$A$88,$BA$205^A126,IF(A126='Données projet'!$A$88,'Données projet'!$B$88,BD125+BC126-BL125)))</f>
        <v>220.34769230769331</v>
      </c>
      <c r="BE126" s="13">
        <f>BD126*VLOOKUP('Données projet'!$B$11,Paramètres!$A$1:$I$89,3,0)*VLOOKUP('Données projet'!$B$11,Paramètres!$A$1:$I$89,5,0)</f>
        <v>103.12272000000047</v>
      </c>
      <c r="BF126" s="13">
        <f t="shared" si="91"/>
        <v>27.70460592159175</v>
      </c>
      <c r="BG126" s="20">
        <f t="shared" si="61"/>
        <v>227.8575926467731</v>
      </c>
      <c r="BH126" s="59">
        <f t="shared" si="62"/>
        <v>514.58727279988716</v>
      </c>
      <c r="BI126" s="59">
        <f ca="1">AVERAGE(OFFSET($BH$3,0,0,'Données projet'!$E$11+1,1))-AVERAGE(OFFSET($H$3,0,0,'Données projet'!$E$11+1,1))</f>
        <v>308.70979446846718</v>
      </c>
      <c r="BJ126" s="59">
        <f t="shared" si="92"/>
        <v>202.33469175293314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98.102686895875493</v>
      </c>
      <c r="BQ126" s="21">
        <f>EXP(-LN(2)/25)*BQ125+(1-EXP(-LN(2)/25))/(LN(2)/25)*Calculateur!BL126*Calculateur!BN126*VLOOKUP('Données projet'!$B$11,Paramètres!$A$1:$I$89,3,0)*0.475*44/12</f>
        <v>24.941313999715273</v>
      </c>
      <c r="BR126" s="21">
        <f>EXP(-LN(2)/2)*BR125+(1-EXP(-LN(2)/2))/(LN(2)/2)*BL126*BO126*VLOOKUP('Données projet'!$B$11,Paramètres!$A$1:$I$89,3,0)*0.475*44/12</f>
        <v>7.2867397392130693</v>
      </c>
      <c r="BS126" s="22">
        <f t="shared" si="63"/>
        <v>130.33074063480385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68.199003678122025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68.199003678122025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68.199003678122025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68.199003678122025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68.199003678122025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68.199003678122025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68.199003678122025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3.1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11.366666666666667</v>
      </c>
      <c r="H127" s="67">
        <f t="shared" si="56"/>
        <v>211.20000000000002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68.230246937882043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369.06880001017635</v>
      </c>
      <c r="T127" s="59">
        <f t="shared" si="88"/>
        <v>331.91233237772281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68.928120159855567</v>
      </c>
      <c r="AA127" s="21">
        <f>EXP(-LN(2)/25)*AA126+(1-EXP(-LN(2)/25))/(LN(2)/25)*Calculateur!V127*Calculateur!X127*VLOOKUP('Données projet'!$B$9,Paramètres!$A$1:$I$89,3,0)*0.475*44/12</f>
        <v>11.205643932418665</v>
      </c>
      <c r="AB127" s="21">
        <f>EXP(-LN(2)/2)*AB126+(1-EXP(-LN(2)/2))/(LN(2)/2)*V127*Y127*VLOOKUP('Données projet'!$B$9,Paramètres!$A$1:$I$89,3,0)*0.475*44/12</f>
        <v>2.7829489538931942E-6</v>
      </c>
      <c r="AC127" s="22">
        <f t="shared" si="57"/>
        <v>80.133766875223188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68.230246937882043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-5.6843418860808015E-14</v>
      </c>
      <c r="AJ127" s="13">
        <f>AI127*VLOOKUP('Données projet'!$B$10,Paramètres!$A$1:$I$89,3,0)*VLOOKUP('Données projet'!$B$10,Paramètres!$A$1:$I$89,5,0)</f>
        <v>-3.3992364478763198E-14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270.29397440778314</v>
      </c>
      <c r="AO127" s="59">
        <f t="shared" si="90"/>
        <v>281.95928682679596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36.522363515503329</v>
      </c>
      <c r="AV127" s="21">
        <f>EXP(-LN(2)/25)*AV126+(1-EXP(-LN(2)/25))/(LN(2)/25)*Calculateur!AQ127*Calculateur!AS127*VLOOKUP('Données projet'!$B$10,Paramètres!$A$1:$I$89,3,0)*0.475*44/12</f>
        <v>6.1281519328713303</v>
      </c>
      <c r="AW127" s="21">
        <f>EXP(-LN(2)/2)*AW126+(1-EXP(-LN(2)/2))/(LN(2)/2)*AQ127*AT127*VLOOKUP('Données projet'!$B$10,Paramètres!$A$1:$I$89,3,0)*0.475*44/12</f>
        <v>7.4419305869269985E-9</v>
      </c>
      <c r="AX127" s="21">
        <f t="shared" si="60"/>
        <v>42.650515455816596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68.230246937882043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4.9084615384615375</v>
      </c>
      <c r="BD127" s="12">
        <f>IF('Données projet'!$A$88&gt;35,BD126+BC127-BL126,IF(A127&lt;'Données projet'!$A$88,$BA$205^A127,IF(A127='Données projet'!$A$88,'Données projet'!$B$88,BD126+BC127-BL126)))</f>
        <v>225.25615384615486</v>
      </c>
      <c r="BE127" s="13">
        <f>BD127*VLOOKUP('Données projet'!$B$11,Paramètres!$A$1:$I$89,3,0)*VLOOKUP('Données projet'!$B$11,Paramètres!$A$1:$I$89,5,0)</f>
        <v>105.41988000000046</v>
      </c>
      <c r="BF127" s="13">
        <f t="shared" si="91"/>
        <v>28.249216129722416</v>
      </c>
      <c r="BG127" s="20">
        <f t="shared" si="61"/>
        <v>232.80700909260065</v>
      </c>
      <c r="BH127" s="59">
        <f t="shared" si="62"/>
        <v>519.65124786483489</v>
      </c>
      <c r="BI127" s="59">
        <f ca="1">AVERAGE(OFFSET($BH$3,0,0,'Données projet'!$E$11+1,1))-AVERAGE(OFFSET($H$3,0,0,'Données projet'!$E$11+1,1))</f>
        <v>308.70979446846718</v>
      </c>
      <c r="BJ127" s="59">
        <f t="shared" si="92"/>
        <v>202.33469175293314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96.178953042578001</v>
      </c>
      <c r="BQ127" s="21">
        <f>EXP(-LN(2)/25)*BQ126+(1-EXP(-LN(2)/25))/(LN(2)/25)*Calculateur!BL127*Calculateur!BN127*VLOOKUP('Données projet'!$B$11,Paramètres!$A$1:$I$89,3,0)*0.475*44/12</f>
        <v>24.259292456786358</v>
      </c>
      <c r="BR127" s="21">
        <f>EXP(-LN(2)/2)*BR126+(1-EXP(-LN(2)/2))/(LN(2)/2)*BL127*BO127*VLOOKUP('Données projet'!$B$11,Paramètres!$A$1:$I$89,3,0)*0.475*44/12</f>
        <v>5.1525030823390567</v>
      </c>
      <c r="BS127" s="22">
        <f t="shared" si="63"/>
        <v>125.59074858170341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68.230246937882043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68.230246937882043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68.230246937882043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68.230246937882043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68.230246937882043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68.230246937882043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68.230246937882043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3.1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11.366666666666667</v>
      </c>
      <c r="H128" s="67">
        <f t="shared" si="56"/>
        <v>211.20000000000002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68.260948196934677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369.06880001017635</v>
      </c>
      <c r="T128" s="59">
        <f t="shared" si="88"/>
        <v>331.91233237772281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67.5764817655228</v>
      </c>
      <c r="AA128" s="21">
        <f>EXP(-LN(2)/25)*AA127+(1-EXP(-LN(2)/25))/(LN(2)/25)*Calculateur!V128*Calculateur!X128*VLOOKUP('Données projet'!$B$9,Paramètres!$A$1:$I$89,3,0)*0.475*44/12</f>
        <v>10.899225009807473</v>
      </c>
      <c r="AB128" s="21">
        <f>EXP(-LN(2)/2)*AB127+(1-EXP(-LN(2)/2))/(LN(2)/2)*V128*Y128*VLOOKUP('Données projet'!$B$9,Paramètres!$A$1:$I$89,3,0)*0.475*44/12</f>
        <v>1.9678420769938862E-6</v>
      </c>
      <c r="AC128" s="22">
        <f t="shared" si="57"/>
        <v>78.475708743172362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68.260948196934677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-5.6843418860808015E-14</v>
      </c>
      <c r="AJ128" s="13">
        <f>AI128*VLOOKUP('Données projet'!$B$10,Paramètres!$A$1:$I$89,3,0)*VLOOKUP('Données projet'!$B$10,Paramètres!$A$1:$I$89,5,0)</f>
        <v>-3.3992364478763198E-14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270.29397440778314</v>
      </c>
      <c r="AO128" s="59">
        <f t="shared" si="90"/>
        <v>281.95928682679596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35.80618224340644</v>
      </c>
      <c r="AV128" s="21">
        <f>EXP(-LN(2)/25)*AV127+(1-EXP(-LN(2)/25))/(LN(2)/25)*Calculateur!AQ128*Calculateur!AS128*VLOOKUP('Données projet'!$B$10,Paramètres!$A$1:$I$89,3,0)*0.475*44/12</f>
        <v>5.9605772960014596</v>
      </c>
      <c r="AW128" s="21">
        <f>EXP(-LN(2)/2)*AW127+(1-EXP(-LN(2)/2))/(LN(2)/2)*AQ128*AT128*VLOOKUP('Données projet'!$B$10,Paramètres!$A$1:$I$89,3,0)*0.475*44/12</f>
        <v>5.2622395831356647E-9</v>
      </c>
      <c r="AX128" s="21">
        <f t="shared" si="60"/>
        <v>41.766759544670137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68.260948196934677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4.9084615384615375</v>
      </c>
      <c r="BD128" s="12">
        <f>IF('Données projet'!$A$88&gt;35,BD127+BC128-BL127,IF(A128&lt;'Données projet'!$A$88,$BA$205^A128,IF(A128='Données projet'!$A$88,'Données projet'!$B$88,BD127+BC128-BL127)))</f>
        <v>230.16461538461641</v>
      </c>
      <c r="BE128" s="13">
        <f>BD128*VLOOKUP('Données projet'!$B$11,Paramètres!$A$1:$I$89,3,0)*VLOOKUP('Données projet'!$B$11,Paramètres!$A$1:$I$89,5,0)</f>
        <v>107.71704000000048</v>
      </c>
      <c r="BF128" s="13">
        <f t="shared" si="91"/>
        <v>28.792446610882244</v>
      </c>
      <c r="BG128" s="20">
        <f t="shared" si="61"/>
        <v>237.75402251395406</v>
      </c>
      <c r="BH128" s="59">
        <f t="shared" si="62"/>
        <v>524.71083256938118</v>
      </c>
      <c r="BI128" s="59">
        <f ca="1">AVERAGE(OFFSET($BH$3,0,0,'Données projet'!$E$11+1,1))-AVERAGE(OFFSET($H$3,0,0,'Données projet'!$E$11+1,1))</f>
        <v>308.70979446846718</v>
      </c>
      <c r="BJ128" s="59">
        <f t="shared" si="92"/>
        <v>202.33469175293314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94.292942436781871</v>
      </c>
      <c r="BQ128" s="21">
        <f>EXP(-LN(2)/25)*BQ127+(1-EXP(-LN(2)/25))/(LN(2)/25)*Calculateur!BL128*Calculateur!BN128*VLOOKUP('Données projet'!$B$11,Paramètres!$A$1:$I$89,3,0)*0.475*44/12</f>
        <v>23.595920828814791</v>
      </c>
      <c r="BR128" s="21">
        <f>EXP(-LN(2)/2)*BR127+(1-EXP(-LN(2)/2))/(LN(2)/2)*BL128*BO128*VLOOKUP('Données projet'!$B$11,Paramètres!$A$1:$I$89,3,0)*0.475*44/12</f>
        <v>3.6433698696065351</v>
      </c>
      <c r="BS128" s="22">
        <f t="shared" si="63"/>
        <v>121.53223313520319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68.260948196934677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68.260948196934677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68.260948196934677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68.260948196934677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68.260948196934677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68.260948196934677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68.260948196934677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3.1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11.366666666666667</v>
      </c>
      <c r="H129" s="67">
        <f t="shared" si="56"/>
        <v>211.20000000000002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68.29111685778048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369.06880001017635</v>
      </c>
      <c r="T129" s="59">
        <f t="shared" si="88"/>
        <v>331.91233237772281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66.251348175684882</v>
      </c>
      <c r="AA129" s="21">
        <f>EXP(-LN(2)/25)*AA128+(1-EXP(-LN(2)/25))/(LN(2)/25)*Calculateur!V129*Calculateur!X129*VLOOKUP('Données projet'!$B$9,Paramètres!$A$1:$I$89,3,0)*0.475*44/12</f>
        <v>10.601185128748956</v>
      </c>
      <c r="AB129" s="21">
        <f>EXP(-LN(2)/2)*AB128+(1-EXP(-LN(2)/2))/(LN(2)/2)*V129*Y129*VLOOKUP('Données projet'!$B$9,Paramètres!$A$1:$I$89,3,0)*0.475*44/12</f>
        <v>1.3914744769465971E-6</v>
      </c>
      <c r="AC129" s="22">
        <f t="shared" si="57"/>
        <v>76.852534695908304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68.29111685778048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-5.6843418860808015E-14</v>
      </c>
      <c r="AJ129" s="13">
        <f>AI129*VLOOKUP('Données projet'!$B$10,Paramètres!$A$1:$I$89,3,0)*VLOOKUP('Données projet'!$B$10,Paramètres!$A$1:$I$89,5,0)</f>
        <v>-3.3992364478763198E-14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270.29397440778314</v>
      </c>
      <c r="AO129" s="59">
        <f t="shared" si="90"/>
        <v>281.95928682679596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35.104044849227925</v>
      </c>
      <c r="AV129" s="21">
        <f>EXP(-LN(2)/25)*AV128+(1-EXP(-LN(2)/25))/(LN(2)/25)*Calculateur!AQ129*Calculateur!AS129*VLOOKUP('Données projet'!$B$10,Paramètres!$A$1:$I$89,3,0)*0.475*44/12</f>
        <v>5.7975849963891628</v>
      </c>
      <c r="AW129" s="21">
        <f>EXP(-LN(2)/2)*AW128+(1-EXP(-LN(2)/2))/(LN(2)/2)*AQ129*AT129*VLOOKUP('Données projet'!$B$10,Paramètres!$A$1:$I$89,3,0)*0.475*44/12</f>
        <v>3.7209652934634997E-9</v>
      </c>
      <c r="AX129" s="21">
        <f t="shared" si="60"/>
        <v>40.90162984933805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68.29111685778048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4.9084615384615375</v>
      </c>
      <c r="BD129" s="12">
        <f>IF('Données projet'!$A$88&gt;35,BD128+BC129-BL128,IF(A129&lt;'Données projet'!$A$88,$BA$205^A129,IF(A129='Données projet'!$A$88,'Données projet'!$B$88,BD128+BC129-BL128)))</f>
        <v>235.07307692307796</v>
      </c>
      <c r="BE129" s="13">
        <f>BD129*VLOOKUP('Données projet'!$B$11,Paramètres!$A$1:$I$89,3,0)*VLOOKUP('Données projet'!$B$11,Paramètres!$A$1:$I$89,5,0)</f>
        <v>110.01420000000049</v>
      </c>
      <c r="BF129" s="13">
        <f t="shared" si="91"/>
        <v>29.334330178180249</v>
      </c>
      <c r="BG129" s="20">
        <f t="shared" si="61"/>
        <v>242.69869006033142</v>
      </c>
      <c r="BH129" s="59">
        <f t="shared" si="62"/>
        <v>529.76611853885981</v>
      </c>
      <c r="BI129" s="59">
        <f ca="1">AVERAGE(OFFSET($BH$3,0,0,'Données projet'!$E$11+1,1))-AVERAGE(OFFSET($H$3,0,0,'Données projet'!$E$11+1,1))</f>
        <v>308.70979446846718</v>
      </c>
      <c r="BJ129" s="59">
        <f t="shared" si="92"/>
        <v>202.33469175293314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92.443915348612521</v>
      </c>
      <c r="BQ129" s="21">
        <f>EXP(-LN(2)/25)*BQ128+(1-EXP(-LN(2)/25))/(LN(2)/25)*Calculateur!BL129*Calculateur!BN129*VLOOKUP('Données projet'!$B$11,Paramètres!$A$1:$I$89,3,0)*0.475*44/12</f>
        <v>22.950689132895302</v>
      </c>
      <c r="BR129" s="21">
        <f>EXP(-LN(2)/2)*BR128+(1-EXP(-LN(2)/2))/(LN(2)/2)*BL129*BO129*VLOOKUP('Données projet'!$B$11,Paramètres!$A$1:$I$89,3,0)*0.475*44/12</f>
        <v>2.5762515411695284</v>
      </c>
      <c r="BS129" s="22">
        <f t="shared" si="63"/>
        <v>117.97085602267735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68.29111685778048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68.29111685778048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68.29111685778048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68.29111685778048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68.29111685778048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68.29111685778048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68.29111685778048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3.1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11.366666666666667</v>
      </c>
      <c r="H130" s="67">
        <f t="shared" si="56"/>
        <v>211.20000000000002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68.320762159807629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369.06880001017635</v>
      </c>
      <c r="T130" s="59">
        <f t="shared" si="88"/>
        <v>331.91233237772281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64.952199647292005</v>
      </c>
      <c r="AA130" s="21">
        <f>EXP(-LN(2)/25)*AA129+(1-EXP(-LN(2)/25))/(LN(2)/25)*Calculateur!V130*Calculateur!X130*VLOOKUP('Données projet'!$B$9,Paramètres!$A$1:$I$89,3,0)*0.475*44/12</f>
        <v>10.311295163911218</v>
      </c>
      <c r="AB130" s="21">
        <f>EXP(-LN(2)/2)*AB129+(1-EXP(-LN(2)/2))/(LN(2)/2)*V130*Y130*VLOOKUP('Données projet'!$B$9,Paramètres!$A$1:$I$89,3,0)*0.475*44/12</f>
        <v>9.839210384969431E-7</v>
      </c>
      <c r="AC130" s="22">
        <f t="shared" si="57"/>
        <v>75.263495795124271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68.320762159807629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-5.6843418860808015E-14</v>
      </c>
      <c r="AJ130" s="13">
        <f>AI130*VLOOKUP('Données projet'!$B$10,Paramètres!$A$1:$I$89,3,0)*VLOOKUP('Données projet'!$B$10,Paramètres!$A$1:$I$89,5,0)</f>
        <v>-3.3992364478763198E-14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270.29397440778314</v>
      </c>
      <c r="AO130" s="59">
        <f t="shared" si="90"/>
        <v>281.95928682679596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34.415675941087727</v>
      </c>
      <c r="AV130" s="21">
        <f>EXP(-LN(2)/25)*AV129+(1-EXP(-LN(2)/25))/(LN(2)/25)*Calculateur!AQ130*Calculateur!AS130*VLOOKUP('Données projet'!$B$10,Paramètres!$A$1:$I$89,3,0)*0.475*44/12</f>
        <v>5.6390497297811564</v>
      </c>
      <c r="AW130" s="21">
        <f>EXP(-LN(2)/2)*AW129+(1-EXP(-LN(2)/2))/(LN(2)/2)*AQ130*AT130*VLOOKUP('Données projet'!$B$10,Paramètres!$A$1:$I$89,3,0)*0.475*44/12</f>
        <v>2.6311197915678328E-9</v>
      </c>
      <c r="AX130" s="21">
        <f t="shared" si="60"/>
        <v>40.054725673500002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68.320762159807629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4.9084615384615375</v>
      </c>
      <c r="BD130" s="12">
        <f>IF('Données projet'!$A$88&gt;35,BD129+BC130-BL129,IF(A130&lt;'Données projet'!$A$88,$BA$205^A130,IF(A130='Données projet'!$A$88,'Données projet'!$B$88,BD129+BC130-BL129)))</f>
        <v>239.98153846153951</v>
      </c>
      <c r="BE130" s="13">
        <f>BD130*VLOOKUP('Données projet'!$B$11,Paramètres!$A$1:$I$89,3,0)*VLOOKUP('Données projet'!$B$11,Paramètres!$A$1:$I$89,5,0)</f>
        <v>112.31136000000051</v>
      </c>
      <c r="BF130" s="13">
        <f t="shared" si="91"/>
        <v>29.874898196104638</v>
      </c>
      <c r="BG130" s="20">
        <f t="shared" si="61"/>
        <v>247.64106635821645</v>
      </c>
      <c r="BH130" s="59">
        <f t="shared" si="62"/>
        <v>534.81719427751113</v>
      </c>
      <c r="BI130" s="59">
        <f ca="1">AVERAGE(OFFSET($BH$3,0,0,'Données projet'!$E$11+1,1))-AVERAGE(OFFSET($H$3,0,0,'Données projet'!$E$11+1,1))</f>
        <v>308.70979446846718</v>
      </c>
      <c r="BJ130" s="59">
        <f t="shared" si="92"/>
        <v>202.33469175293314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90.631146553847017</v>
      </c>
      <c r="BQ130" s="21">
        <f>EXP(-LN(2)/25)*BQ129+(1-EXP(-LN(2)/25))/(LN(2)/25)*Calculateur!BL130*Calculateur!BN130*VLOOKUP('Données projet'!$B$11,Paramètres!$A$1:$I$89,3,0)*0.475*44/12</f>
        <v>22.323101331631992</v>
      </c>
      <c r="BR130" s="21">
        <f>EXP(-LN(2)/2)*BR129+(1-EXP(-LN(2)/2))/(LN(2)/2)*BL130*BO130*VLOOKUP('Données projet'!$B$11,Paramètres!$A$1:$I$89,3,0)*0.475*44/12</f>
        <v>1.8216849348032675</v>
      </c>
      <c r="BS130" s="22">
        <f t="shared" si="63"/>
        <v>114.77593282028228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68.320762159807629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68.320762159807629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68.320762159807629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68.320762159807629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68.320762159807629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68.320762159807629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68.320762159807629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3.1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11.366666666666667</v>
      </c>
      <c r="H131" s="67">
        <f t="shared" si="56"/>
        <v>211.20000000000002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68.349893182121576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369.06880001017635</v>
      </c>
      <c r="T131" s="59">
        <f t="shared" si="88"/>
        <v>331.91233237772281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63.678526629138545</v>
      </c>
      <c r="AA131" s="21">
        <f>EXP(-LN(2)/25)*AA130+(1-EXP(-LN(2)/25))/(LN(2)/25)*Calculateur!V131*Calculateur!X131*VLOOKUP('Données projet'!$B$9,Paramètres!$A$1:$I$89,3,0)*0.475*44/12</f>
        <v>10.02933225540662</v>
      </c>
      <c r="AB131" s="21">
        <f>EXP(-LN(2)/2)*AB130+(1-EXP(-LN(2)/2))/(LN(2)/2)*V131*Y131*VLOOKUP('Données projet'!$B$9,Paramètres!$A$1:$I$89,3,0)*0.475*44/12</f>
        <v>6.9573723847329855E-7</v>
      </c>
      <c r="AC131" s="22">
        <f t="shared" si="57"/>
        <v>73.707859580282403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68.349893182121576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-5.6843418860808015E-14</v>
      </c>
      <c r="AJ131" s="13">
        <f>AI131*VLOOKUP('Données projet'!$B$10,Paramètres!$A$1:$I$89,3,0)*VLOOKUP('Données projet'!$B$10,Paramètres!$A$1:$I$89,5,0)</f>
        <v>-3.3992364478763198E-14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270.29397440778314</v>
      </c>
      <c r="AO131" s="59">
        <f t="shared" si="90"/>
        <v>281.95928682679596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33.740805527372586</v>
      </c>
      <c r="AV131" s="21">
        <f>EXP(-LN(2)/25)*AV130+(1-EXP(-LN(2)/25))/(LN(2)/25)*Calculateur!AQ131*Calculateur!AS131*VLOOKUP('Données projet'!$B$10,Paramètres!$A$1:$I$89,3,0)*0.475*44/12</f>
        <v>5.484849618375554</v>
      </c>
      <c r="AW131" s="21">
        <f>EXP(-LN(2)/2)*AW130+(1-EXP(-LN(2)/2))/(LN(2)/2)*AQ131*AT131*VLOOKUP('Données projet'!$B$10,Paramètres!$A$1:$I$89,3,0)*0.475*44/12</f>
        <v>1.8604826467317502E-9</v>
      </c>
      <c r="AX131" s="21">
        <f t="shared" si="60"/>
        <v>39.225655147608627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68.349893182121576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4.9084615384615375</v>
      </c>
      <c r="BD131" s="12">
        <f>IF('Données projet'!$A$88&gt;35,BD130+BC131-BL130,IF(A131&lt;'Données projet'!$A$88,$BA$205^A131,IF(A131='Données projet'!$A$88,'Données projet'!$B$88,BD130+BC131-BL130)))</f>
        <v>244.89000000000107</v>
      </c>
      <c r="BE131" s="13">
        <f>BD131*VLOOKUP('Données projet'!$B$11,Paramètres!$A$1:$I$89,3,0)*VLOOKUP('Données projet'!$B$11,Paramètres!$A$1:$I$89,5,0)</f>
        <v>114.6085200000005</v>
      </c>
      <c r="BF131" s="13">
        <f t="shared" si="91"/>
        <v>30.414180672775728</v>
      </c>
      <c r="BG131" s="20">
        <f t="shared" si="61"/>
        <v>252.58120367175192</v>
      </c>
      <c r="BH131" s="59">
        <f t="shared" si="62"/>
        <v>539.86414533953098</v>
      </c>
      <c r="BI131" s="59">
        <f ca="1">AVERAGE(OFFSET($BH$3,0,0,'Données projet'!$E$11+1,1))-AVERAGE(OFFSET($H$3,0,0,'Données projet'!$E$11+1,1))</f>
        <v>308.70979446846718</v>
      </c>
      <c r="BJ131" s="59">
        <f t="shared" si="92"/>
        <v>202.33469175293314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88.85392504946708</v>
      </c>
      <c r="BQ131" s="21">
        <f>EXP(-LN(2)/25)*BQ130+(1-EXP(-LN(2)/25))/(LN(2)/25)*Calculateur!BL131*Calculateur!BN131*VLOOKUP('Données projet'!$B$11,Paramètres!$A$1:$I$89,3,0)*0.475*44/12</f>
        <v>21.712674951797638</v>
      </c>
      <c r="BR131" s="21">
        <f>EXP(-LN(2)/2)*BR130+(1-EXP(-LN(2)/2))/(LN(2)/2)*BL131*BO131*VLOOKUP('Données projet'!$B$11,Paramètres!$A$1:$I$89,3,0)*0.475*44/12</f>
        <v>1.2881257705847642</v>
      </c>
      <c r="BS131" s="22">
        <f t="shared" si="63"/>
        <v>111.85472577184949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68.349893182121576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68.349893182121576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68.349893182121576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68.349893182121576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68.349893182121576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68.349893182121576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68.349893182121576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3.1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11.366666666666667</v>
      </c>
      <c r="H132" s="67">
        <f t="shared" ref="H132:H195" si="110">(B132+E132+F132)*44/12+(C132+D132)*0.475*44/12</f>
        <v>211.20000000000002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68.378518846325591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369.06880001017635</v>
      </c>
      <c r="T132" s="59">
        <f t="shared" si="88"/>
        <v>331.91233237772281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62.429829562007242</v>
      </c>
      <c r="AA132" s="21">
        <f>EXP(-LN(2)/25)*AA131+(1-EXP(-LN(2)/25))/(LN(2)/25)*Calculateur!V132*Calculateur!X132*VLOOKUP('Données projet'!$B$9,Paramètres!$A$1:$I$89,3,0)*0.475*44/12</f>
        <v>9.755079637462865</v>
      </c>
      <c r="AB132" s="21">
        <f>EXP(-LN(2)/2)*AB131+(1-EXP(-LN(2)/2))/(LN(2)/2)*V132*Y132*VLOOKUP('Données projet'!$B$9,Paramètres!$A$1:$I$89,3,0)*0.475*44/12</f>
        <v>4.9196051924847155E-7</v>
      </c>
      <c r="AC132" s="22">
        <f t="shared" ref="AC132:AC153" si="111">SUM(Z132:AB132)</f>
        <v>72.184909691430633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68.378518846325591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-5.6843418860808015E-14</v>
      </c>
      <c r="AJ132" s="13">
        <f>AI132*VLOOKUP('Données projet'!$B$10,Paramètres!$A$1:$I$89,3,0)*VLOOKUP('Données projet'!$B$10,Paramètres!$A$1:$I$89,5,0)</f>
        <v>-3.3992364478763198E-14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270.29397440778314</v>
      </c>
      <c r="AO132" s="59">
        <f t="shared" si="90"/>
        <v>281.95928682679596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33.079168910840089</v>
      </c>
      <c r="AV132" s="21">
        <f>EXP(-LN(2)/25)*AV131+(1-EXP(-LN(2)/25))/(LN(2)/25)*Calculateur!AQ132*Calculateur!AS132*VLOOKUP('Données projet'!$B$10,Paramètres!$A$1:$I$89,3,0)*0.475*44/12</f>
        <v>5.3348661171253688</v>
      </c>
      <c r="AW132" s="21">
        <f>EXP(-LN(2)/2)*AW131+(1-EXP(-LN(2)/2))/(LN(2)/2)*AQ132*AT132*VLOOKUP('Données projet'!$B$10,Paramètres!$A$1:$I$89,3,0)*0.475*44/12</f>
        <v>1.3155598957839166E-9</v>
      </c>
      <c r="AX132" s="21">
        <f t="shared" ref="AX132:AX153" si="114">SUM(AU132:AW132)</f>
        <v>38.414035029281017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68.378518846325591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4.9084615384615375</v>
      </c>
      <c r="BD132" s="12">
        <f>IF('Données projet'!$A$88&gt;35,BD131+BC132-BL131,IF(A132&lt;'Données projet'!$A$88,$BA$205^A132,IF(A132='Données projet'!$A$88,'Données projet'!$B$88,BD131+BC132-BL131)))</f>
        <v>249.79846153846262</v>
      </c>
      <c r="BE132" s="13">
        <f>BD132*VLOOKUP('Données projet'!$B$11,Paramètres!$A$1:$I$89,3,0)*VLOOKUP('Données projet'!$B$11,Paramètres!$A$1:$I$89,5,0)</f>
        <v>116.90568000000052</v>
      </c>
      <c r="BF132" s="13">
        <f t="shared" si="91"/>
        <v>30.952206344593481</v>
      </c>
      <c r="BG132" s="20">
        <f t="shared" ref="BG132:BG153" si="115">(BE132+BF132)*0.475*44/12</f>
        <v>257.51915205016786</v>
      </c>
      <c r="BH132" s="59">
        <f t="shared" ref="BH132:BH195" si="116">BG132+(AY132+AZ132)*44/12</f>
        <v>544.90705448669496</v>
      </c>
      <c r="BI132" s="59">
        <f ca="1">AVERAGE(OFFSET($BH$3,0,0,'Données projet'!$E$11+1,1))-AVERAGE(OFFSET($H$3,0,0,'Données projet'!$E$11+1,1))</f>
        <v>308.70979446846718</v>
      </c>
      <c r="BJ132" s="59">
        <f t="shared" si="92"/>
        <v>202.33469175293314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87.11155377478994</v>
      </c>
      <c r="BQ132" s="21">
        <f>EXP(-LN(2)/25)*BQ131+(1-EXP(-LN(2)/25))/(LN(2)/25)*Calculateur!BL132*Calculateur!BN132*VLOOKUP('Données projet'!$B$11,Paramètres!$A$1:$I$89,3,0)*0.475*44/12</f>
        <v>21.11894071342078</v>
      </c>
      <c r="BR132" s="21">
        <f>EXP(-LN(2)/2)*BR131+(1-EXP(-LN(2)/2))/(LN(2)/2)*BL132*BO132*VLOOKUP('Données projet'!$B$11,Paramètres!$A$1:$I$89,3,0)*0.475*44/12</f>
        <v>0.91084246740163377</v>
      </c>
      <c r="BS132" s="22">
        <f t="shared" ref="BS132:BS153" si="117">SUM(BP132:BR132)</f>
        <v>109.14133695561236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68.378518846325591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68.378518846325591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68.378518846325591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68.378518846325591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68.378518846325591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68.378518846325591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68.378518846325591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3.1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11.366666666666667</v>
      </c>
      <c r="H133" s="67">
        <f t="shared" si="110"/>
        <v>211.20000000000002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68.406647919253061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369.06880001017635</v>
      </c>
      <c r="T133" s="59">
        <f t="shared" ref="T133:T196" si="142">$T$3</f>
        <v>331.91233237772281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61.205618682732378</v>
      </c>
      <c r="AA133" s="21">
        <f>EXP(-LN(2)/25)*AA132+(1-EXP(-LN(2)/25))/(LN(2)/25)*Calculateur!V133*Calculateur!X133*VLOOKUP('Données projet'!$B$9,Paramètres!$A$1:$I$89,3,0)*0.475*44/12</f>
        <v>9.4883264717791</v>
      </c>
      <c r="AB133" s="21">
        <f>EXP(-LN(2)/2)*AB132+(1-EXP(-LN(2)/2))/(LN(2)/2)*V133*Y133*VLOOKUP('Données projet'!$B$9,Paramètres!$A$1:$I$89,3,0)*0.475*44/12</f>
        <v>3.4786861923664928E-7</v>
      </c>
      <c r="AC133" s="22">
        <f t="shared" si="111"/>
        <v>70.693945502380103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68.406647919253061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-5.6843418860808015E-14</v>
      </c>
      <c r="AJ133" s="13">
        <f>AI133*VLOOKUP('Données projet'!$B$10,Paramètres!$A$1:$I$89,3,0)*VLOOKUP('Données projet'!$B$10,Paramètres!$A$1:$I$89,5,0)</f>
        <v>-3.3992364478763198E-14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270.29397440778314</v>
      </c>
      <c r="AO133" s="59">
        <f t="shared" ref="AO133:AO196" si="144">$AO$3</f>
        <v>281.95928682679596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32.430506584799303</v>
      </c>
      <c r="AV133" s="21">
        <f>EXP(-LN(2)/25)*AV132+(1-EXP(-LN(2)/25))/(LN(2)/25)*Calculateur!AQ133*Calculateur!AS133*VLOOKUP('Données projet'!$B$10,Paramètres!$A$1:$I$89,3,0)*0.475*44/12</f>
        <v>5.1889839226041596</v>
      </c>
      <c r="AW133" s="21">
        <f>EXP(-LN(2)/2)*AW132+(1-EXP(-LN(2)/2))/(LN(2)/2)*AQ133*AT133*VLOOKUP('Données projet'!$B$10,Paramètres!$A$1:$I$89,3,0)*0.475*44/12</f>
        <v>9.3024132336587523E-10</v>
      </c>
      <c r="AX133" s="21">
        <f t="shared" si="114"/>
        <v>37.619490508333705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68.406647919253061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4.9084615384615375</v>
      </c>
      <c r="BD133" s="12">
        <f>IF('Données projet'!$A$88&gt;35,BD132+BC133-BL132,IF(A133&lt;'Données projet'!$A$88,$BA$205^A133,IF(A133='Données projet'!$A$88,'Données projet'!$B$88,BD132+BC133-BL132)))</f>
        <v>254.70692307692417</v>
      </c>
      <c r="BE133" s="13">
        <f>BD133*VLOOKUP('Données projet'!$B$11,Paramètres!$A$1:$I$89,3,0)*VLOOKUP('Données projet'!$B$11,Paramètres!$A$1:$I$89,5,0)</f>
        <v>119.20284000000051</v>
      </c>
      <c r="BF133" s="13">
        <f t="shared" ref="BF133:BF153" si="145">EXP(-1.0587+0.8836*LN(BE133)+0.284)</f>
        <v>31.489002754044087</v>
      </c>
      <c r="BG133" s="20">
        <f t="shared" si="115"/>
        <v>262.4549594632943</v>
      </c>
      <c r="BH133" s="59">
        <f t="shared" si="116"/>
        <v>549.94600183388889</v>
      </c>
      <c r="BI133" s="59">
        <f ca="1">AVERAGE(OFFSET($BH$3,0,0,'Données projet'!$E$11+1,1))-AVERAGE(OFFSET($H$3,0,0,'Données projet'!$E$11+1,1))</f>
        <v>308.70979446846718</v>
      </c>
      <c r="BJ133" s="59">
        <f t="shared" ref="BJ133:BJ196" si="146">$BJ$3</f>
        <v>202.33469175293314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85.403349338067684</v>
      </c>
      <c r="BQ133" s="21">
        <f>EXP(-LN(2)/25)*BQ132+(1-EXP(-LN(2)/25))/(LN(2)/25)*Calculateur!BL133*Calculateur!BN133*VLOOKUP('Données projet'!$B$11,Paramètres!$A$1:$I$89,3,0)*0.475*44/12</f>
        <v>20.541442169015465</v>
      </c>
      <c r="BR133" s="21">
        <f>EXP(-LN(2)/2)*BR132+(1-EXP(-LN(2)/2))/(LN(2)/2)*BL133*BO133*VLOOKUP('Données projet'!$B$11,Paramètres!$A$1:$I$89,3,0)*0.475*44/12</f>
        <v>0.64406288529238209</v>
      </c>
      <c r="BS133" s="22">
        <f t="shared" si="117"/>
        <v>106.58885439237554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68.406647919253061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68.406647919253061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68.406647919253061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68.406647919253061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68.406647919253061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68.406647919253061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68.406647919253061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3.1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11.366666666666667</v>
      </c>
      <c r="H134" s="67">
        <f t="shared" si="110"/>
        <v>211.20000000000002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68.434289015652439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369.06880001017635</v>
      </c>
      <c r="T134" s="59">
        <f t="shared" si="142"/>
        <v>331.91233237772281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60.005413832105191</v>
      </c>
      <c r="AA134" s="21">
        <f>EXP(-LN(2)/25)*AA133+(1-EXP(-LN(2)/25))/(LN(2)/25)*Calculateur!V134*Calculateur!X134*VLOOKUP('Données projet'!$B$9,Paramètres!$A$1:$I$89,3,0)*0.475*44/12</f>
        <v>9.2288676854388978</v>
      </c>
      <c r="AB134" s="21">
        <f>EXP(-LN(2)/2)*AB133+(1-EXP(-LN(2)/2))/(LN(2)/2)*V134*Y134*VLOOKUP('Données projet'!$B$9,Paramètres!$A$1:$I$89,3,0)*0.475*44/12</f>
        <v>2.4598025962423578E-7</v>
      </c>
      <c r="AC134" s="22">
        <f t="shared" si="111"/>
        <v>69.234281763524351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68.434289015652439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-5.6843418860808015E-14</v>
      </c>
      <c r="AJ134" s="13">
        <f>AI134*VLOOKUP('Données projet'!$B$10,Paramètres!$A$1:$I$89,3,0)*VLOOKUP('Données projet'!$B$10,Paramètres!$A$1:$I$89,5,0)</f>
        <v>-3.3992364478763198E-14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270.29397440778314</v>
      </c>
      <c r="AO134" s="59">
        <f t="shared" si="144"/>
        <v>281.95928682679596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31.794564131327228</v>
      </c>
      <c r="AV134" s="21">
        <f>EXP(-LN(2)/25)*AV133+(1-EXP(-LN(2)/25))/(LN(2)/25)*Calculateur!AQ134*Calculateur!AS134*VLOOKUP('Données projet'!$B$10,Paramètres!$A$1:$I$89,3,0)*0.475*44/12</f>
        <v>5.0470908843637439</v>
      </c>
      <c r="AW134" s="21">
        <f>EXP(-LN(2)/2)*AW133+(1-EXP(-LN(2)/2))/(LN(2)/2)*AQ134*AT134*VLOOKUP('Données projet'!$B$10,Paramètres!$A$1:$I$89,3,0)*0.475*44/12</f>
        <v>6.577799478919584E-10</v>
      </c>
      <c r="AX134" s="21">
        <f t="shared" si="114"/>
        <v>36.841655016348753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68.434289015652439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259.61538461538458</v>
      </c>
      <c r="BB134" s="12">
        <f>VLOOKUP(A134,'Données projet'!$A$87:$I$107,9,0)</f>
        <v>4.9084615384615375</v>
      </c>
      <c r="BC134" s="12">
        <f t="array" ref="BC134">INDEX(BB:BB,MIN(IF(ISNUMBER(BB134:BB330),ROW(BB134:BB330),"")))</f>
        <v>4.9084615384615375</v>
      </c>
      <c r="BD134" s="12">
        <f>IF('Données projet'!$A$88&gt;35,BD133+BC134-BL133,IF(A134&lt;'Données projet'!$A$88,$BA$205^A134,IF(A134='Données projet'!$A$88,'Données projet'!$B$88,BD133+BC134-BL133)))</f>
        <v>259.61538461538572</v>
      </c>
      <c r="BE134" s="13">
        <f>BD134*VLOOKUP('Données projet'!$B$11,Paramètres!$A$1:$I$89,3,0)*VLOOKUP('Données projet'!$B$11,Paramètres!$A$1:$I$89,5,0)</f>
        <v>121.50000000000051</v>
      </c>
      <c r="BF134" s="13">
        <f t="shared" si="145"/>
        <v>32.024596321339168</v>
      </c>
      <c r="BG134" s="20">
        <f t="shared" si="115"/>
        <v>267.3886719263333</v>
      </c>
      <c r="BH134" s="59">
        <f t="shared" si="116"/>
        <v>554.98106498372556</v>
      </c>
      <c r="BI134" s="59">
        <f ca="1">AVERAGE(OFFSET($BH$3,0,0,'Données projet'!$E$11+1,1))-AVERAGE(OFFSET($H$3,0,0,'Données projet'!$E$11+1,1))</f>
        <v>308.70979446846718</v>
      </c>
      <c r="BJ134" s="59">
        <f t="shared" si="146"/>
        <v>202.33469175293314</v>
      </c>
      <c r="BK134" s="15">
        <f>IF(ISNA(VLOOKUP(A134,'Données projet'!$A$87:$I$107,3,0)),0,VLOOKUP(A134,'Données projet'!$A$87:$I$107,3,0))</f>
        <v>8</v>
      </c>
      <c r="BL134" s="15">
        <f>IF(ISNA(VLOOKUP(A134,'Données projet'!$A$87:$I$107,4,0)),0,VLOOKUP(A134,'Données projet'!$A$87:$I$107,4,0))</f>
        <v>259.61538461538458</v>
      </c>
      <c r="BM134" s="16">
        <f>IF(ISNA(VLOOKUP(A134,'Données projet'!$A$87:$I$107,5,0)),0%,VLOOKUP(A134,'Données projet'!$A$87:$I$107,5,0)*VLOOKUP('Données projet'!$B$11,Paramètres!$A$1:$I$89,7,0))</f>
        <v>0.38500000000000001</v>
      </c>
      <c r="BN134" s="16">
        <f>IF(ISNA(VLOOKUP(A134,'Données projet'!$A$87:$I$107,6,0)),0%,VLOOKUP(A134,'Données projet'!$A$87:$I$107,6,0)*VLOOKUP('Données projet'!$B$11,Paramètres!$A$1:$I$89,7,0))</f>
        <v>9.240000000000001E-2</v>
      </c>
      <c r="BO134" s="16">
        <f>IF(ISNA(VLOOKUP(A134,'Données projet'!$A$87:$I$107,7,0)),0%,VLOOKUP(A134,'Données projet'!$A$87:$I$107,7,0))</f>
        <v>0.13200000000000001</v>
      </c>
      <c r="BP134" s="21">
        <f>EXP(-LN(2)/35)*BP133+(1-EXP(-LN(2)/35))/(LN(2)/35)*BL134*BM134*VLOOKUP('Données projet'!$B$11,Paramètres!$A$1:$I$89,3,0)*0.475*44/12</f>
        <v>145.78201056277081</v>
      </c>
      <c r="BQ134" s="21">
        <f>EXP(-LN(2)/25)*BQ133+(1-EXP(-LN(2)/25))/(LN(2)/25)*Calculateur!BL134*Calculateur!BN134*VLOOKUP('Données projet'!$B$11,Paramètres!$A$1:$I$89,3,0)*0.475*44/12</f>
        <v>34.813905206383581</v>
      </c>
      <c r="BR134" s="21">
        <f>EXP(-LN(2)/2)*BR133+(1-EXP(-LN(2)/2))/(LN(2)/2)*BL134*BO134*VLOOKUP('Données projet'!$B$11,Paramètres!$A$1:$I$89,3,0)*0.475*44/12</f>
        <v>18.614162821430273</v>
      </c>
      <c r="BS134" s="22">
        <f t="shared" si="117"/>
        <v>199.21007859058466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68.434289015652439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68.434289015652439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68.434289015652439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68.434289015652439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68.434289015652439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68.434289015652439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68.434289015652439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3.1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11.366666666666667</v>
      </c>
      <c r="H135" s="67">
        <f t="shared" si="110"/>
        <v>211.20000000000002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68.461450600825501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369.06880001017635</v>
      </c>
      <c r="T135" s="59">
        <f t="shared" si="142"/>
        <v>331.91233237772281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58.828744266546124</v>
      </c>
      <c r="AA135" s="21">
        <f>EXP(-LN(2)/25)*AA134+(1-EXP(-LN(2)/25))/(LN(2)/25)*Calculateur!V135*Calculateur!X135*VLOOKUP('Données projet'!$B$9,Paramètres!$A$1:$I$89,3,0)*0.475*44/12</f>
        <v>8.9765038132555119</v>
      </c>
      <c r="AB135" s="21">
        <f>EXP(-LN(2)/2)*AB134+(1-EXP(-LN(2)/2))/(LN(2)/2)*V135*Y135*VLOOKUP('Données projet'!$B$9,Paramètres!$A$1:$I$89,3,0)*0.475*44/12</f>
        <v>1.7393430961832464E-7</v>
      </c>
      <c r="AC135" s="22">
        <f t="shared" si="111"/>
        <v>67.80524825373594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68.461450600825501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-5.6843418860808015E-14</v>
      </c>
      <c r="AJ135" s="13">
        <f>AI135*VLOOKUP('Données projet'!$B$10,Paramètres!$A$1:$I$89,3,0)*VLOOKUP('Données projet'!$B$10,Paramètres!$A$1:$I$89,5,0)</f>
        <v>-3.3992364478763198E-14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270.29397440778314</v>
      </c>
      <c r="AO135" s="59">
        <f t="shared" si="144"/>
        <v>281.95928682679596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31.171092121481145</v>
      </c>
      <c r="AV135" s="21">
        <f>EXP(-LN(2)/25)*AV134+(1-EXP(-LN(2)/25))/(LN(2)/25)*Calculateur!AQ135*Calculateur!AS135*VLOOKUP('Données projet'!$B$10,Paramètres!$A$1:$I$89,3,0)*0.475*44/12</f>
        <v>4.9090779187158429</v>
      </c>
      <c r="AW135" s="21">
        <f>EXP(-LN(2)/2)*AW134+(1-EXP(-LN(2)/2))/(LN(2)/2)*AQ135*AT135*VLOOKUP('Données projet'!$B$10,Paramètres!$A$1:$I$89,3,0)*0.475*44/12</f>
        <v>4.6512066168293772E-10</v>
      </c>
      <c r="AX135" s="21">
        <f t="shared" si="114"/>
        <v>36.080170040662111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68.461450600825501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1.1368683772161603E-12</v>
      </c>
      <c r="BE135" s="13">
        <f>BD135*VLOOKUP('Données projet'!$B$11,Paramètres!$A$1:$I$89,3,0)*VLOOKUP('Données projet'!$B$11,Paramètres!$A$1:$I$89,5,0)</f>
        <v>5.3205440053716299E-13</v>
      </c>
      <c r="BF135" s="13">
        <f t="shared" si="145"/>
        <v>6.579711042921201E-12</v>
      </c>
      <c r="BG135" s="20">
        <f t="shared" si="115"/>
        <v>1.2386324814023317E-11</v>
      </c>
      <c r="BH135" s="59">
        <f t="shared" si="116"/>
        <v>287.69198553637256</v>
      </c>
      <c r="BI135" s="59">
        <f ca="1">AVERAGE(OFFSET($BH$3,0,0,'Données projet'!$E$11+1,1))-AVERAGE(OFFSET($H$3,0,0,'Données projet'!$E$11+1,1))</f>
        <v>308.70979446846718</v>
      </c>
      <c r="BJ135" s="59">
        <f t="shared" si="146"/>
        <v>202.33469175293314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142.92331425388136</v>
      </c>
      <c r="BQ135" s="21">
        <f>EXP(-LN(2)/25)*BQ134+(1-EXP(-LN(2)/25))/(LN(2)/25)*Calculateur!BL135*Calculateur!BN135*VLOOKUP('Données projet'!$B$11,Paramètres!$A$1:$I$89,3,0)*0.475*44/12</f>
        <v>33.861917137731318</v>
      </c>
      <c r="BR135" s="21">
        <f>EXP(-LN(2)/2)*BR134+(1-EXP(-LN(2)/2))/(LN(2)/2)*BL135*BO135*VLOOKUP('Données projet'!$B$11,Paramètres!$A$1:$I$89,3,0)*0.475*44/12</f>
        <v>13.162200757143866</v>
      </c>
      <c r="BS135" s="22">
        <f t="shared" si="117"/>
        <v>189.94743214875655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68.461450600825501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68.461450600825501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68.461450600825501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68.461450600825501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68.461450600825501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68.461450600825501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68.461450600825501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3.1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11.366666666666667</v>
      </c>
      <c r="H136" s="67">
        <f t="shared" si="110"/>
        <v>211.20000000000002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68.488140993220014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369.06880001017635</v>
      </c>
      <c r="T136" s="59">
        <f t="shared" si="142"/>
        <v>331.91233237772281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57.675148473470102</v>
      </c>
      <c r="AA136" s="21">
        <f>EXP(-LN(2)/25)*AA135+(1-EXP(-LN(2)/25))/(LN(2)/25)*Calculateur!V136*Calculateur!X136*VLOOKUP('Données projet'!$B$9,Paramètres!$A$1:$I$89,3,0)*0.475*44/12</f>
        <v>8.7310408444282199</v>
      </c>
      <c r="AB136" s="21">
        <f>EXP(-LN(2)/2)*AB135+(1-EXP(-LN(2)/2))/(LN(2)/2)*V136*Y136*VLOOKUP('Données projet'!$B$9,Paramètres!$A$1:$I$89,3,0)*0.475*44/12</f>
        <v>1.2299012981211789E-7</v>
      </c>
      <c r="AC136" s="22">
        <f t="shared" si="111"/>
        <v>66.406189440888454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68.488140993220014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-5.6843418860808015E-14</v>
      </c>
      <c r="AJ136" s="13">
        <f>AI136*VLOOKUP('Données projet'!$B$10,Paramètres!$A$1:$I$89,3,0)*VLOOKUP('Données projet'!$B$10,Paramètres!$A$1:$I$89,5,0)</f>
        <v>-3.3992364478763198E-14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270.29397440778314</v>
      </c>
      <c r="AO136" s="59">
        <f t="shared" si="144"/>
        <v>281.95928682679596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30.559846017467766</v>
      </c>
      <c r="AV136" s="21">
        <f>EXP(-LN(2)/25)*AV135+(1-EXP(-LN(2)/25))/(LN(2)/25)*Calculateur!AQ136*Calculateur!AS136*VLOOKUP('Données projet'!$B$10,Paramètres!$A$1:$I$89,3,0)*0.475*44/12</f>
        <v>4.7748389248713705</v>
      </c>
      <c r="AW136" s="21">
        <f>EXP(-LN(2)/2)*AW135+(1-EXP(-LN(2)/2))/(LN(2)/2)*AQ136*AT136*VLOOKUP('Données projet'!$B$10,Paramètres!$A$1:$I$89,3,0)*0.475*44/12</f>
        <v>3.2888997394597925E-10</v>
      </c>
      <c r="AX136" s="21">
        <f t="shared" si="114"/>
        <v>35.334684942668027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68.488140993220014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1.1368683772161603E-12</v>
      </c>
      <c r="BE136" s="13">
        <f>BD136*VLOOKUP('Données projet'!$B$11,Paramètres!$A$1:$I$89,3,0)*VLOOKUP('Données projet'!$B$11,Paramètres!$A$1:$I$89,5,0)</f>
        <v>5.3205440053716299E-13</v>
      </c>
      <c r="BF136" s="13">
        <f t="shared" si="145"/>
        <v>6.579711042921201E-12</v>
      </c>
      <c r="BG136" s="20">
        <f t="shared" si="115"/>
        <v>1.2386324814023317E-11</v>
      </c>
      <c r="BH136" s="59">
        <f t="shared" si="116"/>
        <v>287.78985030848577</v>
      </c>
      <c r="BI136" s="59">
        <f ca="1">AVERAGE(OFFSET($BH$3,0,0,'Données projet'!$E$11+1,1))-AVERAGE(OFFSET($H$3,0,0,'Données projet'!$E$11+1,1))</f>
        <v>308.70979446846718</v>
      </c>
      <c r="BJ136" s="59">
        <f t="shared" si="146"/>
        <v>202.33469175293314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140.12067523597665</v>
      </c>
      <c r="BQ136" s="21">
        <f>EXP(-LN(2)/25)*BQ135+(1-EXP(-LN(2)/25))/(LN(2)/25)*Calculateur!BL136*Calculateur!BN136*VLOOKUP('Données projet'!$B$11,Paramètres!$A$1:$I$89,3,0)*0.475*44/12</f>
        <v>32.935961232879222</v>
      </c>
      <c r="BR136" s="21">
        <f>EXP(-LN(2)/2)*BR135+(1-EXP(-LN(2)/2))/(LN(2)/2)*BL136*BO136*VLOOKUP('Données projet'!$B$11,Paramètres!$A$1:$I$89,3,0)*0.475*44/12</f>
        <v>9.3070814107151385</v>
      </c>
      <c r="BS136" s="22">
        <f t="shared" si="117"/>
        <v>182.363717879571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68.488140993220014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68.488140993220014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68.488140993220014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68.488140993220014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68.488140993220014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68.488140993220014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68.488140993220014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3.1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11.366666666666667</v>
      </c>
      <c r="H137" s="67">
        <f t="shared" si="110"/>
        <v>211.20000000000002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68.514368366977266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369.06880001017635</v>
      </c>
      <c r="T137" s="59">
        <f t="shared" si="142"/>
        <v>331.91233237772281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56.544173990272348</v>
      </c>
      <c r="AA137" s="21">
        <f>EXP(-LN(2)/25)*AA136+(1-EXP(-LN(2)/25))/(LN(2)/25)*Calculateur!V137*Calculateur!X137*VLOOKUP('Données projet'!$B$9,Paramètres!$A$1:$I$89,3,0)*0.475*44/12</f>
        <v>8.4922900733918478</v>
      </c>
      <c r="AB137" s="21">
        <f>EXP(-LN(2)/2)*AB136+(1-EXP(-LN(2)/2))/(LN(2)/2)*V137*Y137*VLOOKUP('Données projet'!$B$9,Paramètres!$A$1:$I$89,3,0)*0.475*44/12</f>
        <v>8.6967154809162319E-8</v>
      </c>
      <c r="AC137" s="22">
        <f t="shared" si="111"/>
        <v>65.036464150631346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68.514368366977266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-5.6843418860808015E-14</v>
      </c>
      <c r="AJ137" s="13">
        <f>AI137*VLOOKUP('Données projet'!$B$10,Paramètres!$A$1:$I$89,3,0)*VLOOKUP('Données projet'!$B$10,Paramètres!$A$1:$I$89,5,0)</f>
        <v>-3.3992364478763198E-14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270.29397440778314</v>
      </c>
      <c r="AO137" s="59">
        <f t="shared" si="144"/>
        <v>281.95928682679596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29.960586076730781</v>
      </c>
      <c r="AV137" s="21">
        <f>EXP(-LN(2)/25)*AV136+(1-EXP(-LN(2)/25))/(LN(2)/25)*Calculateur!AQ137*Calculateur!AS137*VLOOKUP('Données projet'!$B$10,Paramètres!$A$1:$I$89,3,0)*0.475*44/12</f>
        <v>4.6442707033728965</v>
      </c>
      <c r="AW137" s="21">
        <f>EXP(-LN(2)/2)*AW136+(1-EXP(-LN(2)/2))/(LN(2)/2)*AQ137*AT137*VLOOKUP('Données projet'!$B$10,Paramètres!$A$1:$I$89,3,0)*0.475*44/12</f>
        <v>2.3256033084146888E-10</v>
      </c>
      <c r="AX137" s="21">
        <f t="shared" si="114"/>
        <v>34.604856780336235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68.514368366977266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1.1368683772161603E-12</v>
      </c>
      <c r="BE137" s="13">
        <f>BD137*VLOOKUP('Données projet'!$B$11,Paramètres!$A$1:$I$89,3,0)*VLOOKUP('Données projet'!$B$11,Paramètres!$A$1:$I$89,5,0)</f>
        <v>5.3205440053716299E-13</v>
      </c>
      <c r="BF137" s="13">
        <f t="shared" si="145"/>
        <v>6.579711042921201E-12</v>
      </c>
      <c r="BG137" s="20">
        <f t="shared" si="115"/>
        <v>1.2386324814023317E-11</v>
      </c>
      <c r="BH137" s="59">
        <f t="shared" si="116"/>
        <v>287.88601734559569</v>
      </c>
      <c r="BI137" s="59">
        <f ca="1">AVERAGE(OFFSET($BH$3,0,0,'Données projet'!$E$11+1,1))-AVERAGE(OFFSET($H$3,0,0,'Données projet'!$E$11+1,1))</f>
        <v>308.70979446846718</v>
      </c>
      <c r="BJ137" s="59">
        <f t="shared" si="146"/>
        <v>202.33469175293314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137.37299425977204</v>
      </c>
      <c r="BQ137" s="21">
        <f>EXP(-LN(2)/25)*BQ136+(1-EXP(-LN(2)/25))/(LN(2)/25)*Calculateur!BL137*Calculateur!BN137*VLOOKUP('Données projet'!$B$11,Paramètres!$A$1:$I$89,3,0)*0.475*44/12</f>
        <v>32.035325640939213</v>
      </c>
      <c r="BR137" s="21">
        <f>EXP(-LN(2)/2)*BR136+(1-EXP(-LN(2)/2))/(LN(2)/2)*BL137*BO137*VLOOKUP('Données projet'!$B$11,Paramètres!$A$1:$I$89,3,0)*0.475*44/12</f>
        <v>6.581100378571934</v>
      </c>
      <c r="BS137" s="22">
        <f t="shared" si="117"/>
        <v>175.98942027928319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68.514368366977266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68.514368366977266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68.514368366977266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68.514368366977266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68.514368366977266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68.514368366977266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68.514368366977266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3.1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11.366666666666667</v>
      </c>
      <c r="H138" s="67">
        <f t="shared" si="110"/>
        <v>211.20000000000002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68.54014075443547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369.06880001017635</v>
      </c>
      <c r="T138" s="59">
        <f t="shared" si="142"/>
        <v>331.91233237772281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55.435377226863778</v>
      </c>
      <c r="AA138" s="21">
        <f>EXP(-LN(2)/25)*AA137+(1-EXP(-LN(2)/25))/(LN(2)/25)*Calculateur!V138*Calculateur!X138*VLOOKUP('Données projet'!$B$9,Paramètres!$A$1:$I$89,3,0)*0.475*44/12</f>
        <v>8.260067954744823</v>
      </c>
      <c r="AB138" s="21">
        <f>EXP(-LN(2)/2)*AB137+(1-EXP(-LN(2)/2))/(LN(2)/2)*V138*Y138*VLOOKUP('Données projet'!$B$9,Paramètres!$A$1:$I$89,3,0)*0.475*44/12</f>
        <v>6.1495064906058944E-8</v>
      </c>
      <c r="AC138" s="22">
        <f t="shared" si="111"/>
        <v>63.69544524310367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68.54014075443547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-5.6843418860808015E-14</v>
      </c>
      <c r="AJ138" s="13">
        <f>AI138*VLOOKUP('Données projet'!$B$10,Paramètres!$A$1:$I$89,3,0)*VLOOKUP('Données projet'!$B$10,Paramètres!$A$1:$I$89,5,0)</f>
        <v>-3.3992364478763198E-14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270.29397440778314</v>
      </c>
      <c r="AO138" s="59">
        <f t="shared" si="144"/>
        <v>281.95928682679596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29.373077257919174</v>
      </c>
      <c r="AV138" s="21">
        <f>EXP(-LN(2)/25)*AV137+(1-EXP(-LN(2)/25))/(LN(2)/25)*Calculateur!AQ138*Calculateur!AS138*VLOOKUP('Données projet'!$B$10,Paramètres!$A$1:$I$89,3,0)*0.475*44/12</f>
        <v>4.5172728767575832</v>
      </c>
      <c r="AW138" s="21">
        <f>EXP(-LN(2)/2)*AW137+(1-EXP(-LN(2)/2))/(LN(2)/2)*AQ138*AT138*VLOOKUP('Données projet'!$B$10,Paramètres!$A$1:$I$89,3,0)*0.475*44/12</f>
        <v>1.6444498697298965E-10</v>
      </c>
      <c r="AX138" s="21">
        <f t="shared" si="114"/>
        <v>33.890350134841206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68.54014075443547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1.1368683772161603E-12</v>
      </c>
      <c r="BE138" s="13">
        <f>BD138*VLOOKUP('Données projet'!$B$11,Paramètres!$A$1:$I$89,3,0)*VLOOKUP('Données projet'!$B$11,Paramètres!$A$1:$I$89,5,0)</f>
        <v>5.3205440053716299E-13</v>
      </c>
      <c r="BF138" s="13">
        <f t="shared" si="145"/>
        <v>6.579711042921201E-12</v>
      </c>
      <c r="BG138" s="20">
        <f t="shared" si="115"/>
        <v>1.2386324814023317E-11</v>
      </c>
      <c r="BH138" s="59">
        <f t="shared" si="116"/>
        <v>287.98051609960913</v>
      </c>
      <c r="BI138" s="59">
        <f ca="1">AVERAGE(OFFSET($BH$3,0,0,'Données projet'!$E$11+1,1))-AVERAGE(OFFSET($H$3,0,0,'Données projet'!$E$11+1,1))</f>
        <v>308.70979446846718</v>
      </c>
      <c r="BJ138" s="59">
        <f t="shared" si="146"/>
        <v>202.33469175293314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134.67919363159092</v>
      </c>
      <c r="BQ138" s="21">
        <f>EXP(-LN(2)/25)*BQ137+(1-EXP(-LN(2)/25))/(LN(2)/25)*Calculateur!BL138*Calculateur!BN138*VLOOKUP('Données projet'!$B$11,Paramètres!$A$1:$I$89,3,0)*0.475*44/12</f>
        <v>31.159317976623171</v>
      </c>
      <c r="BR138" s="21">
        <f>EXP(-LN(2)/2)*BR137+(1-EXP(-LN(2)/2))/(LN(2)/2)*BL138*BO138*VLOOKUP('Données projet'!$B$11,Paramètres!$A$1:$I$89,3,0)*0.475*44/12</f>
        <v>4.6535407053575701</v>
      </c>
      <c r="BS138" s="22">
        <f t="shared" si="117"/>
        <v>170.49205231357166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68.54014075443547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68.54014075443547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68.54014075443547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68.54014075443547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68.54014075443547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68.54014075443547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68.54014075443547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3.1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11.366666666666667</v>
      </c>
      <c r="H139" s="67">
        <f t="shared" si="110"/>
        <v>211.20000000000002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68.565466048589684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369.06880001017635</v>
      </c>
      <c r="T139" s="59">
        <f t="shared" si="142"/>
        <v>331.91233237772281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54.348323291686405</v>
      </c>
      <c r="AA139" s="21">
        <f>EXP(-LN(2)/25)*AA138+(1-EXP(-LN(2)/25))/(LN(2)/25)*Calculateur!V139*Calculateur!X139*VLOOKUP('Données projet'!$B$9,Paramètres!$A$1:$I$89,3,0)*0.475*44/12</f>
        <v>8.0341959621442314</v>
      </c>
      <c r="AB139" s="21">
        <f>EXP(-LN(2)/2)*AB138+(1-EXP(-LN(2)/2))/(LN(2)/2)*V139*Y139*VLOOKUP('Données projet'!$B$9,Paramètres!$A$1:$I$89,3,0)*0.475*44/12</f>
        <v>4.348357740458116E-8</v>
      </c>
      <c r="AC139" s="22">
        <f t="shared" si="111"/>
        <v>62.382519297314211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68.565466048589684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-5.6843418860808015E-14</v>
      </c>
      <c r="AJ139" s="13">
        <f>AI139*VLOOKUP('Données projet'!$B$10,Paramètres!$A$1:$I$89,3,0)*VLOOKUP('Données projet'!$B$10,Paramètres!$A$1:$I$89,5,0)</f>
        <v>-3.3992364478763198E-14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270.29397440778314</v>
      </c>
      <c r="AO139" s="59">
        <f t="shared" si="144"/>
        <v>281.95928682679596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28.797089128699469</v>
      </c>
      <c r="AV139" s="21">
        <f>EXP(-LN(2)/25)*AV138+(1-EXP(-LN(2)/25))/(LN(2)/25)*Calculateur!AQ139*Calculateur!AS139*VLOOKUP('Données projet'!$B$10,Paramètres!$A$1:$I$89,3,0)*0.475*44/12</f>
        <v>4.3937478123895906</v>
      </c>
      <c r="AW139" s="21">
        <f>EXP(-LN(2)/2)*AW138+(1-EXP(-LN(2)/2))/(LN(2)/2)*AQ139*AT139*VLOOKUP('Données projet'!$B$10,Paramètres!$A$1:$I$89,3,0)*0.475*44/12</f>
        <v>1.1628016542073445E-10</v>
      </c>
      <c r="AX139" s="21">
        <f t="shared" si="114"/>
        <v>33.19083694120534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68.565466048589684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1.1368683772161603E-12</v>
      </c>
      <c r="BE139" s="13">
        <f>BD139*VLOOKUP('Données projet'!$B$11,Paramètres!$A$1:$I$89,3,0)*VLOOKUP('Données projet'!$B$11,Paramètres!$A$1:$I$89,5,0)</f>
        <v>5.3205440053716299E-13</v>
      </c>
      <c r="BF139" s="13">
        <f t="shared" si="145"/>
        <v>6.579711042921201E-12</v>
      </c>
      <c r="BG139" s="20">
        <f t="shared" si="115"/>
        <v>1.2386324814023317E-11</v>
      </c>
      <c r="BH139" s="59">
        <f t="shared" si="116"/>
        <v>288.07337551150789</v>
      </c>
      <c r="BI139" s="59">
        <f ca="1">AVERAGE(OFFSET($BH$3,0,0,'Données projet'!$E$11+1,1))-AVERAGE(OFFSET($H$3,0,0,'Données projet'!$E$11+1,1))</f>
        <v>308.70979446846718</v>
      </c>
      <c r="BJ139" s="59">
        <f t="shared" si="146"/>
        <v>202.33469175293314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132.03821679067227</v>
      </c>
      <c r="BQ139" s="21">
        <f>EXP(-LN(2)/25)*BQ138+(1-EXP(-LN(2)/25))/(LN(2)/25)*Calculateur!BL139*Calculateur!BN139*VLOOKUP('Données projet'!$B$11,Paramètres!$A$1:$I$89,3,0)*0.475*44/12</f>
        <v>30.307264787955095</v>
      </c>
      <c r="BR139" s="21">
        <f>EXP(-LN(2)/2)*BR138+(1-EXP(-LN(2)/2))/(LN(2)/2)*BL139*BO139*VLOOKUP('Données projet'!$B$11,Paramètres!$A$1:$I$89,3,0)*0.475*44/12</f>
        <v>3.2905501892859674</v>
      </c>
      <c r="BS139" s="22">
        <f t="shared" si="117"/>
        <v>165.63603176791332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68.565466048589684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68.565466048589684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68.565466048589684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68.565466048589684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68.565466048589684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68.565466048589684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68.565466048589684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3.1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11.366666666666667</v>
      </c>
      <c r="H140" s="67">
        <f t="shared" si="110"/>
        <v>211.20000000000002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68.590352005509203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369.06880001017635</v>
      </c>
      <c r="T140" s="59">
        <f t="shared" si="142"/>
        <v>331.91233237772281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53.28258582114043</v>
      </c>
      <c r="AA140" s="21">
        <f>EXP(-LN(2)/25)*AA139+(1-EXP(-LN(2)/25))/(LN(2)/25)*Calculateur!V140*Calculateur!X140*VLOOKUP('Données projet'!$B$9,Paramètres!$A$1:$I$89,3,0)*0.475*44/12</f>
        <v>7.8145004510593941</v>
      </c>
      <c r="AB140" s="21">
        <f>EXP(-LN(2)/2)*AB139+(1-EXP(-LN(2)/2))/(LN(2)/2)*V140*Y140*VLOOKUP('Données projet'!$B$9,Paramètres!$A$1:$I$89,3,0)*0.475*44/12</f>
        <v>3.0747532453029472E-8</v>
      </c>
      <c r="AC140" s="22">
        <f t="shared" si="111"/>
        <v>61.097086302947353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68.590352005509203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-5.6843418860808015E-14</v>
      </c>
      <c r="AJ140" s="13">
        <f>AI140*VLOOKUP('Données projet'!$B$10,Paramètres!$A$1:$I$89,3,0)*VLOOKUP('Données projet'!$B$10,Paramètres!$A$1:$I$89,5,0)</f>
        <v>-3.3992364478763198E-14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270.29397440778314</v>
      </c>
      <c r="AO140" s="59">
        <f t="shared" si="144"/>
        <v>281.95928682679596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28.232395775375693</v>
      </c>
      <c r="AV140" s="21">
        <f>EXP(-LN(2)/25)*AV139+(1-EXP(-LN(2)/25))/(LN(2)/25)*Calculateur!AQ140*Calculateur!AS140*VLOOKUP('Données projet'!$B$10,Paramètres!$A$1:$I$89,3,0)*0.475*44/12</f>
        <v>4.2736005474026415</v>
      </c>
      <c r="AW140" s="21">
        <f>EXP(-LN(2)/2)*AW139+(1-EXP(-LN(2)/2))/(LN(2)/2)*AQ140*AT140*VLOOKUP('Données projet'!$B$10,Paramètres!$A$1:$I$89,3,0)*0.475*44/12</f>
        <v>8.2222493486494838E-11</v>
      </c>
      <c r="AX140" s="21">
        <f t="shared" si="114"/>
        <v>32.505996322860561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68.590352005509203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1.1368683772161603E-12</v>
      </c>
      <c r="BE140" s="13">
        <f>BD140*VLOOKUP('Données projet'!$B$11,Paramètres!$A$1:$I$89,3,0)*VLOOKUP('Données projet'!$B$11,Paramètres!$A$1:$I$89,5,0)</f>
        <v>5.3205440053716299E-13</v>
      </c>
      <c r="BF140" s="13">
        <f t="shared" si="145"/>
        <v>6.579711042921201E-12</v>
      </c>
      <c r="BG140" s="20">
        <f t="shared" si="115"/>
        <v>1.2386324814023317E-11</v>
      </c>
      <c r="BH140" s="59">
        <f t="shared" si="116"/>
        <v>288.16462402021278</v>
      </c>
      <c r="BI140" s="59">
        <f ca="1">AVERAGE(OFFSET($BH$3,0,0,'Données projet'!$E$11+1,1))-AVERAGE(OFFSET($H$3,0,0,'Données projet'!$E$11+1,1))</f>
        <v>308.70979446846718</v>
      </c>
      <c r="BJ140" s="59">
        <f t="shared" si="146"/>
        <v>202.33469175293314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129.44902789476723</v>
      </c>
      <c r="BQ140" s="21">
        <f>EXP(-LN(2)/25)*BQ139+(1-EXP(-LN(2)/25))/(LN(2)/25)*Calculateur!BL140*Calculateur!BN140*VLOOKUP('Données projet'!$B$11,Paramètres!$A$1:$I$89,3,0)*0.475*44/12</f>
        <v>29.478511038538677</v>
      </c>
      <c r="BR140" s="21">
        <f>EXP(-LN(2)/2)*BR139+(1-EXP(-LN(2)/2))/(LN(2)/2)*BL140*BO140*VLOOKUP('Données projet'!$B$11,Paramètres!$A$1:$I$89,3,0)*0.475*44/12</f>
        <v>2.3267703526787851</v>
      </c>
      <c r="BS140" s="22">
        <f t="shared" si="117"/>
        <v>161.25430928598468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68.590352005509203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68.590352005509203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68.590352005509203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68.590352005509203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68.590352005509203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68.590352005509203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68.590352005509203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3.1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11.366666666666667</v>
      </c>
      <c r="H141" s="67">
        <f t="shared" si="110"/>
        <v>211.20000000000002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68.614806246712831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369.06880001017635</v>
      </c>
      <c r="T141" s="59">
        <f t="shared" si="142"/>
        <v>331.91233237772281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52.237746812356193</v>
      </c>
      <c r="AA141" s="21">
        <f>EXP(-LN(2)/25)*AA140+(1-EXP(-LN(2)/25))/(LN(2)/25)*Calculateur!V141*Calculateur!X141*VLOOKUP('Données projet'!$B$9,Paramètres!$A$1:$I$89,3,0)*0.475*44/12</f>
        <v>7.6008125252784566</v>
      </c>
      <c r="AB141" s="21">
        <f>EXP(-LN(2)/2)*AB140+(1-EXP(-LN(2)/2))/(LN(2)/2)*V141*Y141*VLOOKUP('Données projet'!$B$9,Paramètres!$A$1:$I$89,3,0)*0.475*44/12</f>
        <v>2.174178870229058E-8</v>
      </c>
      <c r="AC141" s="22">
        <f t="shared" si="111"/>
        <v>59.83855935937644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68.614806246712831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-5.6843418860808015E-14</v>
      </c>
      <c r="AJ141" s="13">
        <f>AI141*VLOOKUP('Données projet'!$B$10,Paramètres!$A$1:$I$89,3,0)*VLOOKUP('Données projet'!$B$10,Paramètres!$A$1:$I$89,5,0)</f>
        <v>-3.3992364478763198E-14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270.29397440778314</v>
      </c>
      <c r="AO141" s="59">
        <f t="shared" si="144"/>
        <v>281.95928682679596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27.67877571428166</v>
      </c>
      <c r="AV141" s="21">
        <f>EXP(-LN(2)/25)*AV140+(1-EXP(-LN(2)/25))/(LN(2)/25)*Calculateur!AQ141*Calculateur!AS141*VLOOKUP('Données projet'!$B$10,Paramètres!$A$1:$I$89,3,0)*0.475*44/12</f>
        <v>4.1567387156950311</v>
      </c>
      <c r="AW141" s="21">
        <f>EXP(-LN(2)/2)*AW140+(1-EXP(-LN(2)/2))/(LN(2)/2)*AQ141*AT141*VLOOKUP('Données projet'!$B$10,Paramètres!$A$1:$I$89,3,0)*0.475*44/12</f>
        <v>5.814008271036724E-11</v>
      </c>
      <c r="AX141" s="21">
        <f t="shared" si="114"/>
        <v>31.835514430034831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68.614806246712831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1.1368683772161603E-12</v>
      </c>
      <c r="BE141" s="13">
        <f>BD141*VLOOKUP('Données projet'!$B$11,Paramètres!$A$1:$I$89,3,0)*VLOOKUP('Données projet'!$B$11,Paramètres!$A$1:$I$89,5,0)</f>
        <v>5.3205440053716299E-13</v>
      </c>
      <c r="BF141" s="13">
        <f t="shared" si="145"/>
        <v>6.579711042921201E-12</v>
      </c>
      <c r="BG141" s="20">
        <f t="shared" si="115"/>
        <v>1.2386324814023317E-11</v>
      </c>
      <c r="BH141" s="59">
        <f t="shared" si="116"/>
        <v>288.25428957129276</v>
      </c>
      <c r="BI141" s="59">
        <f ca="1">AVERAGE(OFFSET($BH$3,0,0,'Données projet'!$E$11+1,1))-AVERAGE(OFFSET($H$3,0,0,'Données projet'!$E$11+1,1))</f>
        <v>308.70979446846718</v>
      </c>
      <c r="BJ141" s="59">
        <f t="shared" si="146"/>
        <v>202.33469175293314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126.91061141386159</v>
      </c>
      <c r="BQ141" s="21">
        <f>EXP(-LN(2)/25)*BQ140+(1-EXP(-LN(2)/25))/(LN(2)/25)*Calculateur!BL141*Calculateur!BN141*VLOOKUP('Données projet'!$B$11,Paramètres!$A$1:$I$89,3,0)*0.475*44/12</f>
        <v>28.672419603982316</v>
      </c>
      <c r="BR141" s="21">
        <f>EXP(-LN(2)/2)*BR140+(1-EXP(-LN(2)/2))/(LN(2)/2)*BL141*BO141*VLOOKUP('Données projet'!$B$11,Paramètres!$A$1:$I$89,3,0)*0.475*44/12</f>
        <v>1.6452750946429837</v>
      </c>
      <c r="BS141" s="22">
        <f t="shared" si="117"/>
        <v>157.22830611248688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68.614806246712831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68.614806246712831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68.614806246712831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68.614806246712831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68.614806246712831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68.614806246712831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68.614806246712831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3.1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11.366666666666667</v>
      </c>
      <c r="H142" s="67">
        <f t="shared" si="110"/>
        <v>211.20000000000002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68.638836261503059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369.06880001017635</v>
      </c>
      <c r="T142" s="59">
        <f t="shared" si="142"/>
        <v>331.91233237772281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51.213396459245345</v>
      </c>
      <c r="AA142" s="21">
        <f>EXP(-LN(2)/25)*AA141+(1-EXP(-LN(2)/25))/(LN(2)/25)*Calculateur!V142*Calculateur!X142*VLOOKUP('Données projet'!$B$9,Paramètres!$A$1:$I$89,3,0)*0.475*44/12</f>
        <v>7.3929679070653584</v>
      </c>
      <c r="AB142" s="21">
        <f>EXP(-LN(2)/2)*AB141+(1-EXP(-LN(2)/2))/(LN(2)/2)*V142*Y142*VLOOKUP('Données projet'!$B$9,Paramètres!$A$1:$I$89,3,0)*0.475*44/12</f>
        <v>1.5373766226514736E-8</v>
      </c>
      <c r="AC142" s="22">
        <f t="shared" si="111"/>
        <v>58.606364381684465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68.638836261503059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-5.6843418860808015E-14</v>
      </c>
      <c r="AJ142" s="13">
        <f>AI142*VLOOKUP('Données projet'!$B$10,Paramètres!$A$1:$I$89,3,0)*VLOOKUP('Données projet'!$B$10,Paramètres!$A$1:$I$89,5,0)</f>
        <v>-3.3992364478763198E-14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270.29397440778314</v>
      </c>
      <c r="AO142" s="59">
        <f t="shared" si="144"/>
        <v>281.95928682679596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27.136011804910783</v>
      </c>
      <c r="AV142" s="21">
        <f>EXP(-LN(2)/25)*AV141+(1-EXP(-LN(2)/25))/(LN(2)/25)*Calculateur!AQ142*Calculateur!AS142*VLOOKUP('Données projet'!$B$10,Paramètres!$A$1:$I$89,3,0)*0.475*44/12</f>
        <v>4.0430724769209618</v>
      </c>
      <c r="AW142" s="21">
        <f>EXP(-LN(2)/2)*AW141+(1-EXP(-LN(2)/2))/(LN(2)/2)*AQ142*AT142*VLOOKUP('Données projet'!$B$10,Paramètres!$A$1:$I$89,3,0)*0.475*44/12</f>
        <v>4.1111246743247426E-11</v>
      </c>
      <c r="AX142" s="21">
        <f t="shared" si="114"/>
        <v>31.179084281872857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68.638836261503059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1.1368683772161603E-12</v>
      </c>
      <c r="BE142" s="13">
        <f>BD142*VLOOKUP('Données projet'!$B$11,Paramètres!$A$1:$I$89,3,0)*VLOOKUP('Données projet'!$B$11,Paramètres!$A$1:$I$89,5,0)</f>
        <v>5.3205440053716299E-13</v>
      </c>
      <c r="BF142" s="13">
        <f t="shared" si="145"/>
        <v>6.579711042921201E-12</v>
      </c>
      <c r="BG142" s="20">
        <f t="shared" si="115"/>
        <v>1.2386324814023317E-11</v>
      </c>
      <c r="BH142" s="59">
        <f t="shared" si="116"/>
        <v>288.34239962552363</v>
      </c>
      <c r="BI142" s="59">
        <f ca="1">AVERAGE(OFFSET($BH$3,0,0,'Données projet'!$E$11+1,1))-AVERAGE(OFFSET($H$3,0,0,'Données projet'!$E$11+1,1))</f>
        <v>308.70979446846718</v>
      </c>
      <c r="BJ142" s="59">
        <f t="shared" si="146"/>
        <v>202.33469175293314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124.42197173186534</v>
      </c>
      <c r="BQ142" s="21">
        <f>EXP(-LN(2)/25)*BQ141+(1-EXP(-LN(2)/25))/(LN(2)/25)*Calculateur!BL142*Calculateur!BN142*VLOOKUP('Données projet'!$B$11,Paramètres!$A$1:$I$89,3,0)*0.475*44/12</f>
        <v>27.888370782094405</v>
      </c>
      <c r="BR142" s="21">
        <f>EXP(-LN(2)/2)*BR141+(1-EXP(-LN(2)/2))/(LN(2)/2)*BL142*BO142*VLOOKUP('Données projet'!$B$11,Paramètres!$A$1:$I$89,3,0)*0.475*44/12</f>
        <v>1.1633851763393925</v>
      </c>
      <c r="BS142" s="22">
        <f t="shared" si="117"/>
        <v>153.47372769029914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68.638836261503059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68.638836261503059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68.638836261503059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68.638836261503059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68.638836261503059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68.638836261503059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68.638836261503059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3.1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11.366666666666667</v>
      </c>
      <c r="H143" s="67">
        <f t="shared" si="110"/>
        <v>211.20000000000002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68.66244940925975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369.06880001017635</v>
      </c>
      <c r="T143" s="59">
        <f t="shared" si="142"/>
        <v>331.91233237772281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50.209132991766978</v>
      </c>
      <c r="AA143" s="21">
        <f>EXP(-LN(2)/25)*AA142+(1-EXP(-LN(2)/25))/(LN(2)/25)*Calculateur!V143*Calculateur!X143*VLOOKUP('Données projet'!$B$9,Paramètres!$A$1:$I$89,3,0)*0.475*44/12</f>
        <v>7.1908068108673708</v>
      </c>
      <c r="AB143" s="21">
        <f>EXP(-LN(2)/2)*AB142+(1-EXP(-LN(2)/2))/(LN(2)/2)*V143*Y143*VLOOKUP('Données projet'!$B$9,Paramètres!$A$1:$I$89,3,0)*0.475*44/12</f>
        <v>1.087089435114529E-8</v>
      </c>
      <c r="AC143" s="22">
        <f t="shared" si="111"/>
        <v>57.399939813505242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68.66244940925975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-5.6843418860808015E-14</v>
      </c>
      <c r="AJ143" s="13">
        <f>AI143*VLOOKUP('Données projet'!$B$10,Paramètres!$A$1:$I$89,3,0)*VLOOKUP('Données projet'!$B$10,Paramètres!$A$1:$I$89,5,0)</f>
        <v>-3.3992364478763198E-14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270.29397440778314</v>
      </c>
      <c r="AO143" s="59">
        <f t="shared" si="144"/>
        <v>281.95928682679596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26.603891164749374</v>
      </c>
      <c r="AV143" s="21">
        <f>EXP(-LN(2)/25)*AV142+(1-EXP(-LN(2)/25))/(LN(2)/25)*Calculateur!AQ143*Calculateur!AS143*VLOOKUP('Données projet'!$B$10,Paramètres!$A$1:$I$89,3,0)*0.475*44/12</f>
        <v>3.9325144474236171</v>
      </c>
      <c r="AW143" s="21">
        <f>EXP(-LN(2)/2)*AW142+(1-EXP(-LN(2)/2))/(LN(2)/2)*AQ143*AT143*VLOOKUP('Données projet'!$B$10,Paramètres!$A$1:$I$89,3,0)*0.475*44/12</f>
        <v>2.9070041355183623E-11</v>
      </c>
      <c r="AX143" s="21">
        <f t="shared" si="114"/>
        <v>30.53640561220206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68.66244940925975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1.1368683772161603E-12</v>
      </c>
      <c r="BE143" s="13">
        <f>BD143*VLOOKUP('Données projet'!$B$11,Paramètres!$A$1:$I$89,3,0)*VLOOKUP('Données projet'!$B$11,Paramètres!$A$1:$I$89,5,0)</f>
        <v>5.3205440053716299E-13</v>
      </c>
      <c r="BF143" s="13">
        <f t="shared" si="145"/>
        <v>6.579711042921201E-12</v>
      </c>
      <c r="BG143" s="20">
        <f t="shared" si="115"/>
        <v>1.2386324814023317E-11</v>
      </c>
      <c r="BH143" s="59">
        <f t="shared" si="116"/>
        <v>288.4289811672981</v>
      </c>
      <c r="BI143" s="59">
        <f ca="1">AVERAGE(OFFSET($BH$3,0,0,'Données projet'!$E$11+1,1))-AVERAGE(OFFSET($H$3,0,0,'Données projet'!$E$11+1,1))</f>
        <v>308.70979446846718</v>
      </c>
      <c r="BJ143" s="59">
        <f t="shared" si="146"/>
        <v>202.33469175293314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121.9821327561127</v>
      </c>
      <c r="BQ143" s="21">
        <f>EXP(-LN(2)/25)*BQ142+(1-EXP(-LN(2)/25))/(LN(2)/25)*Calculateur!BL143*Calculateur!BN143*VLOOKUP('Données projet'!$B$11,Paramètres!$A$1:$I$89,3,0)*0.475*44/12</f>
        <v>27.125761816472355</v>
      </c>
      <c r="BR143" s="21">
        <f>EXP(-LN(2)/2)*BR142+(1-EXP(-LN(2)/2))/(LN(2)/2)*BL143*BO143*VLOOKUP('Données projet'!$B$11,Paramètres!$A$1:$I$89,3,0)*0.475*44/12</f>
        <v>0.82263754732149186</v>
      </c>
      <c r="BS143" s="22">
        <f t="shared" si="117"/>
        <v>149.93053211990656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68.66244940925975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68.66244940925975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68.66244940925975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68.66244940925975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68.66244940925975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68.66244940925975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68.66244940925975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3.1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11.366666666666667</v>
      </c>
      <c r="H144" s="67">
        <f t="shared" si="110"/>
        <v>211.20000000000002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68.685652921693958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369.06880001017635</v>
      </c>
      <c r="T144" s="59">
        <f t="shared" si="142"/>
        <v>331.91233237772281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49.224562518345628</v>
      </c>
      <c r="AA144" s="21">
        <f>EXP(-LN(2)/25)*AA143+(1-EXP(-LN(2)/25))/(LN(2)/25)*Calculateur!V144*Calculateur!X144*VLOOKUP('Données projet'!$B$9,Paramètres!$A$1:$I$89,3,0)*0.475*44/12</f>
        <v>6.9941738204761075</v>
      </c>
      <c r="AB144" s="21">
        <f>EXP(-LN(2)/2)*AB143+(1-EXP(-LN(2)/2))/(LN(2)/2)*V144*Y144*VLOOKUP('Données projet'!$B$9,Paramètres!$A$1:$I$89,3,0)*0.475*44/12</f>
        <v>7.686883113257368E-9</v>
      </c>
      <c r="AC144" s="22">
        <f t="shared" si="111"/>
        <v>56.218736346508621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68.685652921693958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-5.6843418860808015E-14</v>
      </c>
      <c r="AJ144" s="13">
        <f>AI144*VLOOKUP('Données projet'!$B$10,Paramètres!$A$1:$I$89,3,0)*VLOOKUP('Données projet'!$B$10,Paramètres!$A$1:$I$89,5,0)</f>
        <v>-3.3992364478763198E-14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270.29397440778314</v>
      </c>
      <c r="AO144" s="59">
        <f t="shared" si="144"/>
        <v>281.95928682679596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26.082205085779989</v>
      </c>
      <c r="AV144" s="21">
        <f>EXP(-LN(2)/25)*AV143+(1-EXP(-LN(2)/25))/(LN(2)/25)*Calculateur!AQ144*Calculateur!AS144*VLOOKUP('Données projet'!$B$10,Paramètres!$A$1:$I$89,3,0)*0.475*44/12</f>
        <v>3.8249796330568713</v>
      </c>
      <c r="AW144" s="21">
        <f>EXP(-LN(2)/2)*AW143+(1-EXP(-LN(2)/2))/(LN(2)/2)*AQ144*AT144*VLOOKUP('Données projet'!$B$10,Paramètres!$A$1:$I$89,3,0)*0.475*44/12</f>
        <v>2.0555623371623716E-11</v>
      </c>
      <c r="AX144" s="21">
        <f t="shared" si="114"/>
        <v>29.907184718857415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68.685652921693958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1.1368683772161603E-12</v>
      </c>
      <c r="BE144" s="13">
        <f>BD144*VLOOKUP('Données projet'!$B$11,Paramètres!$A$1:$I$89,3,0)*VLOOKUP('Données projet'!$B$11,Paramètres!$A$1:$I$89,5,0)</f>
        <v>5.3205440053716299E-13</v>
      </c>
      <c r="BF144" s="13">
        <f t="shared" si="145"/>
        <v>6.579711042921201E-12</v>
      </c>
      <c r="BG144" s="20">
        <f t="shared" si="115"/>
        <v>1.2386324814023317E-11</v>
      </c>
      <c r="BH144" s="59">
        <f t="shared" si="116"/>
        <v>288.51406071289023</v>
      </c>
      <c r="BI144" s="59">
        <f ca="1">AVERAGE(OFFSET($BH$3,0,0,'Données projet'!$E$11+1,1))-AVERAGE(OFFSET($H$3,0,0,'Données projet'!$E$11+1,1))</f>
        <v>308.70979446846718</v>
      </c>
      <c r="BJ144" s="59">
        <f t="shared" si="146"/>
        <v>202.33469175293314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119.59013753451976</v>
      </c>
      <c r="BQ144" s="21">
        <f>EXP(-LN(2)/25)*BQ143+(1-EXP(-LN(2)/25))/(LN(2)/25)*Calculateur!BL144*Calculateur!BN144*VLOOKUP('Données projet'!$B$11,Paramètres!$A$1:$I$89,3,0)*0.475*44/12</f>
        <v>26.384006433119101</v>
      </c>
      <c r="BR144" s="21">
        <f>EXP(-LN(2)/2)*BR143+(1-EXP(-LN(2)/2))/(LN(2)/2)*BL144*BO144*VLOOKUP('Données projet'!$B$11,Paramètres!$A$1:$I$89,3,0)*0.475*44/12</f>
        <v>0.58169258816969627</v>
      </c>
      <c r="BS144" s="22">
        <f t="shared" si="117"/>
        <v>146.55583655580855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68.685652921693958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68.685652921693958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68.685652921693958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68.685652921693958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68.685652921693958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68.685652921693958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68.685652921693958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3.1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11.366666666666667</v>
      </c>
      <c r="H145" s="67">
        <f t="shared" si="110"/>
        <v>211.20000000000002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68.708453905062726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369.06880001017635</v>
      </c>
      <c r="T145" s="59">
        <f t="shared" si="142"/>
        <v>331.91233237772281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48.259298871379379</v>
      </c>
      <c r="AA145" s="21">
        <f>EXP(-LN(2)/25)*AA144+(1-EXP(-LN(2)/25))/(LN(2)/25)*Calculateur!V145*Calculateur!X145*VLOOKUP('Données projet'!$B$9,Paramètres!$A$1:$I$89,3,0)*0.475*44/12</f>
        <v>6.8029177695475722</v>
      </c>
      <c r="AB145" s="21">
        <f>EXP(-LN(2)/2)*AB144+(1-EXP(-LN(2)/2))/(LN(2)/2)*V145*Y145*VLOOKUP('Données projet'!$B$9,Paramètres!$A$1:$I$89,3,0)*0.475*44/12</f>
        <v>5.4354471755726449E-9</v>
      </c>
      <c r="AC145" s="22">
        <f t="shared" si="111"/>
        <v>55.062216646362394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68.708453905062726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-5.6843418860808015E-14</v>
      </c>
      <c r="AJ145" s="13">
        <f>AI145*VLOOKUP('Données projet'!$B$10,Paramètres!$A$1:$I$89,3,0)*VLOOKUP('Données projet'!$B$10,Paramètres!$A$1:$I$89,5,0)</f>
        <v>-3.3992364478763198E-14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270.29397440778314</v>
      </c>
      <c r="AO145" s="59">
        <f t="shared" si="144"/>
        <v>281.95928682679596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25.570748952622104</v>
      </c>
      <c r="AV145" s="21">
        <f>EXP(-LN(2)/25)*AV144+(1-EXP(-LN(2)/25))/(LN(2)/25)*Calculateur!AQ145*Calculateur!AS145*VLOOKUP('Données projet'!$B$10,Paramètres!$A$1:$I$89,3,0)*0.475*44/12</f>
        <v>3.7203853638439943</v>
      </c>
      <c r="AW145" s="21">
        <f>EXP(-LN(2)/2)*AW144+(1-EXP(-LN(2)/2))/(LN(2)/2)*AQ145*AT145*VLOOKUP('Données projet'!$B$10,Paramètres!$A$1:$I$89,3,0)*0.475*44/12</f>
        <v>1.4535020677591815E-11</v>
      </c>
      <c r="AX145" s="21">
        <f t="shared" si="114"/>
        <v>29.291134316480633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68.708453905062726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1.1368683772161603E-12</v>
      </c>
      <c r="BE145" s="13">
        <f>BD145*VLOOKUP('Données projet'!$B$11,Paramètres!$A$1:$I$89,3,0)*VLOOKUP('Données projet'!$B$11,Paramètres!$A$1:$I$89,5,0)</f>
        <v>5.3205440053716299E-13</v>
      </c>
      <c r="BF145" s="13">
        <f t="shared" si="145"/>
        <v>6.579711042921201E-12</v>
      </c>
      <c r="BG145" s="20">
        <f t="shared" si="115"/>
        <v>1.2386324814023317E-11</v>
      </c>
      <c r="BH145" s="59">
        <f t="shared" si="116"/>
        <v>288.59766431857571</v>
      </c>
      <c r="BI145" s="59">
        <f ca="1">AVERAGE(OFFSET($BH$3,0,0,'Données projet'!$E$11+1,1))-AVERAGE(OFFSET($H$3,0,0,'Données projet'!$E$11+1,1))</f>
        <v>308.70979446846718</v>
      </c>
      <c r="BJ145" s="59">
        <f t="shared" si="146"/>
        <v>202.33469175293314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117.24504788024922</v>
      </c>
      <c r="BQ145" s="21">
        <f>EXP(-LN(2)/25)*BQ144+(1-EXP(-LN(2)/25))/(LN(2)/25)*Calculateur!BL145*Calculateur!BN145*VLOOKUP('Données projet'!$B$11,Paramètres!$A$1:$I$89,3,0)*0.475*44/12</f>
        <v>25.662534389730862</v>
      </c>
      <c r="BR145" s="21">
        <f>EXP(-LN(2)/2)*BR144+(1-EXP(-LN(2)/2))/(LN(2)/2)*BL145*BO145*VLOOKUP('Données projet'!$B$11,Paramètres!$A$1:$I$89,3,0)*0.475*44/12</f>
        <v>0.41131877366074593</v>
      </c>
      <c r="BS145" s="22">
        <f t="shared" si="117"/>
        <v>143.31890104364084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68.708453905062726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68.708453905062726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68.708453905062726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68.708453905062726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68.708453905062726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68.708453905062726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68.708453905062726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3.1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11.366666666666667</v>
      </c>
      <c r="H146" s="67">
        <f t="shared" si="110"/>
        <v>211.20000000000002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68.730859342345383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369.06880001017635</v>
      </c>
      <c r="T146" s="59">
        <f t="shared" si="142"/>
        <v>331.91233237772281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47.312963455777449</v>
      </c>
      <c r="AA146" s="21">
        <f>EXP(-LN(2)/25)*AA145+(1-EXP(-LN(2)/25))/(LN(2)/25)*Calculateur!V146*Calculateur!X146*VLOOKUP('Données projet'!$B$9,Paramètres!$A$1:$I$89,3,0)*0.475*44/12</f>
        <v>6.616891625389397</v>
      </c>
      <c r="AB146" s="21">
        <f>EXP(-LN(2)/2)*AB145+(1-EXP(-LN(2)/2))/(LN(2)/2)*V146*Y146*VLOOKUP('Données projet'!$B$9,Paramètres!$A$1:$I$89,3,0)*0.475*44/12</f>
        <v>3.843441556628684E-9</v>
      </c>
      <c r="AC146" s="22">
        <f t="shared" si="111"/>
        <v>53.929855085010288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68.730859342345383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-5.6843418860808015E-14</v>
      </c>
      <c r="AJ146" s="13">
        <f>AI146*VLOOKUP('Données projet'!$B$10,Paramètres!$A$1:$I$89,3,0)*VLOOKUP('Données projet'!$B$10,Paramètres!$A$1:$I$89,5,0)</f>
        <v>-3.3992364478763198E-14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270.29397440778314</v>
      </c>
      <c r="AO146" s="59">
        <f t="shared" si="144"/>
        <v>281.95928682679596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25.069322162278006</v>
      </c>
      <c r="AV146" s="21">
        <f>EXP(-LN(2)/25)*AV145+(1-EXP(-LN(2)/25))/(LN(2)/25)*Calculateur!AQ146*Calculateur!AS146*VLOOKUP('Données projet'!$B$10,Paramètres!$A$1:$I$89,3,0)*0.475*44/12</f>
        <v>3.6186512304231169</v>
      </c>
      <c r="AW146" s="21">
        <f>EXP(-LN(2)/2)*AW145+(1-EXP(-LN(2)/2))/(LN(2)/2)*AQ146*AT146*VLOOKUP('Données projet'!$B$10,Paramètres!$A$1:$I$89,3,0)*0.475*44/12</f>
        <v>1.027781168581186E-11</v>
      </c>
      <c r="AX146" s="21">
        <f t="shared" si="114"/>
        <v>28.687973392711402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68.730859342345383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1.1368683772161603E-12</v>
      </c>
      <c r="BE146" s="13">
        <f>BD146*VLOOKUP('Données projet'!$B$11,Paramètres!$A$1:$I$89,3,0)*VLOOKUP('Données projet'!$B$11,Paramètres!$A$1:$I$89,5,0)</f>
        <v>5.3205440053716299E-13</v>
      </c>
      <c r="BF146" s="13">
        <f t="shared" si="145"/>
        <v>6.579711042921201E-12</v>
      </c>
      <c r="BG146" s="20">
        <f t="shared" si="115"/>
        <v>1.2386324814023317E-11</v>
      </c>
      <c r="BH146" s="59">
        <f t="shared" si="116"/>
        <v>288.67981758861214</v>
      </c>
      <c r="BI146" s="59">
        <f ca="1">AVERAGE(OFFSET($BH$3,0,0,'Données projet'!$E$11+1,1))-AVERAGE(OFFSET($H$3,0,0,'Données projet'!$E$11+1,1))</f>
        <v>308.70979446846718</v>
      </c>
      <c r="BJ146" s="59">
        <f t="shared" si="146"/>
        <v>202.33469175293314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114.94594400373548</v>
      </c>
      <c r="BQ146" s="21">
        <f>EXP(-LN(2)/25)*BQ145+(1-EXP(-LN(2)/25))/(LN(2)/25)*Calculateur!BL146*Calculateur!BN146*VLOOKUP('Données projet'!$B$11,Paramètres!$A$1:$I$89,3,0)*0.475*44/12</f>
        <v>24.96079103730964</v>
      </c>
      <c r="BR146" s="21">
        <f>EXP(-LN(2)/2)*BR145+(1-EXP(-LN(2)/2))/(LN(2)/2)*BL146*BO146*VLOOKUP('Données projet'!$B$11,Paramètres!$A$1:$I$89,3,0)*0.475*44/12</f>
        <v>0.29084629408484813</v>
      </c>
      <c r="BS146" s="22">
        <f t="shared" si="117"/>
        <v>140.19758133512997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68.730859342345383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68.730859342345383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68.730859342345383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68.730859342345383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68.730859342345383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68.730859342345383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68.730859342345383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3.1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11.366666666666667</v>
      </c>
      <c r="H147" s="67">
        <f t="shared" si="110"/>
        <v>211.20000000000002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68.752876095382248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369.06880001017635</v>
      </c>
      <c r="T147" s="59">
        <f t="shared" si="142"/>
        <v>331.91233237772281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46.385185100467865</v>
      </c>
      <c r="AA147" s="21">
        <f>EXP(-LN(2)/25)*AA146+(1-EXP(-LN(2)/25))/(LN(2)/25)*Calculateur!V147*Calculateur!X147*VLOOKUP('Données projet'!$B$9,Paramètres!$A$1:$I$89,3,0)*0.475*44/12</f>
        <v>6.4359523759259165</v>
      </c>
      <c r="AB147" s="21">
        <f>EXP(-LN(2)/2)*AB146+(1-EXP(-LN(2)/2))/(LN(2)/2)*V147*Y147*VLOOKUP('Données projet'!$B$9,Paramètres!$A$1:$I$89,3,0)*0.475*44/12</f>
        <v>2.7177235877863225E-9</v>
      </c>
      <c r="AC147" s="22">
        <f t="shared" si="111"/>
        <v>52.821137479111506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68.752876095382248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-5.6843418860808015E-14</v>
      </c>
      <c r="AJ147" s="13">
        <f>AI147*VLOOKUP('Données projet'!$B$10,Paramètres!$A$1:$I$89,3,0)*VLOOKUP('Données projet'!$B$10,Paramètres!$A$1:$I$89,5,0)</f>
        <v>-3.3992364478763198E-14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270.29397440778314</v>
      </c>
      <c r="AO147" s="59">
        <f t="shared" si="144"/>
        <v>281.95928682679596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24.577728045452414</v>
      </c>
      <c r="AV147" s="21">
        <f>EXP(-LN(2)/25)*AV146+(1-EXP(-LN(2)/25))/(LN(2)/25)*Calculateur!AQ147*Calculateur!AS147*VLOOKUP('Données projet'!$B$10,Paramètres!$A$1:$I$89,3,0)*0.475*44/12</f>
        <v>3.5196990222305993</v>
      </c>
      <c r="AW147" s="21">
        <f>EXP(-LN(2)/2)*AW146+(1-EXP(-LN(2)/2))/(LN(2)/2)*AQ147*AT147*VLOOKUP('Données projet'!$B$10,Paramètres!$A$1:$I$89,3,0)*0.475*44/12</f>
        <v>7.2675103387959083E-12</v>
      </c>
      <c r="AX147" s="21">
        <f t="shared" si="114"/>
        <v>28.097427067690283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68.752876095382248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1.1368683772161603E-12</v>
      </c>
      <c r="BE147" s="13">
        <f>BD147*VLOOKUP('Données projet'!$B$11,Paramètres!$A$1:$I$89,3,0)*VLOOKUP('Données projet'!$B$11,Paramètres!$A$1:$I$89,5,0)</f>
        <v>5.3205440053716299E-13</v>
      </c>
      <c r="BF147" s="13">
        <f t="shared" si="145"/>
        <v>6.579711042921201E-12</v>
      </c>
      <c r="BG147" s="20">
        <f t="shared" si="115"/>
        <v>1.2386324814023317E-11</v>
      </c>
      <c r="BH147" s="59">
        <f t="shared" si="116"/>
        <v>288.76054568308064</v>
      </c>
      <c r="BI147" s="59">
        <f ca="1">AVERAGE(OFFSET($BH$3,0,0,'Données projet'!$E$11+1,1))-AVERAGE(OFFSET($H$3,0,0,'Données projet'!$E$11+1,1))</f>
        <v>308.70979446846718</v>
      </c>
      <c r="BJ147" s="59">
        <f t="shared" si="146"/>
        <v>202.33469175293314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112.69192415192526</v>
      </c>
      <c r="BQ147" s="21">
        <f>EXP(-LN(2)/25)*BQ146+(1-EXP(-LN(2)/25))/(LN(2)/25)*Calculateur!BL147*Calculateur!BN147*VLOOKUP('Données projet'!$B$11,Paramètres!$A$1:$I$89,3,0)*0.475*44/12</f>
        <v>24.278236893763456</v>
      </c>
      <c r="BR147" s="21">
        <f>EXP(-LN(2)/2)*BR146+(1-EXP(-LN(2)/2))/(LN(2)/2)*BL147*BO147*VLOOKUP('Données projet'!$B$11,Paramètres!$A$1:$I$89,3,0)*0.475*44/12</f>
        <v>0.20565938683037296</v>
      </c>
      <c r="BS147" s="22">
        <f t="shared" si="117"/>
        <v>137.17582043251909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68.752876095382248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68.752876095382248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68.752876095382248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68.752876095382248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68.752876095382248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68.752876095382248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68.752876095382248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3.1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11.366666666666667</v>
      </c>
      <c r="H148" s="67">
        <f t="shared" si="110"/>
        <v>211.20000000000002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68.774510906976005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369.06880001017635</v>
      </c>
      <c r="T148" s="59">
        <f t="shared" si="142"/>
        <v>331.91233237772281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45.475599912816982</v>
      </c>
      <c r="AA148" s="21">
        <f>EXP(-LN(2)/25)*AA147+(1-EXP(-LN(2)/25))/(LN(2)/25)*Calculateur!V148*Calculateur!X148*VLOOKUP('Données projet'!$B$9,Paramètres!$A$1:$I$89,3,0)*0.475*44/12</f>
        <v>6.2599609197541968</v>
      </c>
      <c r="AB148" s="21">
        <f>EXP(-LN(2)/2)*AB147+(1-EXP(-LN(2)/2))/(LN(2)/2)*V148*Y148*VLOOKUP('Données projet'!$B$9,Paramètres!$A$1:$I$89,3,0)*0.475*44/12</f>
        <v>1.921720778314342E-9</v>
      </c>
      <c r="AC148" s="22">
        <f t="shared" si="111"/>
        <v>51.735560834492901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68.774510906976005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-5.6843418860808015E-14</v>
      </c>
      <c r="AJ148" s="13">
        <f>AI148*VLOOKUP('Données projet'!$B$10,Paramètres!$A$1:$I$89,3,0)*VLOOKUP('Données projet'!$B$10,Paramètres!$A$1:$I$89,5,0)</f>
        <v>-3.3992364478763198E-14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270.29397440778314</v>
      </c>
      <c r="AO148" s="59">
        <f t="shared" si="144"/>
        <v>281.95928682679596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24.095773789414967</v>
      </c>
      <c r="AV148" s="21">
        <f>EXP(-LN(2)/25)*AV147+(1-EXP(-LN(2)/25))/(LN(2)/25)*Calculateur!AQ148*Calculateur!AS148*VLOOKUP('Données projet'!$B$10,Paramètres!$A$1:$I$89,3,0)*0.475*44/12</f>
        <v>3.4234526673747765</v>
      </c>
      <c r="AW148" s="21">
        <f>EXP(-LN(2)/2)*AW147+(1-EXP(-LN(2)/2))/(LN(2)/2)*AQ148*AT148*VLOOKUP('Données projet'!$B$10,Paramètres!$A$1:$I$89,3,0)*0.475*44/12</f>
        <v>5.1389058429059306E-12</v>
      </c>
      <c r="AX148" s="21">
        <f t="shared" si="114"/>
        <v>27.519226456794879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68.774510906976005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1.1368683772161603E-12</v>
      </c>
      <c r="BE148" s="13">
        <f>BD148*VLOOKUP('Données projet'!$B$11,Paramètres!$A$1:$I$89,3,0)*VLOOKUP('Données projet'!$B$11,Paramètres!$A$1:$I$89,5,0)</f>
        <v>5.3205440053716299E-13</v>
      </c>
      <c r="BF148" s="13">
        <f t="shared" si="145"/>
        <v>6.579711042921201E-12</v>
      </c>
      <c r="BG148" s="20">
        <f t="shared" si="115"/>
        <v>1.2386324814023317E-11</v>
      </c>
      <c r="BH148" s="59">
        <f t="shared" si="116"/>
        <v>288.8398733255911</v>
      </c>
      <c r="BI148" s="59">
        <f ca="1">AVERAGE(OFFSET($BH$3,0,0,'Données projet'!$E$11+1,1))-AVERAGE(OFFSET($H$3,0,0,'Données projet'!$E$11+1,1))</f>
        <v>308.70979446846718</v>
      </c>
      <c r="BJ148" s="59">
        <f t="shared" si="146"/>
        <v>202.33469175293314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110.4821042545927</v>
      </c>
      <c r="BQ148" s="21">
        <f>EXP(-LN(2)/25)*BQ147+(1-EXP(-LN(2)/25))/(LN(2)/25)*Calculateur!BL148*Calculateur!BN148*VLOOKUP('Données projet'!$B$11,Paramètres!$A$1:$I$89,3,0)*0.475*44/12</f>
        <v>23.614347229166505</v>
      </c>
      <c r="BR148" s="21">
        <f>EXP(-LN(2)/2)*BR147+(1-EXP(-LN(2)/2))/(LN(2)/2)*BL148*BO148*VLOOKUP('Données projet'!$B$11,Paramètres!$A$1:$I$89,3,0)*0.475*44/12</f>
        <v>0.14542314704242407</v>
      </c>
      <c r="BS148" s="22">
        <f t="shared" si="117"/>
        <v>134.24187463080165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68.774510906976005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68.774510906976005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68.774510906976005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68.774510906976005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68.774510906976005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68.774510906976005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68.774510906976005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3.1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11.366666666666667</v>
      </c>
      <c r="H149" s="67">
        <f t="shared" si="110"/>
        <v>211.20000000000002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68.795770402956819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369.06880001017635</v>
      </c>
      <c r="T149" s="59">
        <f t="shared" si="142"/>
        <v>331.91233237772281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44.58385113590375</v>
      </c>
      <c r="AA149" s="21">
        <f>EXP(-LN(2)/25)*AA148+(1-EXP(-LN(2)/25))/(LN(2)/25)*Calculateur!V149*Calculateur!X149*VLOOKUP('Données projet'!$B$9,Paramètres!$A$1:$I$89,3,0)*0.475*44/12</f>
        <v>6.0887819592064805</v>
      </c>
      <c r="AB149" s="21">
        <f>EXP(-LN(2)/2)*AB148+(1-EXP(-LN(2)/2))/(LN(2)/2)*V149*Y149*VLOOKUP('Données projet'!$B$9,Paramètres!$A$1:$I$89,3,0)*0.475*44/12</f>
        <v>1.3588617938931612E-9</v>
      </c>
      <c r="AC149" s="22">
        <f t="shared" si="111"/>
        <v>50.672633096469092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68.795770402956819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-5.6843418860808015E-14</v>
      </c>
      <c r="AJ149" s="13">
        <f>AI149*VLOOKUP('Données projet'!$B$10,Paramètres!$A$1:$I$89,3,0)*VLOOKUP('Données projet'!$B$10,Paramètres!$A$1:$I$89,5,0)</f>
        <v>-3.3992364478763198E-14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270.29397440778314</v>
      </c>
      <c r="AO149" s="59">
        <f t="shared" si="144"/>
        <v>281.95928682679596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23.623270362375344</v>
      </c>
      <c r="AV149" s="21">
        <f>EXP(-LN(2)/25)*AV148+(1-EXP(-LN(2)/25))/(LN(2)/25)*Calculateur!AQ149*Calculateur!AS149*VLOOKUP('Données projet'!$B$10,Paramètres!$A$1:$I$89,3,0)*0.475*44/12</f>
        <v>3.3298381741538621</v>
      </c>
      <c r="AW149" s="21">
        <f>EXP(-LN(2)/2)*AW148+(1-EXP(-LN(2)/2))/(LN(2)/2)*AQ149*AT149*VLOOKUP('Données projet'!$B$10,Paramètres!$A$1:$I$89,3,0)*0.475*44/12</f>
        <v>3.6337551693979545E-12</v>
      </c>
      <c r="AX149" s="21">
        <f t="shared" si="114"/>
        <v>26.953108536532842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68.795770402956819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1.1368683772161603E-12</v>
      </c>
      <c r="BE149" s="13">
        <f>BD149*VLOOKUP('Données projet'!$B$11,Paramètres!$A$1:$I$89,3,0)*VLOOKUP('Données projet'!$B$11,Paramètres!$A$1:$I$89,5,0)</f>
        <v>5.3205440053716299E-13</v>
      </c>
      <c r="BF149" s="13">
        <f t="shared" si="145"/>
        <v>6.579711042921201E-12</v>
      </c>
      <c r="BG149" s="20">
        <f t="shared" si="115"/>
        <v>1.2386324814023317E-11</v>
      </c>
      <c r="BH149" s="59">
        <f t="shared" si="116"/>
        <v>288.91782481085403</v>
      </c>
      <c r="BI149" s="59">
        <f ca="1">AVERAGE(OFFSET($BH$3,0,0,'Données projet'!$E$11+1,1))-AVERAGE(OFFSET($H$3,0,0,'Données projet'!$E$11+1,1))</f>
        <v>308.70979446846718</v>
      </c>
      <c r="BJ149" s="59">
        <f t="shared" si="146"/>
        <v>202.33469175293314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108.31561757758978</v>
      </c>
      <c r="BQ149" s="21">
        <f>EXP(-LN(2)/25)*BQ148+(1-EXP(-LN(2)/25))/(LN(2)/25)*Calculateur!BL149*Calculateur!BN149*VLOOKUP('Données projet'!$B$11,Paramètres!$A$1:$I$89,3,0)*0.475*44/12</f>
        <v>22.968611662360399</v>
      </c>
      <c r="BR149" s="21">
        <f>EXP(-LN(2)/2)*BR148+(1-EXP(-LN(2)/2))/(LN(2)/2)*BL149*BO149*VLOOKUP('Données projet'!$B$11,Paramètres!$A$1:$I$89,3,0)*0.475*44/12</f>
        <v>0.10282969341518648</v>
      </c>
      <c r="BS149" s="22">
        <f t="shared" si="117"/>
        <v>131.38705893336535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68.795770402956819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68.795770402956819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68.795770402956819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68.795770402956819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68.795770402956819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68.795770402956819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68.795770402956819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3.1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11.366666666666667</v>
      </c>
      <c r="H150" s="67">
        <f t="shared" si="110"/>
        <v>211.20000000000002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68.816661094211469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369.06880001017635</v>
      </c>
      <c r="T150" s="59">
        <f t="shared" si="142"/>
        <v>331.91233237772281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43.709589008592737</v>
      </c>
      <c r="AA150" s="21">
        <f>EXP(-LN(2)/25)*AA149+(1-EXP(-LN(2)/25))/(LN(2)/25)*Calculateur!V150*Calculateur!X150*VLOOKUP('Données projet'!$B$9,Paramètres!$A$1:$I$89,3,0)*0.475*44/12</f>
        <v>5.922283896336852</v>
      </c>
      <c r="AB150" s="21">
        <f>EXP(-LN(2)/2)*AB149+(1-EXP(-LN(2)/2))/(LN(2)/2)*V150*Y150*VLOOKUP('Données projet'!$B$9,Paramètres!$A$1:$I$89,3,0)*0.475*44/12</f>
        <v>9.60860389157171E-10</v>
      </c>
      <c r="AC150" s="22">
        <f t="shared" si="111"/>
        <v>49.631872905890447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68.816661094211469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-5.6843418860808015E-14</v>
      </c>
      <c r="AJ150" s="13">
        <f>AI150*VLOOKUP('Données projet'!$B$10,Paramètres!$A$1:$I$89,3,0)*VLOOKUP('Données projet'!$B$10,Paramètres!$A$1:$I$89,5,0)</f>
        <v>-3.3992364478763198E-14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270.29397440778314</v>
      </c>
      <c r="AO150" s="59">
        <f t="shared" si="144"/>
        <v>281.95928682679596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23.160032439341336</v>
      </c>
      <c r="AV150" s="21">
        <f>EXP(-LN(2)/25)*AV149+(1-EXP(-LN(2)/25))/(LN(2)/25)*Calculateur!AQ150*Calculateur!AS150*VLOOKUP('Données projet'!$B$10,Paramètres!$A$1:$I$89,3,0)*0.475*44/12</f>
        <v>3.2387835741730457</v>
      </c>
      <c r="AW150" s="21">
        <f>EXP(-LN(2)/2)*AW149+(1-EXP(-LN(2)/2))/(LN(2)/2)*AQ150*AT150*VLOOKUP('Données projet'!$B$10,Paramètres!$A$1:$I$89,3,0)*0.475*44/12</f>
        <v>2.5694529214529657E-12</v>
      </c>
      <c r="AX150" s="21">
        <f t="shared" si="114"/>
        <v>26.398816013516949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68.816661094211469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1.1368683772161603E-12</v>
      </c>
      <c r="BE150" s="13">
        <f>BD150*VLOOKUP('Données projet'!$B$11,Paramètres!$A$1:$I$89,3,0)*VLOOKUP('Données projet'!$B$11,Paramètres!$A$1:$I$89,5,0)</f>
        <v>5.3205440053716299E-13</v>
      </c>
      <c r="BF150" s="13">
        <f t="shared" si="145"/>
        <v>6.579711042921201E-12</v>
      </c>
      <c r="BG150" s="20">
        <f t="shared" si="115"/>
        <v>1.2386324814023317E-11</v>
      </c>
      <c r="BH150" s="59">
        <f t="shared" si="116"/>
        <v>288.9944240121211</v>
      </c>
      <c r="BI150" s="59">
        <f ca="1">AVERAGE(OFFSET($BH$3,0,0,'Données projet'!$E$11+1,1))-AVERAGE(OFFSET($H$3,0,0,'Données projet'!$E$11+1,1))</f>
        <v>308.70979446846718</v>
      </c>
      <c r="BJ150" s="59">
        <f t="shared" si="146"/>
        <v>202.33469175293314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106.19161438289649</v>
      </c>
      <c r="BQ150" s="21">
        <f>EXP(-LN(2)/25)*BQ149+(1-EXP(-LN(2)/25))/(LN(2)/25)*Calculateur!BL150*Calculateur!BN150*VLOOKUP('Données projet'!$B$11,Paramètres!$A$1:$I$89,3,0)*0.475*44/12</f>
        <v>22.340533768586361</v>
      </c>
      <c r="BR150" s="21">
        <f>EXP(-LN(2)/2)*BR149+(1-EXP(-LN(2)/2))/(LN(2)/2)*BL150*BO150*VLOOKUP('Données projet'!$B$11,Paramètres!$A$1:$I$89,3,0)*0.475*44/12</f>
        <v>7.2711573521212033E-2</v>
      </c>
      <c r="BS150" s="22">
        <f t="shared" si="117"/>
        <v>128.60485972500408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68.816661094211469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68.816661094211469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68.816661094211469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68.816661094211469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68.816661094211469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68.816661094211469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68.816661094211469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3.1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11.366666666666667</v>
      </c>
      <c r="H151" s="67">
        <f t="shared" si="110"/>
        <v>211.20000000000002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68.837189378677436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369.06880001017635</v>
      </c>
      <c r="T151" s="59">
        <f t="shared" si="142"/>
        <v>331.91233237772281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42.85247062835105</v>
      </c>
      <c r="AA151" s="21">
        <f>EXP(-LN(2)/25)*AA150+(1-EXP(-LN(2)/25))/(LN(2)/25)*Calculateur!V151*Calculateur!X151*VLOOKUP('Données projet'!$B$9,Paramètres!$A$1:$I$89,3,0)*0.475*44/12</f>
        <v>5.7603387317521459</v>
      </c>
      <c r="AB151" s="21">
        <f>EXP(-LN(2)/2)*AB150+(1-EXP(-LN(2)/2))/(LN(2)/2)*V151*Y151*VLOOKUP('Données projet'!$B$9,Paramètres!$A$1:$I$89,3,0)*0.475*44/12</f>
        <v>6.7943089694658062E-10</v>
      </c>
      <c r="AC151" s="22">
        <f t="shared" si="111"/>
        <v>48.612809360782627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68.837189378677436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-5.6843418860808015E-14</v>
      </c>
      <c r="AJ151" s="13">
        <f>AI151*VLOOKUP('Données projet'!$B$10,Paramètres!$A$1:$I$89,3,0)*VLOOKUP('Données projet'!$B$10,Paramètres!$A$1:$I$89,5,0)</f>
        <v>-3.3992364478763198E-14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270.29397440778314</v>
      </c>
      <c r="AO151" s="59">
        <f t="shared" si="144"/>
        <v>281.95928682679596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22.705878329430792</v>
      </c>
      <c r="AV151" s="21">
        <f>EXP(-LN(2)/25)*AV150+(1-EXP(-LN(2)/25))/(LN(2)/25)*Calculateur!AQ151*Calculateur!AS151*VLOOKUP('Données projet'!$B$10,Paramètres!$A$1:$I$89,3,0)*0.475*44/12</f>
        <v>3.1502188670170579</v>
      </c>
      <c r="AW151" s="21">
        <f>EXP(-LN(2)/2)*AW150+(1-EXP(-LN(2)/2))/(LN(2)/2)*AQ151*AT151*VLOOKUP('Données projet'!$B$10,Paramètres!$A$1:$I$89,3,0)*0.475*44/12</f>
        <v>1.8168775846989777E-12</v>
      </c>
      <c r="AX151" s="21">
        <f t="shared" si="114"/>
        <v>25.856097196449664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68.837189378677436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1.1368683772161603E-12</v>
      </c>
      <c r="BE151" s="13">
        <f>BD151*VLOOKUP('Données projet'!$B$11,Paramètres!$A$1:$I$89,3,0)*VLOOKUP('Données projet'!$B$11,Paramètres!$A$1:$I$89,5,0)</f>
        <v>5.3205440053716299E-13</v>
      </c>
      <c r="BF151" s="13">
        <f t="shared" si="145"/>
        <v>6.579711042921201E-12</v>
      </c>
      <c r="BG151" s="20">
        <f t="shared" si="115"/>
        <v>1.2386324814023317E-11</v>
      </c>
      <c r="BH151" s="59">
        <f t="shared" si="116"/>
        <v>289.06969438849632</v>
      </c>
      <c r="BI151" s="59">
        <f ca="1">AVERAGE(OFFSET($BH$3,0,0,'Données projet'!$E$11+1,1))-AVERAGE(OFFSET($H$3,0,0,'Données projet'!$E$11+1,1))</f>
        <v>308.70979446846718</v>
      </c>
      <c r="BJ151" s="59">
        <f t="shared" si="146"/>
        <v>202.33469175293314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104.1092615953371</v>
      </c>
      <c r="BQ151" s="21">
        <f>EXP(-LN(2)/25)*BQ150+(1-EXP(-LN(2)/25))/(LN(2)/25)*Calculateur!BL151*Calculateur!BN151*VLOOKUP('Données projet'!$B$11,Paramètres!$A$1:$I$89,3,0)*0.475*44/12</f>
        <v>21.729630697846755</v>
      </c>
      <c r="BR151" s="21">
        <f>EXP(-LN(2)/2)*BR150+(1-EXP(-LN(2)/2))/(LN(2)/2)*BL151*BO151*VLOOKUP('Données projet'!$B$11,Paramètres!$A$1:$I$89,3,0)*0.475*44/12</f>
        <v>5.1414846707593241E-2</v>
      </c>
      <c r="BS151" s="22">
        <f t="shared" si="117"/>
        <v>125.89030713989145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68.837189378677436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68.837189378677436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68.837189378677436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68.837189378677436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68.837189378677436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68.837189378677436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68.837189378677436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3.1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11.366666666666667</v>
      </c>
      <c r="H152" s="67">
        <f t="shared" si="110"/>
        <v>211.20000000000002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68.857361543302289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369.06880001017635</v>
      </c>
      <c r="T152" s="59">
        <f t="shared" si="142"/>
        <v>331.91233237772281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42.012159816755315</v>
      </c>
      <c r="AA152" s="21">
        <f>EXP(-LN(2)/25)*AA151+(1-EXP(-LN(2)/25))/(LN(2)/25)*Calculateur!V152*Calculateur!X152*VLOOKUP('Données projet'!$B$9,Paramètres!$A$1:$I$89,3,0)*0.475*44/12</f>
        <v>5.6028219662093353</v>
      </c>
      <c r="AB152" s="21">
        <f>EXP(-LN(2)/2)*AB151+(1-EXP(-LN(2)/2))/(LN(2)/2)*V152*Y152*VLOOKUP('Données projet'!$B$9,Paramètres!$A$1:$I$89,3,0)*0.475*44/12</f>
        <v>4.804301945785855E-10</v>
      </c>
      <c r="AC152" s="22">
        <f t="shared" si="111"/>
        <v>47.614981783445081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68.857361543302289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-5.6843418860808015E-14</v>
      </c>
      <c r="AJ152" s="13">
        <f>AI152*VLOOKUP('Données projet'!$B$10,Paramètres!$A$1:$I$89,3,0)*VLOOKUP('Données projet'!$B$10,Paramètres!$A$1:$I$89,5,0)</f>
        <v>-3.3992364478763198E-14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270.29397440778314</v>
      </c>
      <c r="AO152" s="59">
        <f t="shared" si="144"/>
        <v>281.95928682679596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22.260629904608937</v>
      </c>
      <c r="AV152" s="21">
        <f>EXP(-LN(2)/25)*AV151+(1-EXP(-LN(2)/25))/(LN(2)/25)*Calculateur!AQ152*Calculateur!AS152*VLOOKUP('Données projet'!$B$10,Paramètres!$A$1:$I$89,3,0)*0.475*44/12</f>
        <v>3.064075966435666</v>
      </c>
      <c r="AW152" s="21">
        <f>EXP(-LN(2)/2)*AW151+(1-EXP(-LN(2)/2))/(LN(2)/2)*AQ152*AT152*VLOOKUP('Données projet'!$B$10,Paramètres!$A$1:$I$89,3,0)*0.475*44/12</f>
        <v>1.2847264607264831E-12</v>
      </c>
      <c r="AX152" s="21">
        <f t="shared" si="114"/>
        <v>25.324705871045889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68.857361543302289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1.1368683772161603E-12</v>
      </c>
      <c r="BE152" s="13">
        <f>BD152*VLOOKUP('Données projet'!$B$11,Paramètres!$A$1:$I$89,3,0)*VLOOKUP('Données projet'!$B$11,Paramètres!$A$1:$I$89,5,0)</f>
        <v>5.3205440053716299E-13</v>
      </c>
      <c r="BF152" s="13">
        <f t="shared" si="145"/>
        <v>6.579711042921201E-12</v>
      </c>
      <c r="BG152" s="20">
        <f t="shared" si="115"/>
        <v>1.2386324814023317E-11</v>
      </c>
      <c r="BH152" s="59">
        <f t="shared" si="116"/>
        <v>289.14365899212078</v>
      </c>
      <c r="BI152" s="59">
        <f ca="1">AVERAGE(OFFSET($BH$3,0,0,'Données projet'!$E$11+1,1))-AVERAGE(OFFSET($H$3,0,0,'Données projet'!$E$11+1,1))</f>
        <v>308.70979446846718</v>
      </c>
      <c r="BJ152" s="59">
        <f t="shared" si="146"/>
        <v>202.33469175293314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102.06774247583198</v>
      </c>
      <c r="BQ152" s="21">
        <f>EXP(-LN(2)/25)*BQ151+(1-EXP(-LN(2)/25))/(LN(2)/25)*Calculateur!BL152*Calculateur!BN152*VLOOKUP('Données projet'!$B$11,Paramètres!$A$1:$I$89,3,0)*0.475*44/12</f>
        <v>21.135432803702521</v>
      </c>
      <c r="BR152" s="21">
        <f>EXP(-LN(2)/2)*BR151+(1-EXP(-LN(2)/2))/(LN(2)/2)*BL152*BO152*VLOOKUP('Données projet'!$B$11,Paramètres!$A$1:$I$89,3,0)*0.475*44/12</f>
        <v>3.6355786760606017E-2</v>
      </c>
      <c r="BS152" s="22">
        <f t="shared" si="117"/>
        <v>123.2395310662951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68.857361543302289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68.857361543302289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68.857361543302289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68.857361543302289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68.857361543302289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68.857361543302289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68.857361543302289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3.1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11.366666666666667</v>
      </c>
      <c r="H153" s="67">
        <f t="shared" si="110"/>
        <v>211.20000000000002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68.877183765969107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369.06880001017635</v>
      </c>
      <c r="T153" s="59">
        <f t="shared" si="142"/>
        <v>331.91233237772281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41.188326987635982</v>
      </c>
      <c r="AA153" s="21">
        <f>EXP(-LN(2)/25)*AA152+(1-EXP(-LN(2)/25))/(LN(2)/25)*Calculateur!V153*Calculateur!X153*VLOOKUP('Données projet'!$B$9,Paramètres!$A$1:$I$89,3,0)*0.475*44/12</f>
        <v>5.4496125049037394</v>
      </c>
      <c r="AB153" s="21">
        <f>EXP(-LN(2)/2)*AB152+(1-EXP(-LN(2)/2))/(LN(2)/2)*V153*Y153*VLOOKUP('Données projet'!$B$9,Paramètres!$A$1:$I$89,3,0)*0.475*44/12</f>
        <v>3.3971544847329031E-10</v>
      </c>
      <c r="AC153" s="22">
        <f t="shared" si="111"/>
        <v>46.63793949287944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68.877183765969107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-5.6843418860808015E-14</v>
      </c>
      <c r="AJ153" s="13">
        <f>AI153*VLOOKUP('Données projet'!$B$10,Paramètres!$A$1:$I$89,3,0)*VLOOKUP('Données projet'!$B$10,Paramètres!$A$1:$I$89,5,0)</f>
        <v>-3.3992364478763198E-14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270.29397440778314</v>
      </c>
      <c r="AO153" s="59">
        <f t="shared" si="144"/>
        <v>281.95928682679596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21.824112529823118</v>
      </c>
      <c r="AV153" s="21">
        <f>EXP(-LN(2)/25)*AV152+(1-EXP(-LN(2)/25))/(LN(2)/25)*Calculateur!AQ153*Calculateur!AS153*VLOOKUP('Données projet'!$B$10,Paramètres!$A$1:$I$89,3,0)*0.475*44/12</f>
        <v>2.9802886480007307</v>
      </c>
      <c r="AW153" s="21">
        <f>EXP(-LN(2)/2)*AW152+(1-EXP(-LN(2)/2))/(LN(2)/2)*AQ153*AT153*VLOOKUP('Données projet'!$B$10,Paramètres!$A$1:$I$89,3,0)*0.475*44/12</f>
        <v>9.0843879234948894E-13</v>
      </c>
      <c r="AX153" s="21">
        <f t="shared" si="114"/>
        <v>24.804401177824758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68.877183765969107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1.1368683772161603E-12</v>
      </c>
      <c r="BE153" s="13">
        <f>BD153*VLOOKUP('Données projet'!$B$11,Paramètres!$A$1:$I$89,3,0)*VLOOKUP('Données projet'!$B$11,Paramètres!$A$1:$I$89,5,0)</f>
        <v>5.3205440053716299E-13</v>
      </c>
      <c r="BF153" s="13">
        <f t="shared" si="145"/>
        <v>6.579711042921201E-12</v>
      </c>
      <c r="BG153" s="20">
        <f t="shared" si="115"/>
        <v>1.2386324814023317E-11</v>
      </c>
      <c r="BH153" s="59">
        <f t="shared" si="116"/>
        <v>289.21634047523247</v>
      </c>
      <c r="BI153" s="59">
        <f ca="1">AVERAGE(OFFSET($BH$3,0,0,'Données projet'!$E$11+1,1))-AVERAGE(OFFSET($H$3,0,0,'Données projet'!$E$11+1,1))</f>
        <v>308.70979446846718</v>
      </c>
      <c r="BJ153" s="59">
        <f t="shared" si="146"/>
        <v>202.33469175293314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100.06625630105664</v>
      </c>
      <c r="BQ153" s="21">
        <f>EXP(-LN(2)/25)*BQ152+(1-EXP(-LN(2)/25))/(LN(2)/25)*Calculateur!BL153*Calculateur!BN153*VLOOKUP('Données projet'!$B$11,Paramètres!$A$1:$I$89,3,0)*0.475*44/12</f>
        <v>20.55748328222117</v>
      </c>
      <c r="BR153" s="21">
        <f>EXP(-LN(2)/2)*BR152+(1-EXP(-LN(2)/2))/(LN(2)/2)*BL153*BO153*VLOOKUP('Données projet'!$B$11,Paramètres!$A$1:$I$89,3,0)*0.475*44/12</f>
        <v>2.5707423353796621E-2</v>
      </c>
      <c r="BS153" s="22">
        <f t="shared" si="117"/>
        <v>120.6494470066316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68.877183765969107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68.877183765969107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68.877183765969107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68.877183765969107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68.877183765969107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68.877183765969107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68.877183765969107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3.1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11.366666666666667</v>
      </c>
      <c r="H154" s="67">
        <f t="shared" si="110"/>
        <v>211.20000000000002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68.896662117388502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369.06880001017635</v>
      </c>
      <c r="T154" s="59">
        <f t="shared" si="142"/>
        <v>331.91233237772281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40.380649017807272</v>
      </c>
      <c r="AA154" s="21">
        <f>EXP(-LN(2)/25)*AA153+(1-EXP(-LN(2)/25))/(LN(2)/25)*Calculateur!V154*Calculateur!X154*VLOOKUP('Données projet'!$B$9,Paramètres!$A$1:$I$89,3,0)*0.475*44/12</f>
        <v>5.3005925643744805</v>
      </c>
      <c r="AB154" s="21">
        <f>EXP(-LN(2)/2)*AB153+(1-EXP(-LN(2)/2))/(LN(2)/2)*V154*Y154*VLOOKUP('Données projet'!$B$9,Paramètres!$A$1:$I$89,3,0)*0.475*44/12</f>
        <v>2.4021509728929275E-10</v>
      </c>
      <c r="AC154" s="22">
        <f t="shared" ref="AC154:AC203" si="163">SUM(Z154:AB154)</f>
        <v>45.681241582421968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68.896662117388502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-5.6843418860808015E-14</v>
      </c>
      <c r="AJ154" s="13">
        <f>AI154*VLOOKUP('Données projet'!$B$10,Paramètres!$A$1:$I$89,3,0)*VLOOKUP('Données projet'!$B$10,Paramètres!$A$1:$I$89,5,0)</f>
        <v>-3.3992364478763198E-14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270.29397440778314</v>
      </c>
      <c r="AO154" s="59">
        <f t="shared" si="144"/>
        <v>281.95928682679596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21.39615499450754</v>
      </c>
      <c r="AV154" s="21">
        <f>EXP(-LN(2)/25)*AV153+(1-EXP(-LN(2)/25))/(LN(2)/25)*Calculateur!AQ154*Calculateur!AS154*VLOOKUP('Données projet'!$B$10,Paramètres!$A$1:$I$89,3,0)*0.475*44/12</f>
        <v>2.8987924981945823</v>
      </c>
      <c r="AW154" s="21">
        <f>EXP(-LN(2)/2)*AW153+(1-EXP(-LN(2)/2))/(LN(2)/2)*AQ154*AT154*VLOOKUP('Données projet'!$B$10,Paramètres!$A$1:$I$89,3,0)*0.475*44/12</f>
        <v>6.4236323036324163E-13</v>
      </c>
      <c r="AX154" s="21">
        <f t="shared" ref="AX154:AX203" si="166">SUM(AU154:AW154)</f>
        <v>24.294947492702764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68.896662117388502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1.1368683772161603E-12</v>
      </c>
      <c r="BE154" s="13">
        <f>BD154*VLOOKUP('Données projet'!$B$11,Paramètres!$A$1:$I$89,3,0)*VLOOKUP('Données projet'!$B$11,Paramètres!$A$1:$I$89,5,0)</f>
        <v>5.3205440053716299E-13</v>
      </c>
      <c r="BF154" s="13">
        <f t="shared" ref="BF154:BF203" si="167">EXP(-1.0587+0.8836*LN(BE154)+0.284)</f>
        <v>6.579711042921201E-12</v>
      </c>
      <c r="BG154" s="20">
        <f t="shared" ref="BG154:BG203" si="168">(BE154+BF154)*0.475*44/12</f>
        <v>1.2386324814023317E-11</v>
      </c>
      <c r="BH154" s="59">
        <f t="shared" si="116"/>
        <v>289.28776109710356</v>
      </c>
      <c r="BI154" s="59">
        <f ca="1">AVERAGE(OFFSET($BH$3,0,0,'Données projet'!$E$11+1,1))-AVERAGE(OFFSET($H$3,0,0,'Données projet'!$E$11+1,1))</f>
        <v>308.70979446846718</v>
      </c>
      <c r="BJ154" s="59">
        <f t="shared" si="146"/>
        <v>202.33469175293314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98.104018049382617</v>
      </c>
      <c r="BQ154" s="21">
        <f>EXP(-LN(2)/25)*BQ153+(1-EXP(-LN(2)/25))/(LN(2)/25)*Calculateur!BL154*Calculateur!BN154*VLOOKUP('Données projet'!$B$11,Paramètres!$A$1:$I$89,3,0)*0.475*44/12</f>
        <v>19.995337820797772</v>
      </c>
      <c r="BR154" s="21">
        <f>EXP(-LN(2)/2)*BR153+(1-EXP(-LN(2)/2))/(LN(2)/2)*BL154*BO154*VLOOKUP('Données projet'!$B$11,Paramètres!$A$1:$I$89,3,0)*0.475*44/12</f>
        <v>1.8177893380303008E-2</v>
      </c>
      <c r="BS154" s="22">
        <f t="shared" ref="BS154:BS203" si="169">SUM(BP154:BR154)</f>
        <v>118.11753376356069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68.896662117388502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68.896662117388502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68.896662117388502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68.896662117388502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68.896662117388502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68.896662117388502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68.896662117388502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3.1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11.366666666666667</v>
      </c>
      <c r="H155" s="67">
        <f t="shared" si="110"/>
        <v>211.20000000000002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68.91580256295785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369.06880001017635</v>
      </c>
      <c r="T155" s="59">
        <f t="shared" si="142"/>
        <v>331.91233237772281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39.588809120331987</v>
      </c>
      <c r="AA155" s="21">
        <f>EXP(-LN(2)/25)*AA154+(1-EXP(-LN(2)/25))/(LN(2)/25)*Calculateur!V155*Calculateur!X155*VLOOKUP('Données projet'!$B$9,Paramètres!$A$1:$I$89,3,0)*0.475*44/12</f>
        <v>5.1556475819556118</v>
      </c>
      <c r="AB155" s="21">
        <f>EXP(-LN(2)/2)*AB154+(1-EXP(-LN(2)/2))/(LN(2)/2)*V155*Y155*VLOOKUP('Données projet'!$B$9,Paramètres!$A$1:$I$89,3,0)*0.475*44/12</f>
        <v>1.6985772423664515E-10</v>
      </c>
      <c r="AC155" s="22">
        <f t="shared" si="163"/>
        <v>44.744456702457455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68.91580256295785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-5.6843418860808015E-14</v>
      </c>
      <c r="AJ155" s="13">
        <f>AI155*VLOOKUP('Données projet'!$B$10,Paramètres!$A$1:$I$89,3,0)*VLOOKUP('Données projet'!$B$10,Paramètres!$A$1:$I$89,5,0)</f>
        <v>-3.3992364478763198E-14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270.29397440778314</v>
      </c>
      <c r="AO155" s="59">
        <f t="shared" si="144"/>
        <v>281.95928682679596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20.976589445431177</v>
      </c>
      <c r="AV155" s="21">
        <f>EXP(-LN(2)/25)*AV154+(1-EXP(-LN(2)/25))/(LN(2)/25)*Calculateur!AQ155*Calculateur!AS155*VLOOKUP('Données projet'!$B$10,Paramètres!$A$1:$I$89,3,0)*0.475*44/12</f>
        <v>2.8195248648905791</v>
      </c>
      <c r="AW155" s="21">
        <f>EXP(-LN(2)/2)*AW154+(1-EXP(-LN(2)/2))/(LN(2)/2)*AQ155*AT155*VLOOKUP('Données projet'!$B$10,Paramètres!$A$1:$I$89,3,0)*0.475*44/12</f>
        <v>4.5421939617474457E-13</v>
      </c>
      <c r="AX155" s="21">
        <f t="shared" si="166"/>
        <v>23.79611431032221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68.91580256295785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1.1368683772161603E-12</v>
      </c>
      <c r="BE155" s="13">
        <f>BD155*VLOOKUP('Données projet'!$B$11,Paramètres!$A$1:$I$89,3,0)*VLOOKUP('Données projet'!$B$11,Paramètres!$A$1:$I$89,5,0)</f>
        <v>5.3205440053716299E-13</v>
      </c>
      <c r="BF155" s="13">
        <f t="shared" si="167"/>
        <v>6.579711042921201E-12</v>
      </c>
      <c r="BG155" s="20">
        <f t="shared" si="168"/>
        <v>1.2386324814023317E-11</v>
      </c>
      <c r="BH155" s="59">
        <f t="shared" si="116"/>
        <v>289.35794273085781</v>
      </c>
      <c r="BI155" s="59">
        <f ca="1">AVERAGE(OFFSET($BH$3,0,0,'Données projet'!$E$11+1,1))-AVERAGE(OFFSET($H$3,0,0,'Données projet'!$E$11+1,1))</f>
        <v>308.70979446846718</v>
      </c>
      <c r="BJ155" s="59">
        <f t="shared" si="146"/>
        <v>202.33469175293314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96.180258092976771</v>
      </c>
      <c r="BQ155" s="21">
        <f>EXP(-LN(2)/25)*BQ154+(1-EXP(-LN(2)/25))/(LN(2)/25)*Calculateur!BL155*Calculateur!BN155*VLOOKUP('Données projet'!$B$11,Paramètres!$A$1:$I$89,3,0)*0.475*44/12</f>
        <v>19.448564256578941</v>
      </c>
      <c r="BR155" s="21">
        <f>EXP(-LN(2)/2)*BR154+(1-EXP(-LN(2)/2))/(LN(2)/2)*BL155*BO155*VLOOKUP('Données projet'!$B$11,Paramètres!$A$1:$I$89,3,0)*0.475*44/12</f>
        <v>1.285371167689831E-2</v>
      </c>
      <c r="BS155" s="22">
        <f t="shared" si="169"/>
        <v>115.64167606123262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68.91580256295785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68.91580256295785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68.91580256295785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68.91580256295785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68.91580256295785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68.91580256295785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68.91580256295785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3.1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11.366666666666667</v>
      </c>
      <c r="H156" s="67">
        <f t="shared" si="110"/>
        <v>211.20000000000002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68.934610964588188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369.06880001017635</v>
      </c>
      <c r="T156" s="59">
        <f t="shared" si="142"/>
        <v>331.91233237772281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38.81249672027154</v>
      </c>
      <c r="AA156" s="21">
        <f>EXP(-LN(2)/25)*AA155+(1-EXP(-LN(2)/25))/(LN(2)/25)*Calculateur!V156*Calculateur!X156*VLOOKUP('Données projet'!$B$9,Paramètres!$A$1:$I$89,3,0)*0.475*44/12</f>
        <v>5.0146661277033129</v>
      </c>
      <c r="AB156" s="21">
        <f>EXP(-LN(2)/2)*AB155+(1-EXP(-LN(2)/2))/(LN(2)/2)*V156*Y156*VLOOKUP('Données projet'!$B$9,Paramètres!$A$1:$I$89,3,0)*0.475*44/12</f>
        <v>1.2010754864464638E-10</v>
      </c>
      <c r="AC156" s="22">
        <f t="shared" si="163"/>
        <v>43.827162848094964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68.934610964588188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-5.6843418860808015E-14</v>
      </c>
      <c r="AJ156" s="13">
        <f>AI156*VLOOKUP('Données projet'!$B$10,Paramètres!$A$1:$I$89,3,0)*VLOOKUP('Données projet'!$B$10,Paramètres!$A$1:$I$89,5,0)</f>
        <v>-3.3992364478763198E-14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270.29397440778314</v>
      </c>
      <c r="AO156" s="59">
        <f t="shared" si="144"/>
        <v>281.95928682679596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20.565251320862487</v>
      </c>
      <c r="AV156" s="21">
        <f>EXP(-LN(2)/25)*AV155+(1-EXP(-LN(2)/25))/(LN(2)/25)*Calculateur!AQ156*Calculateur!AS156*VLOOKUP('Données projet'!$B$10,Paramètres!$A$1:$I$89,3,0)*0.475*44/12</f>
        <v>2.7424248091877779</v>
      </c>
      <c r="AW156" s="21">
        <f>EXP(-LN(2)/2)*AW155+(1-EXP(-LN(2)/2))/(LN(2)/2)*AQ156*AT156*VLOOKUP('Données projet'!$B$10,Paramètres!$A$1:$I$89,3,0)*0.475*44/12</f>
        <v>3.2118161518162087E-13</v>
      </c>
      <c r="AX156" s="21">
        <f t="shared" si="166"/>
        <v>23.307676130050584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68.934610964588188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1.1368683772161603E-12</v>
      </c>
      <c r="BE156" s="13">
        <f>BD156*VLOOKUP('Données projet'!$B$11,Paramètres!$A$1:$I$89,3,0)*VLOOKUP('Données projet'!$B$11,Paramètres!$A$1:$I$89,5,0)</f>
        <v>5.3205440053716299E-13</v>
      </c>
      <c r="BF156" s="13">
        <f t="shared" si="167"/>
        <v>6.579711042921201E-12</v>
      </c>
      <c r="BG156" s="20">
        <f t="shared" si="168"/>
        <v>1.2386324814023317E-11</v>
      </c>
      <c r="BH156" s="59">
        <f t="shared" si="116"/>
        <v>289.42690687016909</v>
      </c>
      <c r="BI156" s="59">
        <f ca="1">AVERAGE(OFFSET($BH$3,0,0,'Données projet'!$E$11+1,1))-AVERAGE(OFFSET($H$3,0,0,'Données projet'!$E$11+1,1))</f>
        <v>308.70979446846718</v>
      </c>
      <c r="BJ156" s="59">
        <f t="shared" si="146"/>
        <v>202.33469175293314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94.294221895938335</v>
      </c>
      <c r="BQ156" s="21">
        <f>EXP(-LN(2)/25)*BQ155+(1-EXP(-LN(2)/25))/(LN(2)/25)*Calculateur!BL156*Calculateur!BN156*VLOOKUP('Données projet'!$B$11,Paramètres!$A$1:$I$89,3,0)*0.475*44/12</f>
        <v>18.916742244227244</v>
      </c>
      <c r="BR156" s="21">
        <f>EXP(-LN(2)/2)*BR155+(1-EXP(-LN(2)/2))/(LN(2)/2)*BL156*BO156*VLOOKUP('Données projet'!$B$11,Paramètres!$A$1:$I$89,3,0)*0.475*44/12</f>
        <v>9.0889466901515042E-3</v>
      </c>
      <c r="BS156" s="22">
        <f t="shared" si="169"/>
        <v>113.22005308685573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68.934610964588188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68.934610964588188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68.934610964588188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68.934610964588188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68.934610964588188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68.934610964588188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68.934610964588188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3.1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11.366666666666667</v>
      </c>
      <c r="H157" s="67">
        <f t="shared" si="110"/>
        <v>211.20000000000002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68.953093082499521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369.06880001017635</v>
      </c>
      <c r="T157" s="59">
        <f t="shared" si="142"/>
        <v>331.91233237772281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38.051407332872472</v>
      </c>
      <c r="AA157" s="21">
        <f>EXP(-LN(2)/25)*AA156+(1-EXP(-LN(2)/25))/(LN(2)/25)*Calculateur!V157*Calculateur!X157*VLOOKUP('Données projet'!$B$9,Paramètres!$A$1:$I$89,3,0)*0.475*44/12</f>
        <v>4.8775398187314352</v>
      </c>
      <c r="AB157" s="21">
        <f>EXP(-LN(2)/2)*AB156+(1-EXP(-LN(2)/2))/(LN(2)/2)*V157*Y157*VLOOKUP('Données projet'!$B$9,Paramètres!$A$1:$I$89,3,0)*0.475*44/12</f>
        <v>8.4928862118322577E-11</v>
      </c>
      <c r="AC157" s="22">
        <f t="shared" si="163"/>
        <v>42.928947151688838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68.953093082499521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-5.6843418860808015E-14</v>
      </c>
      <c r="AJ157" s="13">
        <f>AI157*VLOOKUP('Données projet'!$B$10,Paramètres!$A$1:$I$89,3,0)*VLOOKUP('Données projet'!$B$10,Paramètres!$A$1:$I$89,5,0)</f>
        <v>-3.3992364478763198E-14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270.29397440778314</v>
      </c>
      <c r="AO157" s="59">
        <f t="shared" si="144"/>
        <v>281.95928682679596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20.161979286025105</v>
      </c>
      <c r="AV157" s="21">
        <f>EXP(-LN(2)/25)*AV156+(1-EXP(-LN(2)/25))/(LN(2)/25)*Calculateur!AQ157*Calculateur!AS157*VLOOKUP('Données projet'!$B$10,Paramètres!$A$1:$I$89,3,0)*0.475*44/12</f>
        <v>2.6674330585626853</v>
      </c>
      <c r="AW157" s="21">
        <f>EXP(-LN(2)/2)*AW156+(1-EXP(-LN(2)/2))/(LN(2)/2)*AQ157*AT157*VLOOKUP('Données projet'!$B$10,Paramètres!$A$1:$I$89,3,0)*0.475*44/12</f>
        <v>2.2710969808737231E-13</v>
      </c>
      <c r="AX157" s="21">
        <f t="shared" si="166"/>
        <v>22.829412344588018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68.953093082499521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1.1368683772161603E-12</v>
      </c>
      <c r="BE157" s="13">
        <f>BD157*VLOOKUP('Données projet'!$B$11,Paramètres!$A$1:$I$89,3,0)*VLOOKUP('Données projet'!$B$11,Paramètres!$A$1:$I$89,5,0)</f>
        <v>5.3205440053716299E-13</v>
      </c>
      <c r="BF157" s="13">
        <f t="shared" si="167"/>
        <v>6.579711042921201E-12</v>
      </c>
      <c r="BG157" s="20">
        <f t="shared" si="168"/>
        <v>1.2386324814023317E-11</v>
      </c>
      <c r="BH157" s="59">
        <f t="shared" si="116"/>
        <v>289.49467463584398</v>
      </c>
      <c r="BI157" s="59">
        <f ca="1">AVERAGE(OFFSET($BH$3,0,0,'Données projet'!$E$11+1,1))-AVERAGE(OFFSET($H$3,0,0,'Données projet'!$E$11+1,1))</f>
        <v>308.70979446846718</v>
      </c>
      <c r="BJ157" s="59">
        <f t="shared" si="146"/>
        <v>202.33469175293314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92.445169718355331</v>
      </c>
      <c r="BQ157" s="21">
        <f>EXP(-LN(2)/25)*BQ156+(1-EXP(-LN(2)/25))/(LN(2)/25)*Calculateur!BL157*Calculateur!BN157*VLOOKUP('Données projet'!$B$11,Paramètres!$A$1:$I$89,3,0)*0.475*44/12</f>
        <v>18.399462932770611</v>
      </c>
      <c r="BR157" s="21">
        <f>EXP(-LN(2)/2)*BR156+(1-EXP(-LN(2)/2))/(LN(2)/2)*BL157*BO157*VLOOKUP('Données projet'!$B$11,Paramètres!$A$1:$I$89,3,0)*0.475*44/12</f>
        <v>6.4268558384491551E-3</v>
      </c>
      <c r="BS157" s="22">
        <f t="shared" si="169"/>
        <v>110.8510595069644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68.953093082499521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68.953093082499521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68.953093082499521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68.953093082499521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68.953093082499521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68.953093082499521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68.953093082499521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3.1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11.366666666666667</v>
      </c>
      <c r="H158" s="67">
        <f t="shared" si="110"/>
        <v>211.20000000000002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68.971254576984933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369.06880001017635</v>
      </c>
      <c r="T158" s="59">
        <f t="shared" si="142"/>
        <v>331.91233237772281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37.305242444141612</v>
      </c>
      <c r="AA158" s="21">
        <f>EXP(-LN(2)/25)*AA157+(1-EXP(-LN(2)/25))/(LN(2)/25)*Calculateur!V158*Calculateur!X158*VLOOKUP('Données projet'!$B$9,Paramètres!$A$1:$I$89,3,0)*0.475*44/12</f>
        <v>4.7441632358895527</v>
      </c>
      <c r="AB158" s="21">
        <f>EXP(-LN(2)/2)*AB157+(1-EXP(-LN(2)/2))/(LN(2)/2)*V158*Y158*VLOOKUP('Données projet'!$B$9,Paramètres!$A$1:$I$89,3,0)*0.475*44/12</f>
        <v>6.0053774322323188E-11</v>
      </c>
      <c r="AC158" s="22">
        <f t="shared" si="163"/>
        <v>42.049405680091219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68.971254576984933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-5.6843418860808015E-14</v>
      </c>
      <c r="AJ158" s="13">
        <f>AI158*VLOOKUP('Données projet'!$B$10,Paramètres!$A$1:$I$89,3,0)*VLOOKUP('Données projet'!$B$10,Paramètres!$A$1:$I$89,5,0)</f>
        <v>-3.3992364478763198E-14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270.29397440778314</v>
      </c>
      <c r="AO158" s="59">
        <f t="shared" si="144"/>
        <v>281.95928682679596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19.766615169819229</v>
      </c>
      <c r="AV158" s="21">
        <f>EXP(-LN(2)/25)*AV157+(1-EXP(-LN(2)/25))/(LN(2)/25)*Calculateur!AQ158*Calculateur!AS158*VLOOKUP('Données projet'!$B$10,Paramètres!$A$1:$I$89,3,0)*0.475*44/12</f>
        <v>2.5944919613020807</v>
      </c>
      <c r="AW158" s="21">
        <f>EXP(-LN(2)/2)*AW157+(1-EXP(-LN(2)/2))/(LN(2)/2)*AQ158*AT158*VLOOKUP('Données projet'!$B$10,Paramètres!$A$1:$I$89,3,0)*0.475*44/12</f>
        <v>1.6059080759081046E-13</v>
      </c>
      <c r="AX158" s="21">
        <f t="shared" si="166"/>
        <v>22.361107131121468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68.971254576984933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1.1368683772161603E-12</v>
      </c>
      <c r="BE158" s="13">
        <f>BD158*VLOOKUP('Données projet'!$B$11,Paramètres!$A$1:$I$89,3,0)*VLOOKUP('Données projet'!$B$11,Paramètres!$A$1:$I$89,5,0)</f>
        <v>5.3205440053716299E-13</v>
      </c>
      <c r="BF158" s="13">
        <f t="shared" si="167"/>
        <v>6.579711042921201E-12</v>
      </c>
      <c r="BG158" s="20">
        <f t="shared" si="168"/>
        <v>1.2386324814023317E-11</v>
      </c>
      <c r="BH158" s="59">
        <f t="shared" si="116"/>
        <v>289.56126678229049</v>
      </c>
      <c r="BI158" s="59">
        <f ca="1">AVERAGE(OFFSET($BH$3,0,0,'Données projet'!$E$11+1,1))-AVERAGE(OFFSET($H$3,0,0,'Données projet'!$E$11+1,1))</f>
        <v>308.70979446846718</v>
      </c>
      <c r="BJ158" s="59">
        <f t="shared" si="146"/>
        <v>202.33469175293314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90.632376326164263</v>
      </c>
      <c r="BQ158" s="21">
        <f>EXP(-LN(2)/25)*BQ157+(1-EXP(-LN(2)/25))/(LN(2)/25)*Calculateur!BL158*Calculateur!BN158*VLOOKUP('Données projet'!$B$11,Paramètres!$A$1:$I$89,3,0)*0.475*44/12</f>
        <v>17.896328651288297</v>
      </c>
      <c r="BR158" s="21">
        <f>EXP(-LN(2)/2)*BR157+(1-EXP(-LN(2)/2))/(LN(2)/2)*BL158*BO158*VLOOKUP('Données projet'!$B$11,Paramètres!$A$1:$I$89,3,0)*0.475*44/12</f>
        <v>4.5444733450757521E-3</v>
      </c>
      <c r="BS158" s="22">
        <f t="shared" si="169"/>
        <v>108.53324945079764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68.971254576984933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68.971254576984933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68.971254576984933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68.971254576984933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68.971254576984933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68.971254576984933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68.971254576984933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3.1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11.366666666666667</v>
      </c>
      <c r="H159" s="67">
        <f t="shared" si="110"/>
        <v>211.20000000000002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68.989101010144026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369.06880001017635</v>
      </c>
      <c r="T159" s="59">
        <f t="shared" si="142"/>
        <v>331.91233237772281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36.573709393763117</v>
      </c>
      <c r="AA159" s="21">
        <f>EXP(-LN(2)/25)*AA158+(1-EXP(-LN(2)/25))/(LN(2)/25)*Calculateur!V159*Calculateur!X159*VLOOKUP('Données projet'!$B$9,Paramètres!$A$1:$I$89,3,0)*0.475*44/12</f>
        <v>4.6144338427194516</v>
      </c>
      <c r="AB159" s="21">
        <f>EXP(-LN(2)/2)*AB158+(1-EXP(-LN(2)/2))/(LN(2)/2)*V159*Y159*VLOOKUP('Données projet'!$B$9,Paramètres!$A$1:$I$89,3,0)*0.475*44/12</f>
        <v>4.2464431059161289E-11</v>
      </c>
      <c r="AC159" s="22">
        <f t="shared" si="163"/>
        <v>41.188143236525029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68.989101010144026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-5.6843418860808015E-14</v>
      </c>
      <c r="AJ159" s="13">
        <f>AI159*VLOOKUP('Données projet'!$B$10,Paramètres!$A$1:$I$89,3,0)*VLOOKUP('Données projet'!$B$10,Paramètres!$A$1:$I$89,5,0)</f>
        <v>-3.3992364478763198E-14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270.29397440778314</v>
      </c>
      <c r="AO159" s="59">
        <f t="shared" si="144"/>
        <v>281.95928682679596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19.379003902783854</v>
      </c>
      <c r="AV159" s="21">
        <f>EXP(-LN(2)/25)*AV158+(1-EXP(-LN(2)/25))/(LN(2)/25)*Calculateur!AQ159*Calculateur!AS159*VLOOKUP('Données projet'!$B$10,Paramètres!$A$1:$I$89,3,0)*0.475*44/12</f>
        <v>2.5235454421818728</v>
      </c>
      <c r="AW159" s="21">
        <f>EXP(-LN(2)/2)*AW158+(1-EXP(-LN(2)/2))/(LN(2)/2)*AQ159*AT159*VLOOKUP('Données projet'!$B$10,Paramètres!$A$1:$I$89,3,0)*0.475*44/12</f>
        <v>1.1355484904368617E-13</v>
      </c>
      <c r="AX159" s="21">
        <f t="shared" si="166"/>
        <v>21.902549344965841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68.989101010144026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1.1368683772161603E-12</v>
      </c>
      <c r="BE159" s="13">
        <f>BD159*VLOOKUP('Données projet'!$B$11,Paramètres!$A$1:$I$89,3,0)*VLOOKUP('Données projet'!$B$11,Paramètres!$A$1:$I$89,5,0)</f>
        <v>5.3205440053716299E-13</v>
      </c>
      <c r="BF159" s="13">
        <f t="shared" si="167"/>
        <v>6.579711042921201E-12</v>
      </c>
      <c r="BG159" s="20">
        <f t="shared" si="168"/>
        <v>1.2386324814023317E-11</v>
      </c>
      <c r="BH159" s="59">
        <f t="shared" si="116"/>
        <v>289.62670370387383</v>
      </c>
      <c r="BI159" s="59">
        <f ca="1">AVERAGE(OFFSET($BH$3,0,0,'Données projet'!$E$11+1,1))-AVERAGE(OFFSET($H$3,0,0,'Données projet'!$E$11+1,1))</f>
        <v>308.70979446846718</v>
      </c>
      <c r="BJ159" s="59">
        <f t="shared" si="146"/>
        <v>202.33469175293314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88.855130706699271</v>
      </c>
      <c r="BQ159" s="21">
        <f>EXP(-LN(2)/25)*BQ158+(1-EXP(-LN(2)/25))/(LN(2)/25)*Calculateur!BL159*Calculateur!BN159*VLOOKUP('Données projet'!$B$11,Paramètres!$A$1:$I$89,3,0)*0.475*44/12</f>
        <v>17.406952603191797</v>
      </c>
      <c r="BR159" s="21">
        <f>EXP(-LN(2)/2)*BR158+(1-EXP(-LN(2)/2))/(LN(2)/2)*BL159*BO159*VLOOKUP('Données projet'!$B$11,Paramètres!$A$1:$I$89,3,0)*0.475*44/12</f>
        <v>3.2134279192245776E-3</v>
      </c>
      <c r="BS159" s="22">
        <f t="shared" si="169"/>
        <v>106.26529673781029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68.989101010144026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68.989101010144026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68.989101010144026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68.989101010144026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68.989101010144026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68.989101010144026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68.989101010144026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3.1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11.366666666666667</v>
      </c>
      <c r="H160" s="67">
        <f t="shared" si="110"/>
        <v>211.20000000000002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69.006637847586461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369.06880001017635</v>
      </c>
      <c r="T160" s="59">
        <f t="shared" si="142"/>
        <v>331.91233237772281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35.856521260311446</v>
      </c>
      <c r="AA160" s="21">
        <f>EXP(-LN(2)/25)*AA159+(1-EXP(-LN(2)/25))/(LN(2)/25)*Calculateur!V160*Calculateur!X160*VLOOKUP('Données projet'!$B$9,Paramètres!$A$1:$I$89,3,0)*0.475*44/12</f>
        <v>4.4882519066277586</v>
      </c>
      <c r="AB160" s="21">
        <f>EXP(-LN(2)/2)*AB159+(1-EXP(-LN(2)/2))/(LN(2)/2)*V160*Y160*VLOOKUP('Données projet'!$B$9,Paramètres!$A$1:$I$89,3,0)*0.475*44/12</f>
        <v>3.0026887161161594E-11</v>
      </c>
      <c r="AC160" s="22">
        <f t="shared" si="163"/>
        <v>40.344773166969233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69.006637847586461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-5.6843418860808015E-14</v>
      </c>
      <c r="AJ160" s="13">
        <f>AI160*VLOOKUP('Données projet'!$B$10,Paramètres!$A$1:$I$89,3,0)*VLOOKUP('Données projet'!$B$10,Paramètres!$A$1:$I$89,5,0)</f>
        <v>-3.3992364478763198E-14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270.29397440778314</v>
      </c>
      <c r="AO160" s="59">
        <f t="shared" si="144"/>
        <v>281.95928682679596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18.998993456275514</v>
      </c>
      <c r="AV160" s="21">
        <f>EXP(-LN(2)/25)*AV159+(1-EXP(-LN(2)/25))/(LN(2)/25)*Calculateur!AQ160*Calculateur!AS160*VLOOKUP('Données projet'!$B$10,Paramètres!$A$1:$I$89,3,0)*0.475*44/12</f>
        <v>2.4545389593579223</v>
      </c>
      <c r="AW160" s="21">
        <f>EXP(-LN(2)/2)*AW159+(1-EXP(-LN(2)/2))/(LN(2)/2)*AQ160*AT160*VLOOKUP('Données projet'!$B$10,Paramètres!$A$1:$I$89,3,0)*0.475*44/12</f>
        <v>8.0295403795405242E-14</v>
      </c>
      <c r="AX160" s="21">
        <f t="shared" si="166"/>
        <v>21.453532415633518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69.006637847586461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1.1368683772161603E-12</v>
      </c>
      <c r="BE160" s="13">
        <f>BD160*VLOOKUP('Données projet'!$B$11,Paramètres!$A$1:$I$89,3,0)*VLOOKUP('Données projet'!$B$11,Paramètres!$A$1:$I$89,5,0)</f>
        <v>5.3205440053716299E-13</v>
      </c>
      <c r="BF160" s="13">
        <f t="shared" si="167"/>
        <v>6.579711042921201E-12</v>
      </c>
      <c r="BG160" s="20">
        <f t="shared" si="168"/>
        <v>1.2386324814023317E-11</v>
      </c>
      <c r="BH160" s="59">
        <f t="shared" si="116"/>
        <v>289.69100544116276</v>
      </c>
      <c r="BI160" s="59">
        <f ca="1">AVERAGE(OFFSET($BH$3,0,0,'Données projet'!$E$11+1,1))-AVERAGE(OFFSET($H$3,0,0,'Données projet'!$E$11+1,1))</f>
        <v>308.70979446846718</v>
      </c>
      <c r="BJ160" s="59">
        <f t="shared" si="146"/>
        <v>202.33469175293314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87.112735789819197</v>
      </c>
      <c r="BQ160" s="21">
        <f>EXP(-LN(2)/25)*BQ159+(1-EXP(-LN(2)/25))/(LN(2)/25)*Calculateur!BL160*Calculateur!BN160*VLOOKUP('Données projet'!$B$11,Paramètres!$A$1:$I$89,3,0)*0.475*44/12</f>
        <v>16.930958568865666</v>
      </c>
      <c r="BR160" s="21">
        <f>EXP(-LN(2)/2)*BR159+(1-EXP(-LN(2)/2))/(LN(2)/2)*BL160*BO160*VLOOKUP('Données projet'!$B$11,Paramètres!$A$1:$I$89,3,0)*0.475*44/12</f>
        <v>2.272236672537876E-3</v>
      </c>
      <c r="BS160" s="22">
        <f t="shared" si="169"/>
        <v>104.0459665953574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69.006637847586461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69.006637847586461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69.006637847586461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69.006637847586461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69.006637847586461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69.006637847586461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69.006637847586461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3.1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11.366666666666667</v>
      </c>
      <c r="H161" s="67">
        <f t="shared" si="110"/>
        <v>211.20000000000002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69.023870460105769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369.06880001017635</v>
      </c>
      <c r="T161" s="59">
        <f t="shared" si="142"/>
        <v>331.91233237772281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35.153396748715195</v>
      </c>
      <c r="AA161" s="21">
        <f>EXP(-LN(2)/25)*AA160+(1-EXP(-LN(2)/25))/(LN(2)/25)*Calculateur!V161*Calculateur!X161*VLOOKUP('Données projet'!$B$9,Paramètres!$A$1:$I$89,3,0)*0.475*44/12</f>
        <v>4.3655204222141126</v>
      </c>
      <c r="AB161" s="21">
        <f>EXP(-LN(2)/2)*AB160+(1-EXP(-LN(2)/2))/(LN(2)/2)*V161*Y161*VLOOKUP('Données projet'!$B$9,Paramètres!$A$1:$I$89,3,0)*0.475*44/12</f>
        <v>2.1232215529580644E-11</v>
      </c>
      <c r="AC161" s="22">
        <f t="shared" si="163"/>
        <v>39.518917170950537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69.023870460105769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-5.6843418860808015E-14</v>
      </c>
      <c r="AJ161" s="13">
        <f>AI161*VLOOKUP('Données projet'!$B$10,Paramètres!$A$1:$I$89,3,0)*VLOOKUP('Données projet'!$B$10,Paramètres!$A$1:$I$89,5,0)</f>
        <v>-3.3992364478763198E-14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270.29397440778314</v>
      </c>
      <c r="AO161" s="59">
        <f t="shared" si="144"/>
        <v>281.95928682679596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18.626434782839716</v>
      </c>
      <c r="AV161" s="21">
        <f>EXP(-LN(2)/25)*AV160+(1-EXP(-LN(2)/25))/(LN(2)/25)*Calculateur!AQ161*Calculateur!AS161*VLOOKUP('Données projet'!$B$10,Paramètres!$A$1:$I$89,3,0)*0.475*44/12</f>
        <v>2.3874194624356861</v>
      </c>
      <c r="AW161" s="21">
        <f>EXP(-LN(2)/2)*AW160+(1-EXP(-LN(2)/2))/(LN(2)/2)*AQ161*AT161*VLOOKUP('Données projet'!$B$10,Paramètres!$A$1:$I$89,3,0)*0.475*44/12</f>
        <v>5.6777424521843096E-14</v>
      </c>
      <c r="AX161" s="21">
        <f t="shared" si="166"/>
        <v>21.013854245275461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69.023870460105769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1.1368683772161603E-12</v>
      </c>
      <c r="BE161" s="13">
        <f>BD161*VLOOKUP('Données projet'!$B$11,Paramètres!$A$1:$I$89,3,0)*VLOOKUP('Données projet'!$B$11,Paramètres!$A$1:$I$89,5,0)</f>
        <v>5.3205440053716299E-13</v>
      </c>
      <c r="BF161" s="13">
        <f t="shared" si="167"/>
        <v>6.579711042921201E-12</v>
      </c>
      <c r="BG161" s="20">
        <f t="shared" si="168"/>
        <v>1.2386324814023317E-11</v>
      </c>
      <c r="BH161" s="59">
        <f t="shared" si="116"/>
        <v>289.75419168706691</v>
      </c>
      <c r="BI161" s="59">
        <f ca="1">AVERAGE(OFFSET($BH$3,0,0,'Données projet'!$E$11+1,1))-AVERAGE(OFFSET($H$3,0,0,'Données projet'!$E$11+1,1))</f>
        <v>308.70979446846718</v>
      </c>
      <c r="BJ161" s="59">
        <f t="shared" si="146"/>
        <v>202.33469175293314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85.404508174503178</v>
      </c>
      <c r="BQ161" s="21">
        <f>EXP(-LN(2)/25)*BQ160+(1-EXP(-LN(2)/25))/(LN(2)/25)*Calculateur!BL161*Calculateur!BN161*VLOOKUP('Données projet'!$B$11,Paramètres!$A$1:$I$89,3,0)*0.475*44/12</f>
        <v>16.467980616439618</v>
      </c>
      <c r="BR161" s="21">
        <f>EXP(-LN(2)/2)*BR160+(1-EXP(-LN(2)/2))/(LN(2)/2)*BL161*BO161*VLOOKUP('Données projet'!$B$11,Paramètres!$A$1:$I$89,3,0)*0.475*44/12</f>
        <v>1.6067139596122888E-3</v>
      </c>
      <c r="BS161" s="22">
        <f t="shared" si="169"/>
        <v>101.87409550490241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69.023870460105769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69.023870460105769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69.023870460105769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69.023870460105769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69.023870460105769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69.023870460105769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69.023870460105769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3.1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11.366666666666667</v>
      </c>
      <c r="H162" s="67">
        <f t="shared" si="110"/>
        <v>211.20000000000002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69.040804125324215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369.06880001017635</v>
      </c>
      <c r="T162" s="59">
        <f t="shared" si="142"/>
        <v>331.91233237772281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34.464060079927741</v>
      </c>
      <c r="AA162" s="21">
        <f>EXP(-LN(2)/25)*AA161+(1-EXP(-LN(2)/25))/(LN(2)/25)*Calculateur!V162*Calculateur!X162*VLOOKUP('Données projet'!$B$9,Paramètres!$A$1:$I$89,3,0)*0.475*44/12</f>
        <v>4.2461450366959266</v>
      </c>
      <c r="AB162" s="21">
        <f>EXP(-LN(2)/2)*AB161+(1-EXP(-LN(2)/2))/(LN(2)/2)*V162*Y162*VLOOKUP('Données projet'!$B$9,Paramètres!$A$1:$I$89,3,0)*0.475*44/12</f>
        <v>1.5013443580580797E-11</v>
      </c>
      <c r="AC162" s="22">
        <f t="shared" si="163"/>
        <v>38.710205116638683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69.040804125324215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-5.6843418860808015E-14</v>
      </c>
      <c r="AJ162" s="13">
        <f>AI162*VLOOKUP('Données projet'!$B$10,Paramètres!$A$1:$I$89,3,0)*VLOOKUP('Données projet'!$B$10,Paramètres!$A$1:$I$89,5,0)</f>
        <v>-3.3992364478763198E-14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270.29397440778314</v>
      </c>
      <c r="AO162" s="59">
        <f t="shared" si="144"/>
        <v>281.95928682679596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18.26118175775164</v>
      </c>
      <c r="AV162" s="21">
        <f>EXP(-LN(2)/25)*AV161+(1-EXP(-LN(2)/25))/(LN(2)/25)*Calculateur!AQ162*Calculateur!AS162*VLOOKUP('Données projet'!$B$10,Paramètres!$A$1:$I$89,3,0)*0.475*44/12</f>
        <v>2.3221353516864491</v>
      </c>
      <c r="AW162" s="21">
        <f>EXP(-LN(2)/2)*AW161+(1-EXP(-LN(2)/2))/(LN(2)/2)*AQ162*AT162*VLOOKUP('Données projet'!$B$10,Paramètres!$A$1:$I$89,3,0)*0.475*44/12</f>
        <v>4.0147701897702627E-14</v>
      </c>
      <c r="AX162" s="21">
        <f t="shared" si="166"/>
        <v>20.583317109438127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69.040804125324215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1.1368683772161603E-12</v>
      </c>
      <c r="BE162" s="13">
        <f>BD162*VLOOKUP('Données projet'!$B$11,Paramètres!$A$1:$I$89,3,0)*VLOOKUP('Données projet'!$B$11,Paramètres!$A$1:$I$89,5,0)</f>
        <v>5.3205440053716299E-13</v>
      </c>
      <c r="BF162" s="13">
        <f t="shared" si="167"/>
        <v>6.579711042921201E-12</v>
      </c>
      <c r="BG162" s="20">
        <f t="shared" si="168"/>
        <v>1.2386324814023317E-11</v>
      </c>
      <c r="BH162" s="59">
        <f t="shared" si="116"/>
        <v>289.81628179286787</v>
      </c>
      <c r="BI162" s="59">
        <f ca="1">AVERAGE(OFFSET($BH$3,0,0,'Données projet'!$E$11+1,1))-AVERAGE(OFFSET($H$3,0,0,'Données projet'!$E$11+1,1))</f>
        <v>308.70979446846718</v>
      </c>
      <c r="BJ162" s="59">
        <f t="shared" si="146"/>
        <v>202.33469175293314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83.729777860807545</v>
      </c>
      <c r="BQ162" s="21">
        <f>EXP(-LN(2)/25)*BQ161+(1-EXP(-LN(2)/25))/(LN(2)/25)*Calculateur!BL162*Calculateur!BN162*VLOOKUP('Données projet'!$B$11,Paramètres!$A$1:$I$89,3,0)*0.475*44/12</f>
        <v>16.017662820469614</v>
      </c>
      <c r="BR162" s="21">
        <f>EXP(-LN(2)/2)*BR161+(1-EXP(-LN(2)/2))/(LN(2)/2)*BL162*BO162*VLOOKUP('Données projet'!$B$11,Paramètres!$A$1:$I$89,3,0)*0.475*44/12</f>
        <v>1.136118336268938E-3</v>
      </c>
      <c r="BS162" s="22">
        <f t="shared" si="169"/>
        <v>99.748576799613417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69.040804125324215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69.040804125324215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69.040804125324215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69.040804125324215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69.040804125324215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69.040804125324215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69.040804125324215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3.1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11.366666666666667</v>
      </c>
      <c r="H163" s="67">
        <f t="shared" si="110"/>
        <v>211.20000000000002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69.057444029309124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369.06880001017635</v>
      </c>
      <c r="T163" s="59">
        <f t="shared" si="142"/>
        <v>331.91233237772281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33.788240882761357</v>
      </c>
      <c r="AA163" s="21">
        <f>EXP(-LN(2)/25)*AA162+(1-EXP(-LN(2)/25))/(LN(2)/25)*Calculateur!V163*Calculateur!X163*VLOOKUP('Données projet'!$B$9,Paramètres!$A$1:$I$89,3,0)*0.475*44/12</f>
        <v>4.1300339773724133</v>
      </c>
      <c r="AB163" s="21">
        <f>EXP(-LN(2)/2)*AB162+(1-EXP(-LN(2)/2))/(LN(2)/2)*V163*Y163*VLOOKUP('Données projet'!$B$9,Paramètres!$A$1:$I$89,3,0)*0.475*44/12</f>
        <v>1.0616107764790322E-11</v>
      </c>
      <c r="AC163" s="22">
        <f t="shared" si="163"/>
        <v>37.918274860144386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69.057444029309124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-5.6843418860808015E-14</v>
      </c>
      <c r="AJ163" s="13">
        <f>AI163*VLOOKUP('Données projet'!$B$10,Paramètres!$A$1:$I$89,3,0)*VLOOKUP('Données projet'!$B$10,Paramètres!$A$1:$I$89,5,0)</f>
        <v>-3.3992364478763198E-14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270.29397440778314</v>
      </c>
      <c r="AO163" s="59">
        <f t="shared" si="144"/>
        <v>281.95928682679596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17.903091121703195</v>
      </c>
      <c r="AV163" s="21">
        <f>EXP(-LN(2)/25)*AV162+(1-EXP(-LN(2)/25))/(LN(2)/25)*Calculateur!AQ163*Calculateur!AS163*VLOOKUP('Données projet'!$B$10,Paramètres!$A$1:$I$89,3,0)*0.475*44/12</f>
        <v>2.2586364383787925</v>
      </c>
      <c r="AW163" s="21">
        <f>EXP(-LN(2)/2)*AW162+(1-EXP(-LN(2)/2))/(LN(2)/2)*AQ163*AT163*VLOOKUP('Données projet'!$B$10,Paramètres!$A$1:$I$89,3,0)*0.475*44/12</f>
        <v>2.8388712260921551E-14</v>
      </c>
      <c r="AX163" s="21">
        <f t="shared" si="166"/>
        <v>20.161727560082017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69.057444029309124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1.1368683772161603E-12</v>
      </c>
      <c r="BE163" s="13">
        <f>BD163*VLOOKUP('Données projet'!$B$11,Paramètres!$A$1:$I$89,3,0)*VLOOKUP('Données projet'!$B$11,Paramètres!$A$1:$I$89,5,0)</f>
        <v>5.3205440053716299E-13</v>
      </c>
      <c r="BF163" s="13">
        <f t="shared" si="167"/>
        <v>6.579711042921201E-12</v>
      </c>
      <c r="BG163" s="20">
        <f t="shared" si="168"/>
        <v>1.2386324814023317E-11</v>
      </c>
      <c r="BH163" s="59">
        <f t="shared" si="116"/>
        <v>289.87729477414581</v>
      </c>
      <c r="BI163" s="59">
        <f ca="1">AVERAGE(OFFSET($BH$3,0,0,'Données projet'!$E$11+1,1))-AVERAGE(OFFSET($H$3,0,0,'Données projet'!$E$11+1,1))</f>
        <v>308.70979446846718</v>
      </c>
      <c r="BJ163" s="59">
        <f t="shared" si="146"/>
        <v>202.33469175293314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82.087887987078844</v>
      </c>
      <c r="BQ163" s="21">
        <f>EXP(-LN(2)/25)*BQ162+(1-EXP(-LN(2)/25))/(LN(2)/25)*Calculateur!BL163*Calculateur!BN163*VLOOKUP('Données projet'!$B$11,Paramètres!$A$1:$I$89,3,0)*0.475*44/12</f>
        <v>15.579658988311593</v>
      </c>
      <c r="BR163" s="21">
        <f>EXP(-LN(2)/2)*BR162+(1-EXP(-LN(2)/2))/(LN(2)/2)*BL163*BO163*VLOOKUP('Données projet'!$B$11,Paramètres!$A$1:$I$89,3,0)*0.475*44/12</f>
        <v>8.0335697980614439E-4</v>
      </c>
      <c r="BS163" s="22">
        <f t="shared" si="169"/>
        <v>97.668350332370238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69.057444029309124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69.057444029309124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69.057444029309124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69.057444029309124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69.057444029309124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69.057444029309124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69.057444029309124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3.1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11.366666666666667</v>
      </c>
      <c r="H164" s="67">
        <f t="shared" si="110"/>
        <v>211.20000000000002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69.073795268161149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369.06880001017635</v>
      </c>
      <c r="T164" s="59">
        <f t="shared" si="142"/>
        <v>331.91233237772281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33.125674087842398</v>
      </c>
      <c r="AA164" s="21">
        <f>EXP(-LN(2)/25)*AA163+(1-EXP(-LN(2)/25))/(LN(2)/25)*Calculateur!V164*Calculateur!X164*VLOOKUP('Données projet'!$B$9,Paramètres!$A$1:$I$89,3,0)*0.475*44/12</f>
        <v>4.0170979810721175</v>
      </c>
      <c r="AB164" s="21">
        <f>EXP(-LN(2)/2)*AB163+(1-EXP(-LN(2)/2))/(LN(2)/2)*V164*Y164*VLOOKUP('Données projet'!$B$9,Paramètres!$A$1:$I$89,3,0)*0.475*44/12</f>
        <v>7.5067217902903984E-12</v>
      </c>
      <c r="AC164" s="22">
        <f t="shared" si="163"/>
        <v>37.142772068922021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69.073795268161149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-5.6843418860808015E-14</v>
      </c>
      <c r="AJ164" s="13">
        <f>AI164*VLOOKUP('Données projet'!$B$10,Paramètres!$A$1:$I$89,3,0)*VLOOKUP('Données projet'!$B$10,Paramètres!$A$1:$I$89,5,0)</f>
        <v>-3.3992364478763198E-14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270.29397440778314</v>
      </c>
      <c r="AO164" s="59">
        <f t="shared" si="144"/>
        <v>281.95928682679596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17.552022424613938</v>
      </c>
      <c r="AV164" s="21">
        <f>EXP(-LN(2)/25)*AV163+(1-EXP(-LN(2)/25))/(LN(2)/25)*Calculateur!AQ164*Calculateur!AS164*VLOOKUP('Données projet'!$B$10,Paramètres!$A$1:$I$89,3,0)*0.475*44/12</f>
        <v>2.1968739061947962</v>
      </c>
      <c r="AW164" s="21">
        <f>EXP(-LN(2)/2)*AW163+(1-EXP(-LN(2)/2))/(LN(2)/2)*AQ164*AT164*VLOOKUP('Données projet'!$B$10,Paramètres!$A$1:$I$89,3,0)*0.475*44/12</f>
        <v>2.0073850948851317E-14</v>
      </c>
      <c r="AX164" s="21">
        <f t="shared" si="166"/>
        <v>19.748896330808755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69.073795268161149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1.1368683772161603E-12</v>
      </c>
      <c r="BE164" s="13">
        <f>BD164*VLOOKUP('Données projet'!$B$11,Paramètres!$A$1:$I$89,3,0)*VLOOKUP('Données projet'!$B$11,Paramètres!$A$1:$I$89,5,0)</f>
        <v>5.3205440053716299E-13</v>
      </c>
      <c r="BF164" s="13">
        <f t="shared" si="167"/>
        <v>6.579711042921201E-12</v>
      </c>
      <c r="BG164" s="20">
        <f t="shared" si="168"/>
        <v>1.2386324814023317E-11</v>
      </c>
      <c r="BH164" s="59">
        <f t="shared" si="116"/>
        <v>289.9372493166033</v>
      </c>
      <c r="BI164" s="59">
        <f ca="1">AVERAGE(OFFSET($BH$3,0,0,'Données projet'!$E$11+1,1))-AVERAGE(OFFSET($H$3,0,0,'Données projet'!$E$11+1,1))</f>
        <v>308.70979446846718</v>
      </c>
      <c r="BJ164" s="59">
        <f t="shared" si="146"/>
        <v>202.33469175293314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80.478194572320035</v>
      </c>
      <c r="BQ164" s="21">
        <f>EXP(-LN(2)/25)*BQ163+(1-EXP(-LN(2)/25))/(LN(2)/25)*Calculateur!BL164*Calculateur!BN164*VLOOKUP('Données projet'!$B$11,Paramètres!$A$1:$I$89,3,0)*0.475*44/12</f>
        <v>15.153632393977555</v>
      </c>
      <c r="BR164" s="21">
        <f>EXP(-LN(2)/2)*BR163+(1-EXP(-LN(2)/2))/(LN(2)/2)*BL164*BO164*VLOOKUP('Données projet'!$B$11,Paramètres!$A$1:$I$89,3,0)*0.475*44/12</f>
        <v>5.6805916813446901E-4</v>
      </c>
      <c r="BS164" s="22">
        <f t="shared" si="169"/>
        <v>95.632395025465726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69.073795268161149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69.073795268161149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69.073795268161149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69.073795268161149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69.073795268161149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69.073795268161149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69.073795268161149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3.1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11.366666666666667</v>
      </c>
      <c r="H165" s="67">
        <f t="shared" si="110"/>
        <v>211.20000000000002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69.089862849574985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369.06880001017635</v>
      </c>
      <c r="T165" s="59">
        <f t="shared" si="142"/>
        <v>331.91233237772281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32.47609982364596</v>
      </c>
      <c r="AA165" s="21">
        <f>EXP(-LN(2)/25)*AA164+(1-EXP(-LN(2)/25))/(LN(2)/25)*Calculateur!V165*Calculateur!X165*VLOOKUP('Données projet'!$B$9,Paramètres!$A$1:$I$89,3,0)*0.475*44/12</f>
        <v>3.9072502255296988</v>
      </c>
      <c r="AB165" s="21">
        <f>EXP(-LN(2)/2)*AB164+(1-EXP(-LN(2)/2))/(LN(2)/2)*V165*Y165*VLOOKUP('Données projet'!$B$9,Paramètres!$A$1:$I$89,3,0)*0.475*44/12</f>
        <v>5.3080538823951611E-12</v>
      </c>
      <c r="AC165" s="22">
        <f t="shared" si="163"/>
        <v>36.383350049180969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69.089862849574985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-5.6843418860808015E-14</v>
      </c>
      <c r="AJ165" s="13">
        <f>AI165*VLOOKUP('Données projet'!$B$10,Paramètres!$A$1:$I$89,3,0)*VLOOKUP('Données projet'!$B$10,Paramètres!$A$1:$I$89,5,0)</f>
        <v>-3.3992364478763198E-14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270.29397440778314</v>
      </c>
      <c r="AO165" s="59">
        <f t="shared" si="144"/>
        <v>281.95928682679596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17.207837970543839</v>
      </c>
      <c r="AV165" s="21">
        <f>EXP(-LN(2)/25)*AV164+(1-EXP(-LN(2)/25))/(LN(2)/25)*Calculateur!AQ165*Calculateur!AS165*VLOOKUP('Données projet'!$B$10,Paramètres!$A$1:$I$89,3,0)*0.475*44/12</f>
        <v>2.1368002737013216</v>
      </c>
      <c r="AW165" s="21">
        <f>EXP(-LN(2)/2)*AW164+(1-EXP(-LN(2)/2))/(LN(2)/2)*AQ165*AT165*VLOOKUP('Données projet'!$B$10,Paramètres!$A$1:$I$89,3,0)*0.475*44/12</f>
        <v>1.4194356130460779E-14</v>
      </c>
      <c r="AX165" s="21">
        <f t="shared" si="166"/>
        <v>19.344638244245175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69.089862849574985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1.1368683772161603E-12</v>
      </c>
      <c r="BE165" s="13">
        <f>BD165*VLOOKUP('Données projet'!$B$11,Paramètres!$A$1:$I$89,3,0)*VLOOKUP('Données projet'!$B$11,Paramètres!$A$1:$I$89,5,0)</f>
        <v>5.3205440053716299E-13</v>
      </c>
      <c r="BF165" s="13">
        <f t="shared" si="167"/>
        <v>6.579711042921201E-12</v>
      </c>
      <c r="BG165" s="20">
        <f t="shared" si="168"/>
        <v>1.2386324814023317E-11</v>
      </c>
      <c r="BH165" s="59">
        <f t="shared" si="116"/>
        <v>289.99616378178735</v>
      </c>
      <c r="BI165" s="59">
        <f ca="1">AVERAGE(OFFSET($BH$3,0,0,'Données projet'!$E$11+1,1))-AVERAGE(OFFSET($H$3,0,0,'Données projet'!$E$11+1,1))</f>
        <v>308.70979446846718</v>
      </c>
      <c r="BJ165" s="59">
        <f t="shared" si="146"/>
        <v>202.33469175293314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78.900066263608608</v>
      </c>
      <c r="BQ165" s="21">
        <f>EXP(-LN(2)/25)*BQ164+(1-EXP(-LN(2)/25))/(LN(2)/25)*Calculateur!BL165*Calculateur!BN165*VLOOKUP('Données projet'!$B$11,Paramètres!$A$1:$I$89,3,0)*0.475*44/12</f>
        <v>14.739255519269344</v>
      </c>
      <c r="BR165" s="21">
        <f>EXP(-LN(2)/2)*BR164+(1-EXP(-LN(2)/2))/(LN(2)/2)*BL165*BO165*VLOOKUP('Données projet'!$B$11,Paramètres!$A$1:$I$89,3,0)*0.475*44/12</f>
        <v>4.016784899030722E-4</v>
      </c>
      <c r="BS165" s="22">
        <f t="shared" si="169"/>
        <v>93.639723461367865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69.089862849574985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69.089862849574985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69.089862849574985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69.089862849574985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69.089862849574985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69.089862849574985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69.089862849574985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3.1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11.366666666666667</v>
      </c>
      <c r="H166" s="67">
        <f t="shared" si="110"/>
        <v>211.20000000000002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69.105651694373023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369.06880001017635</v>
      </c>
      <c r="T166" s="59">
        <f t="shared" si="142"/>
        <v>331.91233237772281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31.83926331456923</v>
      </c>
      <c r="AA166" s="21">
        <f>EXP(-LN(2)/25)*AA165+(1-EXP(-LN(2)/25))/(LN(2)/25)*Calculateur!V166*Calculateur!X166*VLOOKUP('Données projet'!$B$9,Paramètres!$A$1:$I$89,3,0)*0.475*44/12</f>
        <v>3.8004062626392301</v>
      </c>
      <c r="AB166" s="21">
        <f>EXP(-LN(2)/2)*AB165+(1-EXP(-LN(2)/2))/(LN(2)/2)*V166*Y166*VLOOKUP('Données projet'!$B$9,Paramètres!$A$1:$I$89,3,0)*0.475*44/12</f>
        <v>3.7533608951451992E-12</v>
      </c>
      <c r="AC166" s="22">
        <f t="shared" si="163"/>
        <v>35.63966957721221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69.105651694373023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-5.6843418860808015E-14</v>
      </c>
      <c r="AJ166" s="13">
        <f>AI166*VLOOKUP('Données projet'!$B$10,Paramètres!$A$1:$I$89,3,0)*VLOOKUP('Données projet'!$B$10,Paramètres!$A$1:$I$89,5,0)</f>
        <v>-3.3992364478763198E-14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270.29397440778314</v>
      </c>
      <c r="AO166" s="59">
        <f t="shared" si="144"/>
        <v>281.95928682679596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16.870402763686268</v>
      </c>
      <c r="AV166" s="21">
        <f>EXP(-LN(2)/25)*AV165+(1-EXP(-LN(2)/25))/(LN(2)/25)*Calculateur!AQ166*Calculateur!AS166*VLOOKUP('Données projet'!$B$10,Paramètres!$A$1:$I$89,3,0)*0.475*44/12</f>
        <v>2.0783693578475164</v>
      </c>
      <c r="AW166" s="21">
        <f>EXP(-LN(2)/2)*AW165+(1-EXP(-LN(2)/2))/(LN(2)/2)*AQ166*AT166*VLOOKUP('Données projet'!$B$10,Paramètres!$A$1:$I$89,3,0)*0.475*44/12</f>
        <v>1.003692547442566E-14</v>
      </c>
      <c r="AX166" s="21">
        <f t="shared" si="166"/>
        <v>18.948772121533796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69.105651694373023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1.1368683772161603E-12</v>
      </c>
      <c r="BE166" s="13">
        <f>BD166*VLOOKUP('Données projet'!$B$11,Paramètres!$A$1:$I$89,3,0)*VLOOKUP('Données projet'!$B$11,Paramètres!$A$1:$I$89,5,0)</f>
        <v>5.3205440053716299E-13</v>
      </c>
      <c r="BF166" s="13">
        <f t="shared" si="167"/>
        <v>6.579711042921201E-12</v>
      </c>
      <c r="BG166" s="20">
        <f t="shared" si="168"/>
        <v>1.2386324814023317E-11</v>
      </c>
      <c r="BH166" s="59">
        <f t="shared" si="116"/>
        <v>290.05405621271348</v>
      </c>
      <c r="BI166" s="59">
        <f ca="1">AVERAGE(OFFSET($BH$3,0,0,'Données projet'!$E$11+1,1))-AVERAGE(OFFSET($H$3,0,0,'Données projet'!$E$11+1,1))</f>
        <v>308.70979446846718</v>
      </c>
      <c r="BJ166" s="59">
        <f t="shared" si="146"/>
        <v>202.33469175293314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77.352884088467789</v>
      </c>
      <c r="BQ166" s="21">
        <f>EXP(-LN(2)/25)*BQ165+(1-EXP(-LN(2)/25))/(LN(2)/25)*Calculateur!BL166*Calculateur!BN166*VLOOKUP('Données projet'!$B$11,Paramètres!$A$1:$I$89,3,0)*0.475*44/12</f>
        <v>14.336209801991163</v>
      </c>
      <c r="BR166" s="21">
        <f>EXP(-LN(2)/2)*BR165+(1-EXP(-LN(2)/2))/(LN(2)/2)*BL166*BO166*VLOOKUP('Données projet'!$B$11,Paramètres!$A$1:$I$89,3,0)*0.475*44/12</f>
        <v>2.8402958406723451E-4</v>
      </c>
      <c r="BS166" s="22">
        <f t="shared" si="169"/>
        <v>91.689377920043015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69.105651694373023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69.105651694373023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69.105651694373023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69.105651694373023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69.105651694373023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69.105651694373023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69.105651694373023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3.1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11.366666666666667</v>
      </c>
      <c r="H167" s="67">
        <f t="shared" si="110"/>
        <v>211.20000000000002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69.121166638012369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369.06880001017635</v>
      </c>
      <c r="T167" s="59">
        <f t="shared" si="142"/>
        <v>331.91233237772281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31.214914781003582</v>
      </c>
      <c r="AA167" s="21">
        <f>EXP(-LN(2)/25)*AA166+(1-EXP(-LN(2)/25))/(LN(2)/25)*Calculateur!V167*Calculateur!X167*VLOOKUP('Données projet'!$B$9,Paramètres!$A$1:$I$89,3,0)*0.475*44/12</f>
        <v>3.696483953532681</v>
      </c>
      <c r="AB167" s="21">
        <f>EXP(-LN(2)/2)*AB166+(1-EXP(-LN(2)/2))/(LN(2)/2)*V167*Y167*VLOOKUP('Données projet'!$B$9,Paramètres!$A$1:$I$89,3,0)*0.475*44/12</f>
        <v>2.6540269411975805E-12</v>
      </c>
      <c r="AC167" s="22">
        <f t="shared" si="163"/>
        <v>34.911398734538921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69.121166638012369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-5.6843418860808015E-14</v>
      </c>
      <c r="AJ167" s="13">
        <f>AI167*VLOOKUP('Données projet'!$B$10,Paramètres!$A$1:$I$89,3,0)*VLOOKUP('Données projet'!$B$10,Paramètres!$A$1:$I$89,5,0)</f>
        <v>-3.3992364478763198E-14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270.29397440778314</v>
      </c>
      <c r="AO167" s="59">
        <f t="shared" si="144"/>
        <v>281.95928682679596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16.53958445542002</v>
      </c>
      <c r="AV167" s="21">
        <f>EXP(-LN(2)/25)*AV166+(1-EXP(-LN(2)/25))/(LN(2)/25)*Calculateur!AQ167*Calculateur!AS167*VLOOKUP('Données projet'!$B$10,Paramètres!$A$1:$I$89,3,0)*0.475*44/12</f>
        <v>2.0215362384604818</v>
      </c>
      <c r="AW167" s="21">
        <f>EXP(-LN(2)/2)*AW166+(1-EXP(-LN(2)/2))/(LN(2)/2)*AQ167*AT167*VLOOKUP('Données projet'!$B$10,Paramètres!$A$1:$I$89,3,0)*0.475*44/12</f>
        <v>7.0971780652303902E-15</v>
      </c>
      <c r="AX167" s="21">
        <f t="shared" si="166"/>
        <v>18.561120693880508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69.121166638012369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1.1368683772161603E-12</v>
      </c>
      <c r="BE167" s="13">
        <f>BD167*VLOOKUP('Données projet'!$B$11,Paramètres!$A$1:$I$89,3,0)*VLOOKUP('Données projet'!$B$11,Paramètres!$A$1:$I$89,5,0)</f>
        <v>5.3205440053716299E-13</v>
      </c>
      <c r="BF167" s="13">
        <f t="shared" si="167"/>
        <v>6.579711042921201E-12</v>
      </c>
      <c r="BG167" s="20">
        <f t="shared" si="168"/>
        <v>1.2386324814023317E-11</v>
      </c>
      <c r="BH167" s="59">
        <f t="shared" si="116"/>
        <v>290.1109443393911</v>
      </c>
      <c r="BI167" s="59">
        <f ca="1">AVERAGE(OFFSET($BH$3,0,0,'Données projet'!$E$11+1,1))-AVERAGE(OFFSET($H$3,0,0,'Données projet'!$E$11+1,1))</f>
        <v>308.70979446846718</v>
      </c>
      <c r="BJ167" s="59">
        <f t="shared" si="146"/>
        <v>202.33469175293314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75.836041212093534</v>
      </c>
      <c r="BQ167" s="21">
        <f>EXP(-LN(2)/25)*BQ166+(1-EXP(-LN(2)/25))/(LN(2)/25)*Calculateur!BL167*Calculateur!BN167*VLOOKUP('Données projet'!$B$11,Paramètres!$A$1:$I$89,3,0)*0.475*44/12</f>
        <v>13.944185391047208</v>
      </c>
      <c r="BR167" s="21">
        <f>EXP(-LN(2)/2)*BR166+(1-EXP(-LN(2)/2))/(LN(2)/2)*BL167*BO167*VLOOKUP('Données projet'!$B$11,Paramètres!$A$1:$I$89,3,0)*0.475*44/12</f>
        <v>2.008392449515361E-4</v>
      </c>
      <c r="BS167" s="22">
        <f t="shared" si="169"/>
        <v>89.780427442385701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69.121166638012369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69.121166638012369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69.121166638012369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69.121166638012369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69.121166638012369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69.121166638012369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69.121166638012369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3.1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11.366666666666667</v>
      </c>
      <c r="H168" s="67">
        <f t="shared" si="110"/>
        <v>211.20000000000002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69.136412432065811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369.06880001017635</v>
      </c>
      <c r="T168" s="59">
        <f t="shared" si="142"/>
        <v>331.91233237772281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30.60280934136615</v>
      </c>
      <c r="AA168" s="21">
        <f>EXP(-LN(2)/25)*AA167+(1-EXP(-LN(2)/25))/(LN(2)/25)*Calculateur!V168*Calculateur!X168*VLOOKUP('Données projet'!$B$9,Paramètres!$A$1:$I$89,3,0)*0.475*44/12</f>
        <v>3.5954034054336872</v>
      </c>
      <c r="AB168" s="21">
        <f>EXP(-LN(2)/2)*AB167+(1-EXP(-LN(2)/2))/(LN(2)/2)*V168*Y168*VLOOKUP('Données projet'!$B$9,Paramètres!$A$1:$I$89,3,0)*0.475*44/12</f>
        <v>1.8766804475725996E-12</v>
      </c>
      <c r="AC168" s="22">
        <f t="shared" si="163"/>
        <v>34.198212746801715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69.136412432065811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-5.6843418860808015E-14</v>
      </c>
      <c r="AJ168" s="13">
        <f>AI168*VLOOKUP('Données projet'!$B$10,Paramètres!$A$1:$I$89,3,0)*VLOOKUP('Données projet'!$B$10,Paramètres!$A$1:$I$89,5,0)</f>
        <v>-3.3992364478763198E-14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270.29397440778314</v>
      </c>
      <c r="AO168" s="59">
        <f t="shared" si="144"/>
        <v>281.95928682679596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16.215253292399627</v>
      </c>
      <c r="AV168" s="21">
        <f>EXP(-LN(2)/25)*AV167+(1-EXP(-LN(2)/25))/(LN(2)/25)*Calculateur!AQ168*Calculateur!AS168*VLOOKUP('Données projet'!$B$10,Paramètres!$A$1:$I$89,3,0)*0.475*44/12</f>
        <v>1.9662572237118094</v>
      </c>
      <c r="AW168" s="21">
        <f>EXP(-LN(2)/2)*AW167+(1-EXP(-LN(2)/2))/(LN(2)/2)*AQ168*AT168*VLOOKUP('Données projet'!$B$10,Paramètres!$A$1:$I$89,3,0)*0.475*44/12</f>
        <v>5.0184627372128308E-15</v>
      </c>
      <c r="AX168" s="21">
        <f t="shared" si="166"/>
        <v>18.181510516111441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69.136412432065811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1.1368683772161603E-12</v>
      </c>
      <c r="BE168" s="13">
        <f>BD168*VLOOKUP('Données projet'!$B$11,Paramètres!$A$1:$I$89,3,0)*VLOOKUP('Données projet'!$B$11,Paramètres!$A$1:$I$89,5,0)</f>
        <v>5.3205440053716299E-13</v>
      </c>
      <c r="BF168" s="13">
        <f t="shared" si="167"/>
        <v>6.579711042921201E-12</v>
      </c>
      <c r="BG168" s="20">
        <f t="shared" si="168"/>
        <v>1.2386324814023317E-11</v>
      </c>
      <c r="BH168" s="59">
        <f t="shared" si="116"/>
        <v>290.16684558425374</v>
      </c>
      <c r="BI168" s="59">
        <f ca="1">AVERAGE(OFFSET($BH$3,0,0,'Données projet'!$E$11+1,1))-AVERAGE(OFFSET($H$3,0,0,'Données projet'!$E$11+1,1))</f>
        <v>308.70979446846718</v>
      </c>
      <c r="BJ168" s="59">
        <f t="shared" si="146"/>
        <v>202.33469175293314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74.348942699342174</v>
      </c>
      <c r="BQ168" s="21">
        <f>EXP(-LN(2)/25)*BQ167+(1-EXP(-LN(2)/25))/(LN(2)/25)*Calculateur!BL168*Calculateur!BN168*VLOOKUP('Données projet'!$B$11,Paramètres!$A$1:$I$89,3,0)*0.475*44/12</f>
        <v>13.562880908236183</v>
      </c>
      <c r="BR168" s="21">
        <f>EXP(-LN(2)/2)*BR167+(1-EXP(-LN(2)/2))/(LN(2)/2)*BL168*BO168*VLOOKUP('Données projet'!$B$11,Paramètres!$A$1:$I$89,3,0)*0.475*44/12</f>
        <v>1.4201479203361725E-4</v>
      </c>
      <c r="BS168" s="22">
        <f t="shared" si="169"/>
        <v>87.911965622370388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69.136412432065811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69.136412432065811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69.136412432065811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69.136412432065811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69.136412432065811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69.136412432065811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69.136412432065811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3.1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11.366666666666667</v>
      </c>
      <c r="H169" s="67">
        <f t="shared" si="110"/>
        <v>211.20000000000002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69.151393745676899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369.06880001017635</v>
      </c>
      <c r="T169" s="59">
        <f t="shared" si="142"/>
        <v>331.91233237772281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30.002706916052556</v>
      </c>
      <c r="AA169" s="21">
        <f>EXP(-LN(2)/25)*AA168+(1-EXP(-LN(2)/25))/(LN(2)/25)*Calculateur!V169*Calculateur!X169*VLOOKUP('Données projet'!$B$9,Paramètres!$A$1:$I$89,3,0)*0.475*44/12</f>
        <v>3.4970869102380555</v>
      </c>
      <c r="AB169" s="21">
        <f>EXP(-LN(2)/2)*AB168+(1-EXP(-LN(2)/2))/(LN(2)/2)*V169*Y169*VLOOKUP('Données projet'!$B$9,Paramètres!$A$1:$I$89,3,0)*0.475*44/12</f>
        <v>1.3270134705987903E-12</v>
      </c>
      <c r="AC169" s="22">
        <f t="shared" si="163"/>
        <v>33.499793826291942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69.151393745676899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-5.6843418860808015E-14</v>
      </c>
      <c r="AJ169" s="13">
        <f>AI169*VLOOKUP('Données projet'!$B$10,Paramètres!$A$1:$I$89,3,0)*VLOOKUP('Données projet'!$B$10,Paramètres!$A$1:$I$89,5,0)</f>
        <v>-3.3992364478763198E-14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270.29397440778314</v>
      </c>
      <c r="AO169" s="59">
        <f t="shared" si="144"/>
        <v>281.95928682679596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15.897282065663589</v>
      </c>
      <c r="AV169" s="21">
        <f>EXP(-LN(2)/25)*AV168+(1-EXP(-LN(2)/25))/(LN(2)/25)*Calculateur!AQ169*Calculateur!AS169*VLOOKUP('Données projet'!$B$10,Paramètres!$A$1:$I$89,3,0)*0.475*44/12</f>
        <v>1.9124898165284365</v>
      </c>
      <c r="AW169" s="21">
        <f>EXP(-LN(2)/2)*AW168+(1-EXP(-LN(2)/2))/(LN(2)/2)*AQ169*AT169*VLOOKUP('Données projet'!$B$10,Paramètres!$A$1:$I$89,3,0)*0.475*44/12</f>
        <v>3.5485890326151959E-15</v>
      </c>
      <c r="AX169" s="21">
        <f t="shared" si="166"/>
        <v>17.809771882192027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69.151393745676899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1.1368683772161603E-12</v>
      </c>
      <c r="BE169" s="13">
        <f>BD169*VLOOKUP('Données projet'!$B$11,Paramètres!$A$1:$I$89,3,0)*VLOOKUP('Données projet'!$B$11,Paramètres!$A$1:$I$89,5,0)</f>
        <v>5.3205440053716299E-13</v>
      </c>
      <c r="BF169" s="13">
        <f t="shared" si="167"/>
        <v>6.579711042921201E-12</v>
      </c>
      <c r="BG169" s="20">
        <f t="shared" si="168"/>
        <v>1.2386324814023317E-11</v>
      </c>
      <c r="BH169" s="59">
        <f t="shared" si="116"/>
        <v>290.22177706749437</v>
      </c>
      <c r="BI169" s="59">
        <f ca="1">AVERAGE(OFFSET($BH$3,0,0,'Données projet'!$E$11+1,1))-AVERAGE(OFFSET($H$3,0,0,'Données projet'!$E$11+1,1))</f>
        <v>308.70979446846718</v>
      </c>
      <c r="BJ169" s="59">
        <f t="shared" si="146"/>
        <v>202.33469175293314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72.891005281385347</v>
      </c>
      <c r="BQ169" s="21">
        <f>EXP(-LN(2)/25)*BQ168+(1-EXP(-LN(2)/25))/(LN(2)/25)*Calculateur!BL169*Calculateur!BN169*VLOOKUP('Données projet'!$B$11,Paramètres!$A$1:$I$89,3,0)*0.475*44/12</f>
        <v>13.192003216559556</v>
      </c>
      <c r="BR169" s="21">
        <f>EXP(-LN(2)/2)*BR168+(1-EXP(-LN(2)/2))/(LN(2)/2)*BL169*BO169*VLOOKUP('Données projet'!$B$11,Paramètres!$A$1:$I$89,3,0)*0.475*44/12</f>
        <v>1.0041962247576805E-4</v>
      </c>
      <c r="BS169" s="22">
        <f t="shared" si="169"/>
        <v>86.083108917567372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69.151393745676899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69.151393745676899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69.151393745676899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69.151393745676899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69.151393745676899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69.151393745676899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69.151393745676899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3.1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11.366666666666667</v>
      </c>
      <c r="H170" s="67">
        <f t="shared" si="110"/>
        <v>211.20000000000002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69.166115166990039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369.06880001017635</v>
      </c>
      <c r="T170" s="59">
        <f t="shared" si="142"/>
        <v>331.91233237772281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29.414372133273027</v>
      </c>
      <c r="AA170" s="21">
        <f>EXP(-LN(2)/25)*AA169+(1-EXP(-LN(2)/25))/(LN(2)/25)*Calculateur!V170*Calculateur!X170*VLOOKUP('Données projet'!$B$9,Paramètres!$A$1:$I$89,3,0)*0.475*44/12</f>
        <v>3.4014588847737879</v>
      </c>
      <c r="AB170" s="21">
        <f>EXP(-LN(2)/2)*AB169+(1-EXP(-LN(2)/2))/(LN(2)/2)*V170*Y170*VLOOKUP('Données projet'!$B$9,Paramètres!$A$1:$I$89,3,0)*0.475*44/12</f>
        <v>9.3834022378629981E-13</v>
      </c>
      <c r="AC170" s="22">
        <f t="shared" si="163"/>
        <v>32.815831018047753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69.166115166990039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-5.6843418860808015E-14</v>
      </c>
      <c r="AJ170" s="13">
        <f>AI170*VLOOKUP('Données projet'!$B$10,Paramètres!$A$1:$I$89,3,0)*VLOOKUP('Données projet'!$B$10,Paramètres!$A$1:$I$89,5,0)</f>
        <v>-3.3992364478763198E-14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270.29397440778314</v>
      </c>
      <c r="AO170" s="59">
        <f t="shared" si="144"/>
        <v>281.95928682679596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15.585546060740548</v>
      </c>
      <c r="AV170" s="21">
        <f>EXP(-LN(2)/25)*AV169+(1-EXP(-LN(2)/25))/(LN(2)/25)*Calculateur!AQ170*Calculateur!AS170*VLOOKUP('Données projet'!$B$10,Paramètres!$A$1:$I$89,3,0)*0.475*44/12</f>
        <v>1.860192681921998</v>
      </c>
      <c r="AW170" s="21">
        <f>EXP(-LN(2)/2)*AW169+(1-EXP(-LN(2)/2))/(LN(2)/2)*AQ170*AT170*VLOOKUP('Données projet'!$B$10,Paramètres!$A$1:$I$89,3,0)*0.475*44/12</f>
        <v>2.5092313686064158E-15</v>
      </c>
      <c r="AX170" s="21">
        <f t="shared" si="166"/>
        <v>17.445738742662549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69.166115166990039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1.1368683772161603E-12</v>
      </c>
      <c r="BE170" s="13">
        <f>BD170*VLOOKUP('Données projet'!$B$11,Paramètres!$A$1:$I$89,3,0)*VLOOKUP('Données projet'!$B$11,Paramètres!$A$1:$I$89,5,0)</f>
        <v>5.3205440053716299E-13</v>
      </c>
      <c r="BF170" s="13">
        <f t="shared" si="167"/>
        <v>6.579711042921201E-12</v>
      </c>
      <c r="BG170" s="20">
        <f t="shared" si="168"/>
        <v>1.2386324814023317E-11</v>
      </c>
      <c r="BH170" s="59">
        <f t="shared" si="116"/>
        <v>290.27575561230918</v>
      </c>
      <c r="BI170" s="59">
        <f ca="1">AVERAGE(OFFSET($BH$3,0,0,'Données projet'!$E$11+1,1))-AVERAGE(OFFSET($H$3,0,0,'Données projet'!$E$11+1,1))</f>
        <v>308.70979446846718</v>
      </c>
      <c r="BJ170" s="59">
        <f t="shared" si="146"/>
        <v>202.33469175293314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71.461657126940622</v>
      </c>
      <c r="BQ170" s="21">
        <f>EXP(-LN(2)/25)*BQ169+(1-EXP(-LN(2)/25))/(LN(2)/25)*Calculateur!BL170*Calculateur!BN170*VLOOKUP('Données projet'!$B$11,Paramètres!$A$1:$I$89,3,0)*0.475*44/12</f>
        <v>12.831267194865436</v>
      </c>
      <c r="BR170" s="21">
        <f>EXP(-LN(2)/2)*BR169+(1-EXP(-LN(2)/2))/(LN(2)/2)*BL170*BO170*VLOOKUP('Données projet'!$B$11,Paramètres!$A$1:$I$89,3,0)*0.475*44/12</f>
        <v>7.1007396016808626E-5</v>
      </c>
      <c r="BS170" s="22">
        <f t="shared" si="169"/>
        <v>84.292995329202071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69.166115166990039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69.166115166990039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69.166115166990039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69.166115166990039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69.166115166990039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69.166115166990039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69.166115166990039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3.1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11.366666666666667</v>
      </c>
      <c r="H171" s="67">
        <f t="shared" si="110"/>
        <v>211.20000000000002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69.18058120455558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369.06880001017635</v>
      </c>
      <c r="T171" s="59">
        <f t="shared" si="142"/>
        <v>331.91233237772281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28.837574236735019</v>
      </c>
      <c r="AA171" s="21">
        <f>EXP(-LN(2)/25)*AA170+(1-EXP(-LN(2)/25))/(LN(2)/25)*Calculateur!V171*Calculateur!X171*VLOOKUP('Données projet'!$B$9,Paramètres!$A$1:$I$89,3,0)*0.475*44/12</f>
        <v>3.3084458126946998</v>
      </c>
      <c r="AB171" s="21">
        <f>EXP(-LN(2)/2)*AB170+(1-EXP(-LN(2)/2))/(LN(2)/2)*V171*Y171*VLOOKUP('Données projet'!$B$9,Paramètres!$A$1:$I$89,3,0)*0.475*44/12</f>
        <v>6.6350673529939514E-13</v>
      </c>
      <c r="AC171" s="22">
        <f t="shared" si="163"/>
        <v>32.146020049430383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69.18058120455558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-5.6843418860808015E-14</v>
      </c>
      <c r="AJ171" s="13">
        <f>AI171*VLOOKUP('Données projet'!$B$10,Paramètres!$A$1:$I$89,3,0)*VLOOKUP('Données projet'!$B$10,Paramètres!$A$1:$I$89,5,0)</f>
        <v>-3.3992364478763198E-14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270.29397440778314</v>
      </c>
      <c r="AO171" s="59">
        <f t="shared" si="144"/>
        <v>281.95928682679596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15.279923008733858</v>
      </c>
      <c r="AV171" s="21">
        <f>EXP(-LN(2)/25)*AV170+(1-EXP(-LN(2)/25))/(LN(2)/25)*Calculateur!AQ171*Calculateur!AS171*VLOOKUP('Données projet'!$B$10,Paramètres!$A$1:$I$89,3,0)*0.475*44/12</f>
        <v>1.8093256152115593</v>
      </c>
      <c r="AW171" s="21">
        <f>EXP(-LN(2)/2)*AW170+(1-EXP(-LN(2)/2))/(LN(2)/2)*AQ171*AT171*VLOOKUP('Données projet'!$B$10,Paramètres!$A$1:$I$89,3,0)*0.475*44/12</f>
        <v>1.7742945163075981E-15</v>
      </c>
      <c r="AX171" s="21">
        <f t="shared" si="166"/>
        <v>17.089248623945416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69.18058120455558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1.1368683772161603E-12</v>
      </c>
      <c r="BE171" s="13">
        <f>BD171*VLOOKUP('Données projet'!$B$11,Paramètres!$A$1:$I$89,3,0)*VLOOKUP('Données projet'!$B$11,Paramètres!$A$1:$I$89,5,0)</f>
        <v>5.3205440053716299E-13</v>
      </c>
      <c r="BF171" s="13">
        <f t="shared" si="167"/>
        <v>6.579711042921201E-12</v>
      </c>
      <c r="BG171" s="20">
        <f t="shared" si="168"/>
        <v>1.2386324814023317E-11</v>
      </c>
      <c r="BH171" s="59">
        <f t="shared" si="116"/>
        <v>290.32879775004955</v>
      </c>
      <c r="BI171" s="59">
        <f ca="1">AVERAGE(OFFSET($BH$3,0,0,'Données projet'!$E$11+1,1))-AVERAGE(OFFSET($H$3,0,0,'Données projet'!$E$11+1,1))</f>
        <v>308.70979446846718</v>
      </c>
      <c r="BJ171" s="59">
        <f t="shared" si="146"/>
        <v>202.33469175293314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70.060337617988282</v>
      </c>
      <c r="BQ171" s="21">
        <f>EXP(-LN(2)/25)*BQ170+(1-EXP(-LN(2)/25))/(LN(2)/25)*Calculateur!BL171*Calculateur!BN171*VLOOKUP('Données projet'!$B$11,Paramètres!$A$1:$I$89,3,0)*0.475*44/12</f>
        <v>12.480395518654825</v>
      </c>
      <c r="BR171" s="21">
        <f>EXP(-LN(2)/2)*BR170+(1-EXP(-LN(2)/2))/(LN(2)/2)*BL171*BO171*VLOOKUP('Données projet'!$B$11,Paramètres!$A$1:$I$89,3,0)*0.475*44/12</f>
        <v>5.0209811237884025E-5</v>
      </c>
      <c r="BS171" s="22">
        <f t="shared" si="169"/>
        <v>82.540783346454347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69.18058120455558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69.18058120455558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69.18058120455558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69.18058120455558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69.18058120455558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69.18058120455558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69.18058120455558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3.1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11.366666666666667</v>
      </c>
      <c r="H172" s="67">
        <f t="shared" si="110"/>
        <v>211.20000000000002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69.194796288710563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369.06880001017635</v>
      </c>
      <c r="T172" s="59">
        <f t="shared" si="142"/>
        <v>331.91233237772281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28.272086995136142</v>
      </c>
      <c r="AA172" s="21">
        <f>EXP(-LN(2)/25)*AA171+(1-EXP(-LN(2)/25))/(LN(2)/25)*Calculateur!V172*Calculateur!X172*VLOOKUP('Données projet'!$B$9,Paramètres!$A$1:$I$89,3,0)*0.475*44/12</f>
        <v>3.2179761879629596</v>
      </c>
      <c r="AB172" s="21">
        <f>EXP(-LN(2)/2)*AB171+(1-EXP(-LN(2)/2))/(LN(2)/2)*V172*Y172*VLOOKUP('Données projet'!$B$9,Paramètres!$A$1:$I$89,3,0)*0.475*44/12</f>
        <v>4.691701118931499E-13</v>
      </c>
      <c r="AC172" s="22">
        <f t="shared" si="163"/>
        <v>31.490063183099572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69.194796288710563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-5.6843418860808015E-14</v>
      </c>
      <c r="AJ172" s="13">
        <f>AI172*VLOOKUP('Données projet'!$B$10,Paramètres!$A$1:$I$89,3,0)*VLOOKUP('Données projet'!$B$10,Paramètres!$A$1:$I$89,5,0)</f>
        <v>-3.3992364478763198E-14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270.29397440778314</v>
      </c>
      <c r="AO172" s="59">
        <f t="shared" si="144"/>
        <v>281.95928682679596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14.980293038365366</v>
      </c>
      <c r="AV172" s="21">
        <f>EXP(-LN(2)/25)*AV171+(1-EXP(-LN(2)/25))/(LN(2)/25)*Calculateur!AQ172*Calculateur!AS172*VLOOKUP('Données projet'!$B$10,Paramètres!$A$1:$I$89,3,0)*0.475*44/12</f>
        <v>1.7598495111153003</v>
      </c>
      <c r="AW172" s="21">
        <f>EXP(-LN(2)/2)*AW171+(1-EXP(-LN(2)/2))/(LN(2)/2)*AQ172*AT172*VLOOKUP('Données projet'!$B$10,Paramètres!$A$1:$I$89,3,0)*0.475*44/12</f>
        <v>1.2546156843032081E-15</v>
      </c>
      <c r="AX172" s="21">
        <f t="shared" si="166"/>
        <v>16.740142549480666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69.194796288710563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1.1368683772161603E-12</v>
      </c>
      <c r="BE172" s="13">
        <f>BD172*VLOOKUP('Données projet'!$B$11,Paramètres!$A$1:$I$89,3,0)*VLOOKUP('Données projet'!$B$11,Paramètres!$A$1:$I$89,5,0)</f>
        <v>5.3205440053716299E-13</v>
      </c>
      <c r="BF172" s="13">
        <f t="shared" si="167"/>
        <v>6.579711042921201E-12</v>
      </c>
      <c r="BG172" s="20">
        <f t="shared" si="168"/>
        <v>1.2386324814023317E-11</v>
      </c>
      <c r="BH172" s="59">
        <f t="shared" si="116"/>
        <v>290.38091972528446</v>
      </c>
      <c r="BI172" s="59">
        <f ca="1">AVERAGE(OFFSET($BH$3,0,0,'Données projet'!$E$11+1,1))-AVERAGE(OFFSET($H$3,0,0,'Données projet'!$E$11+1,1))</f>
        <v>308.70979446846718</v>
      </c>
      <c r="BJ172" s="59">
        <f t="shared" si="146"/>
        <v>202.33469175293314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68.686497129885993</v>
      </c>
      <c r="BQ172" s="21">
        <f>EXP(-LN(2)/25)*BQ171+(1-EXP(-LN(2)/25))/(LN(2)/25)*Calculateur!BL172*Calculateur!BN172*VLOOKUP('Données projet'!$B$11,Paramètres!$A$1:$I$89,3,0)*0.475*44/12</f>
        <v>12.139118446881733</v>
      </c>
      <c r="BR172" s="21">
        <f>EXP(-LN(2)/2)*BR171+(1-EXP(-LN(2)/2))/(LN(2)/2)*BL172*BO172*VLOOKUP('Données projet'!$B$11,Paramètres!$A$1:$I$89,3,0)*0.475*44/12</f>
        <v>3.5503698008404313E-5</v>
      </c>
      <c r="BS172" s="22">
        <f t="shared" si="169"/>
        <v>80.825651080465747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69.194796288710563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69.194796288710563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69.194796288710563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69.194796288710563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69.194796288710563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69.194796288710563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69.194796288710563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3.1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11.366666666666667</v>
      </c>
      <c r="H173" s="67">
        <f t="shared" si="110"/>
        <v>211.20000000000002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69.208764772935609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369.06880001017635</v>
      </c>
      <c r="T173" s="59">
        <f t="shared" si="142"/>
        <v>331.91233237772281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27.717688613431861</v>
      </c>
      <c r="AA173" s="21">
        <f>EXP(-LN(2)/25)*AA172+(1-EXP(-LN(2)/25))/(LN(2)/25)*Calculateur!V173*Calculateur!X173*VLOOKUP('Données projet'!$B$9,Paramètres!$A$1:$I$89,3,0)*0.475*44/12</f>
        <v>3.1299804598770997</v>
      </c>
      <c r="AB173" s="21">
        <f>EXP(-LN(2)/2)*AB172+(1-EXP(-LN(2)/2))/(LN(2)/2)*V173*Y173*VLOOKUP('Données projet'!$B$9,Paramètres!$A$1:$I$89,3,0)*0.475*44/12</f>
        <v>3.3175336764969757E-13</v>
      </c>
      <c r="AC173" s="22">
        <f t="shared" si="163"/>
        <v>30.847669073309291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69.208764772935609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-5.6843418860808015E-14</v>
      </c>
      <c r="AJ173" s="13">
        <f>AI173*VLOOKUP('Données projet'!$B$10,Paramètres!$A$1:$I$89,3,0)*VLOOKUP('Données projet'!$B$10,Paramètres!$A$1:$I$89,5,0)</f>
        <v>-3.3992364478763198E-14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270.29397440778314</v>
      </c>
      <c r="AO173" s="59">
        <f t="shared" si="144"/>
        <v>281.95928682679596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14.686538628959562</v>
      </c>
      <c r="AV173" s="21">
        <f>EXP(-LN(2)/25)*AV172+(1-EXP(-LN(2)/25))/(LN(2)/25)*Calculateur!AQ173*Calculateur!AS173*VLOOKUP('Données projet'!$B$10,Paramètres!$A$1:$I$89,3,0)*0.475*44/12</f>
        <v>1.7117263336873889</v>
      </c>
      <c r="AW173" s="21">
        <f>EXP(-LN(2)/2)*AW172+(1-EXP(-LN(2)/2))/(LN(2)/2)*AQ173*AT173*VLOOKUP('Données projet'!$B$10,Paramètres!$A$1:$I$89,3,0)*0.475*44/12</f>
        <v>8.8714725815379917E-16</v>
      </c>
      <c r="AX173" s="21">
        <f t="shared" si="166"/>
        <v>16.398264962646952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69.208764772935609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1.1368683772161603E-12</v>
      </c>
      <c r="BE173" s="13">
        <f>BD173*VLOOKUP('Données projet'!$B$11,Paramètres!$A$1:$I$89,3,0)*VLOOKUP('Données projet'!$B$11,Paramètres!$A$1:$I$89,5,0)</f>
        <v>5.3205440053716299E-13</v>
      </c>
      <c r="BF173" s="13">
        <f t="shared" si="167"/>
        <v>6.579711042921201E-12</v>
      </c>
      <c r="BG173" s="20">
        <f t="shared" si="168"/>
        <v>1.2386324814023317E-11</v>
      </c>
      <c r="BH173" s="59">
        <f t="shared" si="116"/>
        <v>290.43213750077626</v>
      </c>
      <c r="BI173" s="59">
        <f ca="1">AVERAGE(OFFSET($BH$3,0,0,'Données projet'!$E$11+1,1))-AVERAGE(OFFSET($H$3,0,0,'Données projet'!$E$11+1,1))</f>
        <v>308.70979446846718</v>
      </c>
      <c r="BJ173" s="59">
        <f t="shared" si="146"/>
        <v>202.33469175293314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67.339596815795431</v>
      </c>
      <c r="BQ173" s="21">
        <f>EXP(-LN(2)/25)*BQ172+(1-EXP(-LN(2)/25))/(LN(2)/25)*Calculateur!BL173*Calculateur!BN173*VLOOKUP('Données projet'!$B$11,Paramètres!$A$1:$I$89,3,0)*0.475*44/12</f>
        <v>11.807173614583258</v>
      </c>
      <c r="BR173" s="21">
        <f>EXP(-LN(2)/2)*BR172+(1-EXP(-LN(2)/2))/(LN(2)/2)*BL173*BO173*VLOOKUP('Données projet'!$B$11,Paramètres!$A$1:$I$89,3,0)*0.475*44/12</f>
        <v>2.5104905618942012E-5</v>
      </c>
      <c r="BS173" s="22">
        <f t="shared" si="169"/>
        <v>79.146795535284312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69.208764772935609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69.208764772935609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69.208764772935609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69.208764772935609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69.208764772935609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69.208764772935609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69.208764772935609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3.1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11.366666666666667</v>
      </c>
      <c r="H174" s="67">
        <f t="shared" si="110"/>
        <v>211.20000000000002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69.222490935188205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369.06880001017635</v>
      </c>
      <c r="T174" s="59">
        <f t="shared" si="142"/>
        <v>331.91233237772281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27.174161645843174</v>
      </c>
      <c r="AA174" s="21">
        <f>EXP(-LN(2)/25)*AA173+(1-EXP(-LN(2)/25))/(LN(2)/25)*Calculateur!V174*Calculateur!X174*VLOOKUP('Données projet'!$B$9,Paramètres!$A$1:$I$89,3,0)*0.475*44/12</f>
        <v>3.0443909796032416</v>
      </c>
      <c r="AB174" s="21">
        <f>EXP(-LN(2)/2)*AB173+(1-EXP(-LN(2)/2))/(LN(2)/2)*V174*Y174*VLOOKUP('Données projet'!$B$9,Paramètres!$A$1:$I$89,3,0)*0.475*44/12</f>
        <v>2.3458505594657495E-13</v>
      </c>
      <c r="AC174" s="22">
        <f t="shared" si="163"/>
        <v>30.218552625446652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69.222490935188205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-5.6843418860808015E-14</v>
      </c>
      <c r="AJ174" s="13">
        <f>AI174*VLOOKUP('Données projet'!$B$10,Paramètres!$A$1:$I$89,3,0)*VLOOKUP('Données projet'!$B$10,Paramètres!$A$1:$I$89,5,0)</f>
        <v>-3.3992364478763198E-14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270.29397440778314</v>
      </c>
      <c r="AO174" s="59">
        <f t="shared" si="144"/>
        <v>281.95928682679596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14.398544564349709</v>
      </c>
      <c r="AV174" s="21">
        <f>EXP(-LN(2)/25)*AV173+(1-EXP(-LN(2)/25))/(LN(2)/25)*Calculateur!AQ174*Calculateur!AS174*VLOOKUP('Données projet'!$B$10,Paramètres!$A$1:$I$89,3,0)*0.475*44/12</f>
        <v>1.6649190870769315</v>
      </c>
      <c r="AW174" s="21">
        <f>EXP(-LN(2)/2)*AW173+(1-EXP(-LN(2)/2))/(LN(2)/2)*AQ174*AT174*VLOOKUP('Données projet'!$B$10,Paramètres!$A$1:$I$89,3,0)*0.475*44/12</f>
        <v>6.2730784215160414E-16</v>
      </c>
      <c r="AX174" s="21">
        <f t="shared" si="166"/>
        <v>16.063463651426641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69.222490935188205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1.1368683772161603E-12</v>
      </c>
      <c r="BE174" s="13">
        <f>BD174*VLOOKUP('Données projet'!$B$11,Paramètres!$A$1:$I$89,3,0)*VLOOKUP('Données projet'!$B$11,Paramètres!$A$1:$I$89,5,0)</f>
        <v>5.3205440053716299E-13</v>
      </c>
      <c r="BF174" s="13">
        <f t="shared" si="167"/>
        <v>6.579711042921201E-12</v>
      </c>
      <c r="BG174" s="20">
        <f t="shared" si="168"/>
        <v>1.2386324814023317E-11</v>
      </c>
      <c r="BH174" s="59">
        <f t="shared" si="116"/>
        <v>290.48246676236914</v>
      </c>
      <c r="BI174" s="59">
        <f ca="1">AVERAGE(OFFSET($BH$3,0,0,'Données projet'!$E$11+1,1))-AVERAGE(OFFSET($H$3,0,0,'Données projet'!$E$11+1,1))</f>
        <v>308.70979446846718</v>
      </c>
      <c r="BJ174" s="59">
        <f t="shared" si="146"/>
        <v>202.33469175293314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66.019108395336104</v>
      </c>
      <c r="BQ174" s="21">
        <f>EXP(-LN(2)/25)*BQ173+(1-EXP(-LN(2)/25))/(LN(2)/25)*Calculateur!BL174*Calculateur!BN174*VLOOKUP('Données projet'!$B$11,Paramètres!$A$1:$I$89,3,0)*0.475*44/12</f>
        <v>11.484305831180205</v>
      </c>
      <c r="BR174" s="21">
        <f>EXP(-LN(2)/2)*BR173+(1-EXP(-LN(2)/2))/(LN(2)/2)*BL174*BO174*VLOOKUP('Données projet'!$B$11,Paramètres!$A$1:$I$89,3,0)*0.475*44/12</f>
        <v>1.7751849004202157E-5</v>
      </c>
      <c r="BS174" s="22">
        <f t="shared" si="169"/>
        <v>77.503431978365313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69.222490935188205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69.222490935188205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69.222490935188205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69.222490935188205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69.222490935188205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69.222490935188205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69.222490935188205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3.1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11.366666666666667</v>
      </c>
      <c r="H175" s="67">
        <f t="shared" si="110"/>
        <v>211.20000000000002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69.235978979212831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369.06880001017635</v>
      </c>
      <c r="T175" s="59">
        <f t="shared" si="142"/>
        <v>331.91233237772281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26.641292910570186</v>
      </c>
      <c r="AA175" s="21">
        <f>EXP(-LN(2)/25)*AA174+(1-EXP(-LN(2)/25))/(LN(2)/25)*Calculateur!V175*Calculateur!X175*VLOOKUP('Données projet'!$B$9,Paramètres!$A$1:$I$89,3,0)*0.475*44/12</f>
        <v>2.9611419481684274</v>
      </c>
      <c r="AB175" s="21">
        <f>EXP(-LN(2)/2)*AB174+(1-EXP(-LN(2)/2))/(LN(2)/2)*V175*Y175*VLOOKUP('Données projet'!$B$9,Paramètres!$A$1:$I$89,3,0)*0.475*44/12</f>
        <v>1.6587668382484878E-13</v>
      </c>
      <c r="AC175" s="22">
        <f t="shared" si="163"/>
        <v>29.602434858738782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69.235978979212831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-5.6843418860808015E-14</v>
      </c>
      <c r="AJ175" s="13">
        <f>AI175*VLOOKUP('Données projet'!$B$10,Paramètres!$A$1:$I$89,3,0)*VLOOKUP('Données projet'!$B$10,Paramètres!$A$1:$I$89,5,0)</f>
        <v>-3.3992364478763198E-14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270.29397440778314</v>
      </c>
      <c r="AO175" s="59">
        <f t="shared" si="144"/>
        <v>281.95928682679596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14.116197887687822</v>
      </c>
      <c r="AV175" s="21">
        <f>EXP(-LN(2)/25)*AV174+(1-EXP(-LN(2)/25))/(LN(2)/25)*Calculateur!AQ175*Calculateur!AS175*VLOOKUP('Données projet'!$B$10,Paramètres!$A$1:$I$89,3,0)*0.475*44/12</f>
        <v>1.6193917870865233</v>
      </c>
      <c r="AW175" s="21">
        <f>EXP(-LN(2)/2)*AW174+(1-EXP(-LN(2)/2))/(LN(2)/2)*AQ175*AT175*VLOOKUP('Données projet'!$B$10,Paramètres!$A$1:$I$89,3,0)*0.475*44/12</f>
        <v>4.4357362907689968E-16</v>
      </c>
      <c r="AX175" s="21">
        <f t="shared" si="166"/>
        <v>15.735589674774346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69.235978979212831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1.1368683772161603E-12</v>
      </c>
      <c r="BE175" s="13">
        <f>BD175*VLOOKUP('Données projet'!$B$11,Paramètres!$A$1:$I$89,3,0)*VLOOKUP('Données projet'!$B$11,Paramètres!$A$1:$I$89,5,0)</f>
        <v>5.3205440053716299E-13</v>
      </c>
      <c r="BF175" s="13">
        <f t="shared" si="167"/>
        <v>6.579711042921201E-12</v>
      </c>
      <c r="BG175" s="20">
        <f t="shared" si="168"/>
        <v>1.2386324814023317E-11</v>
      </c>
      <c r="BH175" s="59">
        <f t="shared" si="116"/>
        <v>290.53192292379276</v>
      </c>
      <c r="BI175" s="59">
        <f ca="1">AVERAGE(OFFSET($BH$3,0,0,'Données projet'!$E$11+1,1))-AVERAGE(OFFSET($H$3,0,0,'Données projet'!$E$11+1,1))</f>
        <v>308.70979446846718</v>
      </c>
      <c r="BJ175" s="59">
        <f t="shared" si="146"/>
        <v>202.33469175293314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64.724513947383585</v>
      </c>
      <c r="BQ175" s="21">
        <f>EXP(-LN(2)/25)*BQ174+(1-EXP(-LN(2)/25))/(LN(2)/25)*Calculateur!BL175*Calculateur!BN175*VLOOKUP('Données projet'!$B$11,Paramètres!$A$1:$I$89,3,0)*0.475*44/12</f>
        <v>11.170266884293186</v>
      </c>
      <c r="BR175" s="21">
        <f>EXP(-LN(2)/2)*BR174+(1-EXP(-LN(2)/2))/(LN(2)/2)*BL175*BO175*VLOOKUP('Données projet'!$B$11,Paramètres!$A$1:$I$89,3,0)*0.475*44/12</f>
        <v>1.2552452809471006E-5</v>
      </c>
      <c r="BS175" s="22">
        <f t="shared" si="169"/>
        <v>75.894793384129585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69.235978979212831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69.235978979212831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69.235978979212831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69.235978979212831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69.235978979212831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69.235978979212831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69.235978979212831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3.1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11.366666666666667</v>
      </c>
      <c r="H176" s="67">
        <f t="shared" si="110"/>
        <v>211.20000000000002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69.249233035828382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369.06880001017635</v>
      </c>
      <c r="T176" s="59">
        <f t="shared" si="142"/>
        <v>331.91233237772281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26.118873406178068</v>
      </c>
      <c r="AA176" s="21">
        <f>EXP(-LN(2)/25)*AA175+(1-EXP(-LN(2)/25))/(LN(2)/25)*Calculateur!V176*Calculateur!X176*VLOOKUP('Données projet'!$B$9,Paramètres!$A$1:$I$89,3,0)*0.475*44/12</f>
        <v>2.8801693658760743</v>
      </c>
      <c r="AB176" s="21">
        <f>EXP(-LN(2)/2)*AB175+(1-EXP(-LN(2)/2))/(LN(2)/2)*V176*Y176*VLOOKUP('Données projet'!$B$9,Paramètres!$A$1:$I$89,3,0)*0.475*44/12</f>
        <v>1.1729252797328748E-13</v>
      </c>
      <c r="AC176" s="22">
        <f t="shared" si="163"/>
        <v>28.99904277205426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69.249233035828382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-5.6843418860808015E-14</v>
      </c>
      <c r="AJ176" s="13">
        <f>AI176*VLOOKUP('Données projet'!$B$10,Paramètres!$A$1:$I$89,3,0)*VLOOKUP('Données projet'!$B$10,Paramètres!$A$1:$I$89,5,0)</f>
        <v>-3.3992364478763198E-14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270.29397440778314</v>
      </c>
      <c r="AO176" s="59">
        <f t="shared" si="144"/>
        <v>281.95928682679596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13.839387857140805</v>
      </c>
      <c r="AV176" s="21">
        <f>EXP(-LN(2)/25)*AV175+(1-EXP(-LN(2)/25))/(LN(2)/25)*Calculateur!AQ176*Calculateur!AS176*VLOOKUP('Données projet'!$B$10,Paramètres!$A$1:$I$89,3,0)*0.475*44/12</f>
        <v>1.5751094335085294</v>
      </c>
      <c r="AW176" s="21">
        <f>EXP(-LN(2)/2)*AW175+(1-EXP(-LN(2)/2))/(LN(2)/2)*AQ176*AT176*VLOOKUP('Données projet'!$B$10,Paramètres!$A$1:$I$89,3,0)*0.475*44/12</f>
        <v>3.1365392107580212E-16</v>
      </c>
      <c r="AX176" s="21">
        <f t="shared" si="166"/>
        <v>15.414497290649335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69.249233035828382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1.1368683772161603E-12</v>
      </c>
      <c r="BE176" s="13">
        <f>BD176*VLOOKUP('Données projet'!$B$11,Paramètres!$A$1:$I$89,3,0)*VLOOKUP('Données projet'!$B$11,Paramètres!$A$1:$I$89,5,0)</f>
        <v>5.3205440053716299E-13</v>
      </c>
      <c r="BF176" s="13">
        <f t="shared" si="167"/>
        <v>6.579711042921201E-12</v>
      </c>
      <c r="BG176" s="20">
        <f t="shared" si="168"/>
        <v>1.2386324814023317E-11</v>
      </c>
      <c r="BH176" s="59">
        <f t="shared" si="116"/>
        <v>290.58052113138314</v>
      </c>
      <c r="BI176" s="59">
        <f ca="1">AVERAGE(OFFSET($BH$3,0,0,'Données projet'!$E$11+1,1))-AVERAGE(OFFSET($H$3,0,0,'Données projet'!$E$11+1,1))</f>
        <v>308.70979446846718</v>
      </c>
      <c r="BJ176" s="59">
        <f t="shared" si="146"/>
        <v>202.33469175293314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63.455305706930766</v>
      </c>
      <c r="BQ176" s="21">
        <f>EXP(-LN(2)/25)*BQ175+(1-EXP(-LN(2)/25))/(LN(2)/25)*Calculateur!BL176*Calculateur!BN176*VLOOKUP('Données projet'!$B$11,Paramètres!$A$1:$I$89,3,0)*0.475*44/12</f>
        <v>10.864815348923383</v>
      </c>
      <c r="BR176" s="21">
        <f>EXP(-LN(2)/2)*BR175+(1-EXP(-LN(2)/2))/(LN(2)/2)*BL176*BO176*VLOOKUP('Données projet'!$B$11,Paramètres!$A$1:$I$89,3,0)*0.475*44/12</f>
        <v>8.8759245021010783E-6</v>
      </c>
      <c r="BS176" s="22">
        <f t="shared" si="169"/>
        <v>74.320129931778652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69.249233035828382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69.249233035828382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69.249233035828382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69.249233035828382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69.249233035828382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69.249233035828382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69.249233035828382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3.1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11.366666666666667</v>
      </c>
      <c r="H177" s="67">
        <f t="shared" si="110"/>
        <v>211.20000000000002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69.262257164193272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369.06880001017635</v>
      </c>
      <c r="T177" s="59">
        <f t="shared" si="142"/>
        <v>331.91233237772281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25.606698229622644</v>
      </c>
      <c r="AA177" s="21">
        <f>EXP(-LN(2)/25)*AA176+(1-EXP(-LN(2)/25))/(LN(2)/25)*Calculateur!V177*Calculateur!X177*VLOOKUP('Données projet'!$B$9,Paramètres!$A$1:$I$89,3,0)*0.475*44/12</f>
        <v>2.801410983104669</v>
      </c>
      <c r="AB177" s="21">
        <f>EXP(-LN(2)/2)*AB176+(1-EXP(-LN(2)/2))/(LN(2)/2)*V177*Y177*VLOOKUP('Données projet'!$B$9,Paramètres!$A$1:$I$89,3,0)*0.475*44/12</f>
        <v>8.2938341912424392E-14</v>
      </c>
      <c r="AC177" s="22">
        <f t="shared" si="163"/>
        <v>28.408109212727396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69.262257164193272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-5.6843418860808015E-14</v>
      </c>
      <c r="AJ177" s="13">
        <f>AI177*VLOOKUP('Données projet'!$B$10,Paramètres!$A$1:$I$89,3,0)*VLOOKUP('Données projet'!$B$10,Paramètres!$A$1:$I$89,5,0)</f>
        <v>-3.3992364478763198E-14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270.29397440778314</v>
      </c>
      <c r="AO177" s="59">
        <f t="shared" si="144"/>
        <v>281.95928682679596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13.568005902455369</v>
      </c>
      <c r="AV177" s="21">
        <f>EXP(-LN(2)/25)*AV176+(1-EXP(-LN(2)/25))/(LN(2)/25)*Calculateur!AQ177*Calculateur!AS177*VLOOKUP('Données projet'!$B$10,Paramètres!$A$1:$I$89,3,0)*0.475*44/12</f>
        <v>1.5320379832178335</v>
      </c>
      <c r="AW177" s="21">
        <f>EXP(-LN(2)/2)*AW176+(1-EXP(-LN(2)/2))/(LN(2)/2)*AQ177*AT177*VLOOKUP('Données projet'!$B$10,Paramètres!$A$1:$I$89,3,0)*0.475*44/12</f>
        <v>2.2178681453844987E-16</v>
      </c>
      <c r="AX177" s="21">
        <f t="shared" si="166"/>
        <v>15.100043885673202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69.262257164193272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1.1368683772161603E-12</v>
      </c>
      <c r="BE177" s="13">
        <f>BD177*VLOOKUP('Données projet'!$B$11,Paramètres!$A$1:$I$89,3,0)*VLOOKUP('Données projet'!$B$11,Paramètres!$A$1:$I$89,5,0)</f>
        <v>5.3205440053716299E-13</v>
      </c>
      <c r="BF177" s="13">
        <f t="shared" si="167"/>
        <v>6.579711042921201E-12</v>
      </c>
      <c r="BG177" s="20">
        <f t="shared" si="168"/>
        <v>1.2386324814023317E-11</v>
      </c>
      <c r="BH177" s="59">
        <f t="shared" si="116"/>
        <v>290.62827626872109</v>
      </c>
      <c r="BI177" s="59">
        <f ca="1">AVERAGE(OFFSET($BH$3,0,0,'Données projet'!$E$11+1,1))-AVERAGE(OFFSET($H$3,0,0,'Données projet'!$E$11+1,1))</f>
        <v>308.70979446846718</v>
      </c>
      <c r="BJ177" s="59">
        <f t="shared" si="146"/>
        <v>202.33469175293314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62.210985865932642</v>
      </c>
      <c r="BQ177" s="21">
        <f>EXP(-LN(2)/25)*BQ176+(1-EXP(-LN(2)/25))/(LN(2)/25)*Calculateur!BL177*Calculateur!BN177*VLOOKUP('Données projet'!$B$11,Paramètres!$A$1:$I$89,3,0)*0.475*44/12</f>
        <v>10.567716401851266</v>
      </c>
      <c r="BR177" s="21">
        <f>EXP(-LN(2)/2)*BR176+(1-EXP(-LN(2)/2))/(LN(2)/2)*BL177*BO177*VLOOKUP('Données projet'!$B$11,Paramètres!$A$1:$I$89,3,0)*0.475*44/12</f>
        <v>6.2762264047355031E-6</v>
      </c>
      <c r="BS177" s="22">
        <f t="shared" si="169"/>
        <v>72.778708544010314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69.262257164193272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69.262257164193272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69.262257164193272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69.262257164193272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69.262257164193272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69.262257164193272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69.262257164193272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3.1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11.366666666666667</v>
      </c>
      <c r="H178" s="67">
        <f t="shared" si="110"/>
        <v>211.20000000000002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69.275055353048629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369.06880001017635</v>
      </c>
      <c r="T178" s="59">
        <f t="shared" si="142"/>
        <v>331.91233237772281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25.104566495883461</v>
      </c>
      <c r="AA178" s="21">
        <f>EXP(-LN(2)/25)*AA177+(1-EXP(-LN(2)/25))/(LN(2)/25)*Calculateur!V178*Calculateur!X178*VLOOKUP('Données projet'!$B$9,Paramètres!$A$1:$I$89,3,0)*0.475*44/12</f>
        <v>2.724806252451871</v>
      </c>
      <c r="AB178" s="21">
        <f>EXP(-LN(2)/2)*AB177+(1-EXP(-LN(2)/2))/(LN(2)/2)*V178*Y178*VLOOKUP('Données projet'!$B$9,Paramètres!$A$1:$I$89,3,0)*0.475*44/12</f>
        <v>5.8646263986643738E-14</v>
      </c>
      <c r="AC178" s="22">
        <f t="shared" si="163"/>
        <v>27.829372748335391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69.275055353048629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-5.6843418860808015E-14</v>
      </c>
      <c r="AJ178" s="13">
        <f>AI178*VLOOKUP('Données projet'!$B$10,Paramètres!$A$1:$I$89,3,0)*VLOOKUP('Données projet'!$B$10,Paramètres!$A$1:$I$89,5,0)</f>
        <v>-3.3992364478763198E-14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270.29397440778314</v>
      </c>
      <c r="AO178" s="59">
        <f t="shared" si="144"/>
        <v>281.95928682679596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13.301945582374666</v>
      </c>
      <c r="AV178" s="21">
        <f>EXP(-LN(2)/25)*AV177+(1-EXP(-LN(2)/25))/(LN(2)/25)*Calculateur!AQ178*Calculateur!AS178*VLOOKUP('Données projet'!$B$10,Paramètres!$A$1:$I$89,3,0)*0.475*44/12</f>
        <v>1.4901443240003658</v>
      </c>
      <c r="AW178" s="21">
        <f>EXP(-LN(2)/2)*AW177+(1-EXP(-LN(2)/2))/(LN(2)/2)*AQ178*AT178*VLOOKUP('Données projet'!$B$10,Paramètres!$A$1:$I$89,3,0)*0.475*44/12</f>
        <v>1.5682696053790108E-16</v>
      </c>
      <c r="AX178" s="21">
        <f t="shared" si="166"/>
        <v>14.792089906375031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69.275055353048629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1.1368683772161603E-12</v>
      </c>
      <c r="BE178" s="13">
        <f>BD178*VLOOKUP('Données projet'!$B$11,Paramètres!$A$1:$I$89,3,0)*VLOOKUP('Données projet'!$B$11,Paramètres!$A$1:$I$89,5,0)</f>
        <v>5.3205440053716299E-13</v>
      </c>
      <c r="BF178" s="13">
        <f t="shared" si="167"/>
        <v>6.579711042921201E-12</v>
      </c>
      <c r="BG178" s="20">
        <f t="shared" si="168"/>
        <v>1.2386324814023317E-11</v>
      </c>
      <c r="BH178" s="59">
        <f t="shared" si="116"/>
        <v>290.67520296119068</v>
      </c>
      <c r="BI178" s="59">
        <f ca="1">AVERAGE(OFFSET($BH$3,0,0,'Données projet'!$E$11+1,1))-AVERAGE(OFFSET($H$3,0,0,'Données projet'!$E$11+1,1))</f>
        <v>308.70979446846718</v>
      </c>
      <c r="BJ178" s="59">
        <f t="shared" si="146"/>
        <v>202.33469175293314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60.991066378056331</v>
      </c>
      <c r="BQ178" s="21">
        <f>EXP(-LN(2)/25)*BQ177+(1-EXP(-LN(2)/25))/(LN(2)/25)*Calculateur!BL178*Calculateur!BN178*VLOOKUP('Données projet'!$B$11,Paramètres!$A$1:$I$89,3,0)*0.475*44/12</f>
        <v>10.278741641110591</v>
      </c>
      <c r="BR178" s="21">
        <f>EXP(-LN(2)/2)*BR177+(1-EXP(-LN(2)/2))/(LN(2)/2)*BL178*BO178*VLOOKUP('Données projet'!$B$11,Paramètres!$A$1:$I$89,3,0)*0.475*44/12</f>
        <v>4.4379622510505391E-6</v>
      </c>
      <c r="BS178" s="22">
        <f t="shared" si="169"/>
        <v>71.269812457129163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69.275055353048629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69.275055353048629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69.275055353048629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69.275055353048629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69.275055353048629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69.275055353048629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69.275055353048629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3.1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11.366666666666667</v>
      </c>
      <c r="H179" s="67">
        <f t="shared" si="110"/>
        <v>211.20000000000002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69.287631521939815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369.06880001017635</v>
      </c>
      <c r="T179" s="59">
        <f t="shared" si="142"/>
        <v>331.91233237772281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24.612281259172786</v>
      </c>
      <c r="AA179" s="21">
        <f>EXP(-LN(2)/25)*AA178+(1-EXP(-LN(2)/25))/(LN(2)/25)*Calculateur!V179*Calculateur!X179*VLOOKUP('Données projet'!$B$9,Paramètres!$A$1:$I$89,3,0)*0.475*44/12</f>
        <v>2.6502962821872416</v>
      </c>
      <c r="AB179" s="21">
        <f>EXP(-LN(2)/2)*AB178+(1-EXP(-LN(2)/2))/(LN(2)/2)*V179*Y179*VLOOKUP('Données projet'!$B$9,Paramètres!$A$1:$I$89,3,0)*0.475*44/12</f>
        <v>4.1469170956212196E-14</v>
      </c>
      <c r="AC179" s="22">
        <f t="shared" si="163"/>
        <v>27.26257754136007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69.287631521939815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-5.6843418860808015E-14</v>
      </c>
      <c r="AJ179" s="13">
        <f>AI179*VLOOKUP('Données projet'!$B$10,Paramètres!$A$1:$I$89,3,0)*VLOOKUP('Données projet'!$B$10,Paramètres!$A$1:$I$89,5,0)</f>
        <v>-3.3992364478763198E-14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270.29397440778314</v>
      </c>
      <c r="AO179" s="59">
        <f t="shared" si="144"/>
        <v>281.95928682679596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13.041102542889973</v>
      </c>
      <c r="AV179" s="21">
        <f>EXP(-LN(2)/25)*AV178+(1-EXP(-LN(2)/25))/(LN(2)/25)*Calculateur!AQ179*Calculateur!AS179*VLOOKUP('Données projet'!$B$10,Paramètres!$A$1:$I$89,3,0)*0.475*44/12</f>
        <v>1.4493962490972916</v>
      </c>
      <c r="AW179" s="21">
        <f>EXP(-LN(2)/2)*AW178+(1-EXP(-LN(2)/2))/(LN(2)/2)*AQ179*AT179*VLOOKUP('Données projet'!$B$10,Paramètres!$A$1:$I$89,3,0)*0.475*44/12</f>
        <v>1.1089340726922496E-16</v>
      </c>
      <c r="AX179" s="21">
        <f t="shared" si="166"/>
        <v>14.490498791987266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69.287631521939815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1.1368683772161603E-12</v>
      </c>
      <c r="BE179" s="13">
        <f>BD179*VLOOKUP('Données projet'!$B$11,Paramètres!$A$1:$I$89,3,0)*VLOOKUP('Données projet'!$B$11,Paramètres!$A$1:$I$89,5,0)</f>
        <v>5.3205440053716299E-13</v>
      </c>
      <c r="BF179" s="13">
        <f t="shared" si="167"/>
        <v>6.579711042921201E-12</v>
      </c>
      <c r="BG179" s="20">
        <f t="shared" si="168"/>
        <v>1.2386324814023317E-11</v>
      </c>
      <c r="BH179" s="59">
        <f t="shared" si="116"/>
        <v>290.72131558045839</v>
      </c>
      <c r="BI179" s="59">
        <f ca="1">AVERAGE(OFFSET($BH$3,0,0,'Données projet'!$E$11+1,1))-AVERAGE(OFFSET($H$3,0,0,'Données projet'!$E$11+1,1))</f>
        <v>308.70979446846718</v>
      </c>
      <c r="BJ179" s="59">
        <f t="shared" si="146"/>
        <v>202.33469175293314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59.795068767259856</v>
      </c>
      <c r="BQ179" s="21">
        <f>EXP(-LN(2)/25)*BQ178+(1-EXP(-LN(2)/25))/(LN(2)/25)*Calculateur!BL179*Calculateur!BN179*VLOOKUP('Données projet'!$B$11,Paramètres!$A$1:$I$89,3,0)*0.475*44/12</f>
        <v>9.9976689103988914</v>
      </c>
      <c r="BR179" s="21">
        <f>EXP(-LN(2)/2)*BR178+(1-EXP(-LN(2)/2))/(LN(2)/2)*BL179*BO179*VLOOKUP('Données projet'!$B$11,Paramètres!$A$1:$I$89,3,0)*0.475*44/12</f>
        <v>3.1381132023677515E-6</v>
      </c>
      <c r="BS179" s="22">
        <f t="shared" si="169"/>
        <v>69.79274081577195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69.287631521939815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69.287631521939815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69.287631521939815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69.287631521939815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69.287631521939815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69.287631521939815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69.287631521939815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3.1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11.366666666666667</v>
      </c>
      <c r="H180" s="67">
        <f t="shared" si="110"/>
        <v>211.20000000000002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69.299989522416837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369.06880001017635</v>
      </c>
      <c r="T180" s="59">
        <f t="shared" si="142"/>
        <v>331.91233237772281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24.129649435689664</v>
      </c>
      <c r="AA180" s="21">
        <f>EXP(-LN(2)/25)*AA179+(1-EXP(-LN(2)/25))/(LN(2)/25)*Calculateur!V180*Calculateur!X180*VLOOKUP('Données projet'!$B$9,Paramètres!$A$1:$I$89,3,0)*0.475*44/12</f>
        <v>2.5778237909778072</v>
      </c>
      <c r="AB180" s="21">
        <f>EXP(-LN(2)/2)*AB179+(1-EXP(-LN(2)/2))/(LN(2)/2)*V180*Y180*VLOOKUP('Données projet'!$B$9,Paramètres!$A$1:$I$89,3,0)*0.475*44/12</f>
        <v>2.9323131993321869E-14</v>
      </c>
      <c r="AC180" s="22">
        <f t="shared" si="163"/>
        <v>26.707473226667499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69.299989522416837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-5.6843418860808015E-14</v>
      </c>
      <c r="AJ180" s="13">
        <f>AI180*VLOOKUP('Données projet'!$B$10,Paramètres!$A$1:$I$89,3,0)*VLOOKUP('Données projet'!$B$10,Paramètres!$A$1:$I$89,5,0)</f>
        <v>-3.3992364478763198E-14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270.29397440778314</v>
      </c>
      <c r="AO180" s="59">
        <f t="shared" si="144"/>
        <v>281.95928682679596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12.785374476311032</v>
      </c>
      <c r="AV180" s="21">
        <f>EXP(-LN(2)/25)*AV179+(1-EXP(-LN(2)/25))/(LN(2)/25)*Calculateur!AQ180*Calculateur!AS180*VLOOKUP('Données projet'!$B$10,Paramètres!$A$1:$I$89,3,0)*0.475*44/12</f>
        <v>1.40976243244529</v>
      </c>
      <c r="AW180" s="21">
        <f>EXP(-LN(2)/2)*AW179+(1-EXP(-LN(2)/2))/(LN(2)/2)*AQ180*AT180*VLOOKUP('Données projet'!$B$10,Paramètres!$A$1:$I$89,3,0)*0.475*44/12</f>
        <v>7.8413480268950555E-17</v>
      </c>
      <c r="AX180" s="21">
        <f t="shared" si="166"/>
        <v>14.195136908756322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69.299989522416837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1.1368683772161603E-12</v>
      </c>
      <c r="BE180" s="13">
        <f>BD180*VLOOKUP('Données projet'!$B$11,Paramètres!$A$1:$I$89,3,0)*VLOOKUP('Données projet'!$B$11,Paramètres!$A$1:$I$89,5,0)</f>
        <v>5.3205440053716299E-13</v>
      </c>
      <c r="BF180" s="13">
        <f t="shared" si="167"/>
        <v>6.579711042921201E-12</v>
      </c>
      <c r="BG180" s="20">
        <f t="shared" si="168"/>
        <v>1.2386324814023317E-11</v>
      </c>
      <c r="BH180" s="59">
        <f t="shared" si="116"/>
        <v>290.76662824887416</v>
      </c>
      <c r="BI180" s="59">
        <f ca="1">AVERAGE(OFFSET($BH$3,0,0,'Données projet'!$E$11+1,1))-AVERAGE(OFFSET($H$3,0,0,'Données projet'!$E$11+1,1))</f>
        <v>308.70979446846718</v>
      </c>
      <c r="BJ180" s="59">
        <f t="shared" si="146"/>
        <v>202.33469175293314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58.622523940124587</v>
      </c>
      <c r="BQ180" s="21">
        <f>EXP(-LN(2)/25)*BQ179+(1-EXP(-LN(2)/25))/(LN(2)/25)*Calculateur!BL180*Calculateur!BN180*VLOOKUP('Données projet'!$B$11,Paramètres!$A$1:$I$89,3,0)*0.475*44/12</f>
        <v>9.7242821282894756</v>
      </c>
      <c r="BR180" s="21">
        <f>EXP(-LN(2)/2)*BR179+(1-EXP(-LN(2)/2))/(LN(2)/2)*BL180*BO180*VLOOKUP('Données projet'!$B$11,Paramètres!$A$1:$I$89,3,0)*0.475*44/12</f>
        <v>2.2189811255252696E-6</v>
      </c>
      <c r="BS180" s="22">
        <f t="shared" si="169"/>
        <v>68.346808287395191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69.299989522416837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69.299989522416837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69.299989522416837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69.299989522416837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69.299989522416837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69.299989522416837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69.299989522416837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3.1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11.366666666666667</v>
      </c>
      <c r="H181" s="67">
        <f t="shared" si="110"/>
        <v>211.20000000000002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69.312133139213927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369.06880001017635</v>
      </c>
      <c r="T181" s="59">
        <f t="shared" si="142"/>
        <v>331.91233237772281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23.6564817278887</v>
      </c>
      <c r="AA181" s="21">
        <f>EXP(-LN(2)/25)*AA180+(1-EXP(-LN(2)/25))/(LN(2)/25)*Calculateur!V181*Calculateur!X181*VLOOKUP('Données projet'!$B$9,Paramètres!$A$1:$I$89,3,0)*0.475*44/12</f>
        <v>2.5073330638516578</v>
      </c>
      <c r="AB181" s="21">
        <f>EXP(-LN(2)/2)*AB180+(1-EXP(-LN(2)/2))/(LN(2)/2)*V181*Y181*VLOOKUP('Données projet'!$B$9,Paramètres!$A$1:$I$89,3,0)*0.475*44/12</f>
        <v>2.0734585478106098E-14</v>
      </c>
      <c r="AC181" s="22">
        <f t="shared" si="163"/>
        <v>26.163814791740378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69.312133139213927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-5.6843418860808015E-14</v>
      </c>
      <c r="AJ181" s="13">
        <f>AI181*VLOOKUP('Données projet'!$B$10,Paramètres!$A$1:$I$89,3,0)*VLOOKUP('Données projet'!$B$10,Paramètres!$A$1:$I$89,5,0)</f>
        <v>-3.3992364478763198E-14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270.29397440778314</v>
      </c>
      <c r="AO181" s="59">
        <f t="shared" si="144"/>
        <v>281.95928682679596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12.534661081138985</v>
      </c>
      <c r="AV181" s="21">
        <f>EXP(-LN(2)/25)*AV180+(1-EXP(-LN(2)/25))/(LN(2)/25)*Calculateur!AQ181*Calculateur!AS181*VLOOKUP('Données projet'!$B$10,Paramètres!$A$1:$I$89,3,0)*0.475*44/12</f>
        <v>1.3712124045938892</v>
      </c>
      <c r="AW181" s="21">
        <f>EXP(-LN(2)/2)*AW180+(1-EXP(-LN(2)/2))/(LN(2)/2)*AQ181*AT181*VLOOKUP('Données projet'!$B$10,Paramètres!$A$1:$I$89,3,0)*0.475*44/12</f>
        <v>5.5446703634612485E-17</v>
      </c>
      <c r="AX181" s="21">
        <f t="shared" si="166"/>
        <v>13.905873485732874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69.312133139213927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1.1368683772161603E-12</v>
      </c>
      <c r="BE181" s="13">
        <f>BD181*VLOOKUP('Données projet'!$B$11,Paramètres!$A$1:$I$89,3,0)*VLOOKUP('Données projet'!$B$11,Paramètres!$A$1:$I$89,5,0)</f>
        <v>5.3205440053716299E-13</v>
      </c>
      <c r="BF181" s="13">
        <f t="shared" si="167"/>
        <v>6.579711042921201E-12</v>
      </c>
      <c r="BG181" s="20">
        <f t="shared" si="168"/>
        <v>1.2386324814023317E-11</v>
      </c>
      <c r="BH181" s="59">
        <f t="shared" si="116"/>
        <v>290.81115484379677</v>
      </c>
      <c r="BI181" s="59">
        <f ca="1">AVERAGE(OFFSET($BH$3,0,0,'Données projet'!$E$11+1,1))-AVERAGE(OFFSET($H$3,0,0,'Données projet'!$E$11+1,1))</f>
        <v>308.70979446846718</v>
      </c>
      <c r="BJ181" s="59">
        <f t="shared" si="146"/>
        <v>202.33469175293314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57.472972001867717</v>
      </c>
      <c r="BQ181" s="21">
        <f>EXP(-LN(2)/25)*BQ180+(1-EXP(-LN(2)/25))/(LN(2)/25)*Calculateur!BL181*Calculateur!BN181*VLOOKUP('Données projet'!$B$11,Paramètres!$A$1:$I$89,3,0)*0.475*44/12</f>
        <v>9.4583711221136273</v>
      </c>
      <c r="BR181" s="21">
        <f>EXP(-LN(2)/2)*BR180+(1-EXP(-LN(2)/2))/(LN(2)/2)*BL181*BO181*VLOOKUP('Données projet'!$B$11,Paramètres!$A$1:$I$89,3,0)*0.475*44/12</f>
        <v>1.5690566011838758E-6</v>
      </c>
      <c r="BS181" s="22">
        <f t="shared" si="169"/>
        <v>66.931344693037957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69.312133139213927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69.312133139213927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69.312133139213927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69.312133139213927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69.312133139213927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69.312133139213927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69.312133139213927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3.1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11.366666666666667</v>
      </c>
      <c r="H182" s="67">
        <f t="shared" si="110"/>
        <v>211.20000000000002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69.324066091408639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369.06880001017635</v>
      </c>
      <c r="T182" s="59">
        <f t="shared" si="142"/>
        <v>331.91233237772281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23.192592550233908</v>
      </c>
      <c r="AA182" s="21">
        <f>EXP(-LN(2)/25)*AA181+(1-EXP(-LN(2)/25))/(LN(2)/25)*Calculateur!V182*Calculateur!X182*VLOOKUP('Données projet'!$B$9,Paramètres!$A$1:$I$89,3,0)*0.475*44/12</f>
        <v>2.4387699093657189</v>
      </c>
      <c r="AB182" s="21">
        <f>EXP(-LN(2)/2)*AB181+(1-EXP(-LN(2)/2))/(LN(2)/2)*V182*Y182*VLOOKUP('Données projet'!$B$9,Paramètres!$A$1:$I$89,3,0)*0.475*44/12</f>
        <v>1.4661565996660934E-14</v>
      </c>
      <c r="AC182" s="22">
        <f t="shared" si="163"/>
        <v>25.631362459599639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69.324066091408639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-5.6843418860808015E-14</v>
      </c>
      <c r="AJ182" s="13">
        <f>AI182*VLOOKUP('Données projet'!$B$10,Paramètres!$A$1:$I$89,3,0)*VLOOKUP('Données projet'!$B$10,Paramètres!$A$1:$I$89,5,0)</f>
        <v>-3.3992364478763198E-14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270.29397440778314</v>
      </c>
      <c r="AO182" s="59">
        <f t="shared" si="144"/>
        <v>281.95928682679596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12.288864022726189</v>
      </c>
      <c r="AV182" s="21">
        <f>EXP(-LN(2)/25)*AV181+(1-EXP(-LN(2)/25))/(LN(2)/25)*Calculateur!AQ182*Calculateur!AS182*VLOOKUP('Données projet'!$B$10,Paramètres!$A$1:$I$89,3,0)*0.475*44/12</f>
        <v>1.3337165292813429</v>
      </c>
      <c r="AW182" s="21">
        <f>EXP(-LN(2)/2)*AW181+(1-EXP(-LN(2)/2))/(LN(2)/2)*AQ182*AT182*VLOOKUP('Données projet'!$B$10,Paramètres!$A$1:$I$89,3,0)*0.475*44/12</f>
        <v>3.9206740134475284E-17</v>
      </c>
      <c r="AX182" s="21">
        <f t="shared" si="166"/>
        <v>13.622580552007532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69.324066091408639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1.1368683772161603E-12</v>
      </c>
      <c r="BE182" s="13">
        <f>BD182*VLOOKUP('Données projet'!$B$11,Paramètres!$A$1:$I$89,3,0)*VLOOKUP('Données projet'!$B$11,Paramètres!$A$1:$I$89,5,0)</f>
        <v>5.3205440053716299E-13</v>
      </c>
      <c r="BF182" s="13">
        <f t="shared" si="167"/>
        <v>6.579711042921201E-12</v>
      </c>
      <c r="BG182" s="20">
        <f t="shared" si="168"/>
        <v>1.2386324814023317E-11</v>
      </c>
      <c r="BH182" s="59">
        <f t="shared" si="116"/>
        <v>290.85490900184408</v>
      </c>
      <c r="BI182" s="59">
        <f ca="1">AVERAGE(OFFSET($BH$3,0,0,'Données projet'!$E$11+1,1))-AVERAGE(OFFSET($H$3,0,0,'Données projet'!$E$11+1,1))</f>
        <v>308.70979446846718</v>
      </c>
      <c r="BJ182" s="59">
        <f t="shared" si="146"/>
        <v>202.33469175293314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56.345962075962611</v>
      </c>
      <c r="BQ182" s="21">
        <f>EXP(-LN(2)/25)*BQ181+(1-EXP(-LN(2)/25))/(LN(2)/25)*Calculateur!BL182*Calculateur!BN182*VLOOKUP('Données projet'!$B$11,Paramètres!$A$1:$I$89,3,0)*0.475*44/12</f>
        <v>9.1997314663853107</v>
      </c>
      <c r="BR182" s="21">
        <f>EXP(-LN(2)/2)*BR181+(1-EXP(-LN(2)/2))/(LN(2)/2)*BL182*BO182*VLOOKUP('Données projet'!$B$11,Paramètres!$A$1:$I$89,3,0)*0.475*44/12</f>
        <v>1.1094905627626348E-6</v>
      </c>
      <c r="BS182" s="22">
        <f t="shared" si="169"/>
        <v>65.545694651838488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69.324066091408639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69.324066091408639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69.324066091408639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69.324066091408639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69.324066091408639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69.324066091408639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69.324066091408639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3.1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11.366666666666667</v>
      </c>
      <c r="H183" s="67">
        <f t="shared" si="110"/>
        <v>211.20000000000002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69.335792033560878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369.06880001017635</v>
      </c>
      <c r="T183" s="59">
        <f t="shared" si="142"/>
        <v>331.91233237772281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22.737799956408466</v>
      </c>
      <c r="AA183" s="21">
        <f>EXP(-LN(2)/25)*AA182+(1-EXP(-LN(2)/25))/(LN(2)/25)*Calculateur!V183*Calculateur!X183*VLOOKUP('Données projet'!$B$9,Paramètres!$A$1:$I$89,3,0)*0.475*44/12</f>
        <v>2.3720816179447777</v>
      </c>
      <c r="AB183" s="21">
        <f>EXP(-LN(2)/2)*AB182+(1-EXP(-LN(2)/2))/(LN(2)/2)*V183*Y183*VLOOKUP('Données projet'!$B$9,Paramètres!$A$1:$I$89,3,0)*0.475*44/12</f>
        <v>1.0367292739053049E-14</v>
      </c>
      <c r="AC183" s="22">
        <f t="shared" si="163"/>
        <v>25.109881574353256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69.335792033560878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-5.6843418860808015E-14</v>
      </c>
      <c r="AJ183" s="13">
        <f>AI183*VLOOKUP('Données projet'!$B$10,Paramètres!$A$1:$I$89,3,0)*VLOOKUP('Données projet'!$B$10,Paramètres!$A$1:$I$89,5,0)</f>
        <v>-3.3992364478763198E-14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270.29397440778314</v>
      </c>
      <c r="AO183" s="59">
        <f t="shared" si="144"/>
        <v>281.95928682679596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12.047886894707467</v>
      </c>
      <c r="AV183" s="21">
        <f>EXP(-LN(2)/25)*AV182+(1-EXP(-LN(2)/25))/(LN(2)/25)*Calculateur!AQ183*Calculateur!AS183*VLOOKUP('Données projet'!$B$10,Paramètres!$A$1:$I$89,3,0)*0.475*44/12</f>
        <v>1.2972459806510406</v>
      </c>
      <c r="AW183" s="21">
        <f>EXP(-LN(2)/2)*AW182+(1-EXP(-LN(2)/2))/(LN(2)/2)*AQ183*AT183*VLOOKUP('Données projet'!$B$10,Paramètres!$A$1:$I$89,3,0)*0.475*44/12</f>
        <v>2.7723351817306246E-17</v>
      </c>
      <c r="AX183" s="21">
        <f t="shared" si="166"/>
        <v>13.345132875358509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69.335792033560878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1.1368683772161603E-12</v>
      </c>
      <c r="BE183" s="13">
        <f>BD183*VLOOKUP('Données projet'!$B$11,Paramètres!$A$1:$I$89,3,0)*VLOOKUP('Données projet'!$B$11,Paramètres!$A$1:$I$89,5,0)</f>
        <v>5.3205440053716299E-13</v>
      </c>
      <c r="BF183" s="13">
        <f t="shared" si="167"/>
        <v>6.579711042921201E-12</v>
      </c>
      <c r="BG183" s="20">
        <f t="shared" si="168"/>
        <v>1.2386324814023317E-11</v>
      </c>
      <c r="BH183" s="59">
        <f t="shared" si="116"/>
        <v>290.89790412306894</v>
      </c>
      <c r="BI183" s="59">
        <f ca="1">AVERAGE(OFFSET($BH$3,0,0,'Données projet'!$E$11+1,1))-AVERAGE(OFFSET($H$3,0,0,'Données projet'!$E$11+1,1))</f>
        <v>308.70979446846718</v>
      </c>
      <c r="BJ183" s="59">
        <f t="shared" si="146"/>
        <v>202.33469175293314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55.241052127296328</v>
      </c>
      <c r="BQ183" s="21">
        <f>EXP(-LN(2)/25)*BQ182+(1-EXP(-LN(2)/25))/(LN(2)/25)*Calculateur!BL183*Calculateur!BN183*VLOOKUP('Données projet'!$B$11,Paramètres!$A$1:$I$89,3,0)*0.475*44/12</f>
        <v>8.9481643256441536</v>
      </c>
      <c r="BR183" s="21">
        <f>EXP(-LN(2)/2)*BR182+(1-EXP(-LN(2)/2))/(LN(2)/2)*BL183*BO183*VLOOKUP('Données projet'!$B$11,Paramètres!$A$1:$I$89,3,0)*0.475*44/12</f>
        <v>7.8452830059193788E-7</v>
      </c>
      <c r="BS183" s="22">
        <f t="shared" si="169"/>
        <v>64.189217237468782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69.335792033560878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69.335792033560878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69.335792033560878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69.335792033560878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69.335792033560878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69.335792033560878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69.335792033560878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3.1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11.366666666666667</v>
      </c>
      <c r="H184" s="67">
        <f t="shared" si="110"/>
        <v>211.20000000000002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69.347314556832032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369.06880001017635</v>
      </c>
      <c r="T184" s="59">
        <f t="shared" si="142"/>
        <v>331.91233237772281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22.29192556795185</v>
      </c>
      <c r="AA184" s="21">
        <f>EXP(-LN(2)/25)*AA183+(1-EXP(-LN(2)/25))/(LN(2)/25)*Calculateur!V184*Calculateur!X184*VLOOKUP('Données projet'!$B$9,Paramètres!$A$1:$I$89,3,0)*0.475*44/12</f>
        <v>2.3072169213597271</v>
      </c>
      <c r="AB184" s="21">
        <f>EXP(-LN(2)/2)*AB183+(1-EXP(-LN(2)/2))/(LN(2)/2)*V184*Y184*VLOOKUP('Données projet'!$B$9,Paramètres!$A$1:$I$89,3,0)*0.475*44/12</f>
        <v>7.3307829983304672E-15</v>
      </c>
      <c r="AC184" s="22">
        <f t="shared" si="163"/>
        <v>24.599142489311586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69.347314556832032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-5.6843418860808015E-14</v>
      </c>
      <c r="AJ184" s="13">
        <f>AI184*VLOOKUP('Données projet'!$B$10,Paramètres!$A$1:$I$89,3,0)*VLOOKUP('Données projet'!$B$10,Paramètres!$A$1:$I$89,5,0)</f>
        <v>-3.3992364478763198E-14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270.29397440778314</v>
      </c>
      <c r="AO184" s="59">
        <f t="shared" si="144"/>
        <v>281.95928682679596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11.811635181187658</v>
      </c>
      <c r="AV184" s="21">
        <f>EXP(-LN(2)/25)*AV183+(1-EXP(-LN(2)/25))/(LN(2)/25)*Calculateur!AQ184*Calculateur!AS184*VLOOKUP('Données projet'!$B$10,Paramètres!$A$1:$I$89,3,0)*0.475*44/12</f>
        <v>1.2617727210909366</v>
      </c>
      <c r="AW184" s="21">
        <f>EXP(-LN(2)/2)*AW183+(1-EXP(-LN(2)/2))/(LN(2)/2)*AQ184*AT184*VLOOKUP('Données projet'!$B$10,Paramètres!$A$1:$I$89,3,0)*0.475*44/12</f>
        <v>1.9603370067237645E-17</v>
      </c>
      <c r="AX184" s="21">
        <f t="shared" si="166"/>
        <v>13.073407902278595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69.347314556832032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1.1368683772161603E-12</v>
      </c>
      <c r="BE184" s="13">
        <f>BD184*VLOOKUP('Données projet'!$B$11,Paramètres!$A$1:$I$89,3,0)*VLOOKUP('Données projet'!$B$11,Paramètres!$A$1:$I$89,5,0)</f>
        <v>5.3205440053716299E-13</v>
      </c>
      <c r="BF184" s="13">
        <f t="shared" si="167"/>
        <v>6.579711042921201E-12</v>
      </c>
      <c r="BG184" s="20">
        <f t="shared" si="168"/>
        <v>1.2386324814023317E-11</v>
      </c>
      <c r="BH184" s="59">
        <f t="shared" si="116"/>
        <v>290.94015337506318</v>
      </c>
      <c r="BI184" s="59">
        <f ca="1">AVERAGE(OFFSET($BH$3,0,0,'Données projet'!$E$11+1,1))-AVERAGE(OFFSET($H$3,0,0,'Données projet'!$E$11+1,1))</f>
        <v>308.70979446846718</v>
      </c>
      <c r="BJ184" s="59">
        <f t="shared" si="146"/>
        <v>202.33469175293314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54.157808788794867</v>
      </c>
      <c r="BQ184" s="21">
        <f>EXP(-LN(2)/25)*BQ183+(1-EXP(-LN(2)/25))/(LN(2)/25)*Calculateur!BL184*Calculateur!BN184*VLOOKUP('Données projet'!$B$11,Paramètres!$A$1:$I$89,3,0)*0.475*44/12</f>
        <v>8.703476301595904</v>
      </c>
      <c r="BR184" s="21">
        <f>EXP(-LN(2)/2)*BR183+(1-EXP(-LN(2)/2))/(LN(2)/2)*BL184*BO184*VLOOKUP('Données projet'!$B$11,Paramètres!$A$1:$I$89,3,0)*0.475*44/12</f>
        <v>5.5474528138131739E-7</v>
      </c>
      <c r="BS184" s="22">
        <f t="shared" si="169"/>
        <v>62.861285645136057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69.347314556832032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69.347314556832032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69.347314556832032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69.347314556832032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69.347314556832032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69.347314556832032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69.347314556832032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3.1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11.366666666666667</v>
      </c>
      <c r="H185" s="67">
        <f t="shared" si="110"/>
        <v>211.20000000000002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69.358637190084963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369.06880001017635</v>
      </c>
      <c r="T185" s="59">
        <f t="shared" si="142"/>
        <v>331.91233237772281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21.854794504296343</v>
      </c>
      <c r="AA185" s="21">
        <f>EXP(-LN(2)/25)*AA184+(1-EXP(-LN(2)/25))/(LN(2)/25)*Calculateur!V185*Calculateur!X185*VLOOKUP('Données projet'!$B$9,Paramètres!$A$1:$I$89,3,0)*0.475*44/12</f>
        <v>2.2441259533138807</v>
      </c>
      <c r="AB185" s="21">
        <f>EXP(-LN(2)/2)*AB184+(1-EXP(-LN(2)/2))/(LN(2)/2)*V185*Y185*VLOOKUP('Données projet'!$B$9,Paramètres!$A$1:$I$89,3,0)*0.475*44/12</f>
        <v>5.1836463695265245E-15</v>
      </c>
      <c r="AC185" s="22">
        <f t="shared" si="163"/>
        <v>24.098920457610227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69.358637190084963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-5.6843418860808015E-14</v>
      </c>
      <c r="AJ185" s="13">
        <f>AI185*VLOOKUP('Données projet'!$B$10,Paramètres!$A$1:$I$89,3,0)*VLOOKUP('Données projet'!$B$10,Paramètres!$A$1:$I$89,5,0)</f>
        <v>-3.3992364478763198E-14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270.29397440778314</v>
      </c>
      <c r="AO185" s="59">
        <f t="shared" si="144"/>
        <v>281.95928682679596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11.580016219670654</v>
      </c>
      <c r="AV185" s="21">
        <f>EXP(-LN(2)/25)*AV184+(1-EXP(-LN(2)/25))/(LN(2)/25)*Calculateur!AQ185*Calculateur!AS185*VLOOKUP('Données projet'!$B$10,Paramètres!$A$1:$I$89,3,0)*0.475*44/12</f>
        <v>1.2272694796789614</v>
      </c>
      <c r="AW185" s="21">
        <f>EXP(-LN(2)/2)*AW184+(1-EXP(-LN(2)/2))/(LN(2)/2)*AQ185*AT185*VLOOKUP('Données projet'!$B$10,Paramètres!$A$1:$I$89,3,0)*0.475*44/12</f>
        <v>1.3861675908653126E-17</v>
      </c>
      <c r="AX185" s="21">
        <f t="shared" si="166"/>
        <v>12.807285699349615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69.358637190084963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1.1368683772161603E-12</v>
      </c>
      <c r="BE185" s="13">
        <f>BD185*VLOOKUP('Données projet'!$B$11,Paramètres!$A$1:$I$89,3,0)*VLOOKUP('Données projet'!$B$11,Paramètres!$A$1:$I$89,5,0)</f>
        <v>5.3205440053716299E-13</v>
      </c>
      <c r="BF185" s="13">
        <f t="shared" si="167"/>
        <v>6.579711042921201E-12</v>
      </c>
      <c r="BG185" s="20">
        <f t="shared" si="168"/>
        <v>1.2386324814023317E-11</v>
      </c>
      <c r="BH185" s="59">
        <f t="shared" si="116"/>
        <v>290.98166969699059</v>
      </c>
      <c r="BI185" s="59">
        <f ca="1">AVERAGE(OFFSET($BH$3,0,0,'Données projet'!$E$11+1,1))-AVERAGE(OFFSET($H$3,0,0,'Données projet'!$E$11+1,1))</f>
        <v>308.70979446846718</v>
      </c>
      <c r="BJ185" s="59">
        <f t="shared" si="146"/>
        <v>202.33469175293314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53.095807191448223</v>
      </c>
      <c r="BQ185" s="21">
        <f>EXP(-LN(2)/25)*BQ184+(1-EXP(-LN(2)/25))/(LN(2)/25)*Calculateur!BL185*Calculateur!BN185*VLOOKUP('Données projet'!$B$11,Paramètres!$A$1:$I$89,3,0)*0.475*44/12</f>
        <v>8.4654792844328366</v>
      </c>
      <c r="BR185" s="21">
        <f>EXP(-LN(2)/2)*BR184+(1-EXP(-LN(2)/2))/(LN(2)/2)*BL185*BO185*VLOOKUP('Données projet'!$B$11,Paramètres!$A$1:$I$89,3,0)*0.475*44/12</f>
        <v>3.9226415029596894E-7</v>
      </c>
      <c r="BS185" s="22">
        <f t="shared" si="169"/>
        <v>61.56128686814521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69.358637190084963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69.358637190084963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69.358637190084963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69.358637190084963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69.358637190084963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69.358637190084963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69.358637190084963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3.1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11.366666666666667</v>
      </c>
      <c r="H186" s="67">
        <f t="shared" si="110"/>
        <v>211.20000000000002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69.369763400964558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369.06880001017635</v>
      </c>
      <c r="T186" s="59">
        <f t="shared" si="142"/>
        <v>331.91233237772281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21.4262353141755</v>
      </c>
      <c r="AA186" s="21">
        <f>EXP(-LN(2)/25)*AA185+(1-EXP(-LN(2)/25))/(LN(2)/25)*Calculateur!V186*Calculateur!X186*VLOOKUP('Données projet'!$B$9,Paramètres!$A$1:$I$89,3,0)*0.475*44/12</f>
        <v>2.1827602111070576</v>
      </c>
      <c r="AB186" s="21">
        <f>EXP(-LN(2)/2)*AB185+(1-EXP(-LN(2)/2))/(LN(2)/2)*V186*Y186*VLOOKUP('Données projet'!$B$9,Paramètres!$A$1:$I$89,3,0)*0.475*44/12</f>
        <v>3.6653914991652336E-15</v>
      </c>
      <c r="AC186" s="22">
        <f t="shared" si="163"/>
        <v>23.608995525282563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69.369763400964558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-5.6843418860808015E-14</v>
      </c>
      <c r="AJ186" s="13">
        <f>AI186*VLOOKUP('Données projet'!$B$10,Paramètres!$A$1:$I$89,3,0)*VLOOKUP('Données projet'!$B$10,Paramètres!$A$1:$I$89,5,0)</f>
        <v>-3.3992364478763198E-14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270.29397440778314</v>
      </c>
      <c r="AO186" s="59">
        <f t="shared" si="144"/>
        <v>281.95928682679596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11.352939164715382</v>
      </c>
      <c r="AV186" s="21">
        <f>EXP(-LN(2)/25)*AV185+(1-EXP(-LN(2)/25))/(LN(2)/25)*Calculateur!AQ186*Calculateur!AS186*VLOOKUP('Données projet'!$B$10,Paramètres!$A$1:$I$89,3,0)*0.475*44/12</f>
        <v>1.1937097312178433</v>
      </c>
      <c r="AW186" s="21">
        <f>EXP(-LN(2)/2)*AW185+(1-EXP(-LN(2)/2))/(LN(2)/2)*AQ186*AT186*VLOOKUP('Données projet'!$B$10,Paramètres!$A$1:$I$89,3,0)*0.475*44/12</f>
        <v>9.801685033618824E-18</v>
      </c>
      <c r="AX186" s="21">
        <f t="shared" si="166"/>
        <v>12.546648895933226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69.369763400964558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1.1368683772161603E-12</v>
      </c>
      <c r="BE186" s="13">
        <f>BD186*VLOOKUP('Données projet'!$B$11,Paramètres!$A$1:$I$89,3,0)*VLOOKUP('Données projet'!$B$11,Paramètres!$A$1:$I$89,5,0)</f>
        <v>5.3205440053716299E-13</v>
      </c>
      <c r="BF186" s="13">
        <f t="shared" si="167"/>
        <v>6.579711042921201E-12</v>
      </c>
      <c r="BG186" s="20">
        <f t="shared" si="168"/>
        <v>1.2386324814023317E-11</v>
      </c>
      <c r="BH186" s="59">
        <f t="shared" si="116"/>
        <v>291.0224658035491</v>
      </c>
      <c r="BI186" s="59">
        <f ca="1">AVERAGE(OFFSET($BH$3,0,0,'Données projet'!$E$11+1,1))-AVERAGE(OFFSET($H$3,0,0,'Données projet'!$E$11+1,1))</f>
        <v>308.70979446846718</v>
      </c>
      <c r="BJ186" s="59">
        <f t="shared" si="146"/>
        <v>202.33469175293314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52.05463079766853</v>
      </c>
      <c r="BQ186" s="21">
        <f>EXP(-LN(2)/25)*BQ185+(1-EXP(-LN(2)/25))/(LN(2)/25)*Calculateur!BL186*Calculateur!BN186*VLOOKUP('Données projet'!$B$11,Paramètres!$A$1:$I$89,3,0)*0.475*44/12</f>
        <v>8.2339903082198127</v>
      </c>
      <c r="BR186" s="21">
        <f>EXP(-LN(2)/2)*BR185+(1-EXP(-LN(2)/2))/(LN(2)/2)*BL186*BO186*VLOOKUP('Données projet'!$B$11,Paramètres!$A$1:$I$89,3,0)*0.475*44/12</f>
        <v>2.773726406906587E-7</v>
      </c>
      <c r="BS186" s="22">
        <f t="shared" si="169"/>
        <v>60.288621383260981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69.369763400964558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69.369763400964558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69.369763400964558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69.369763400964558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69.369763400964558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69.369763400964558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69.369763400964558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3.1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11.366666666666667</v>
      </c>
      <c r="H187" s="67">
        <f t="shared" si="110"/>
        <v>211.20000000000002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69.380696596959865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369.06880001017635</v>
      </c>
      <c r="T187" s="59">
        <f t="shared" si="142"/>
        <v>331.91233237772281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21.006079908377632</v>
      </c>
      <c r="AA187" s="21">
        <f>EXP(-LN(2)/25)*AA186+(1-EXP(-LN(2)/25))/(LN(2)/25)*Calculateur!V187*Calculateur!X187*VLOOKUP('Données projet'!$B$9,Paramètres!$A$1:$I$89,3,0)*0.475*44/12</f>
        <v>2.1230725183479646</v>
      </c>
      <c r="AB187" s="21">
        <f>EXP(-LN(2)/2)*AB186+(1-EXP(-LN(2)/2))/(LN(2)/2)*V187*Y187*VLOOKUP('Données projet'!$B$9,Paramètres!$A$1:$I$89,3,0)*0.475*44/12</f>
        <v>2.5918231847632622E-15</v>
      </c>
      <c r="AC187" s="22">
        <f t="shared" si="163"/>
        <v>23.1291524267256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69.380696596959865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-5.6843418860808015E-14</v>
      </c>
      <c r="AJ187" s="13">
        <f>AI187*VLOOKUP('Données projet'!$B$10,Paramètres!$A$1:$I$89,3,0)*VLOOKUP('Données projet'!$B$10,Paramètres!$A$1:$I$89,5,0)</f>
        <v>-3.3992364478763198E-14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270.29397440778314</v>
      </c>
      <c r="AO187" s="59">
        <f t="shared" si="144"/>
        <v>281.95928682679596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11.130314952304456</v>
      </c>
      <c r="AV187" s="21">
        <f>EXP(-LN(2)/25)*AV186+(1-EXP(-LN(2)/25))/(LN(2)/25)*Calculateur!AQ187*Calculateur!AS187*VLOOKUP('Données projet'!$B$10,Paramètres!$A$1:$I$89,3,0)*0.475*44/12</f>
        <v>1.1610676758432248</v>
      </c>
      <c r="AW187" s="21">
        <f>EXP(-LN(2)/2)*AW186+(1-EXP(-LN(2)/2))/(LN(2)/2)*AQ187*AT187*VLOOKUP('Données projet'!$B$10,Paramètres!$A$1:$I$89,3,0)*0.475*44/12</f>
        <v>6.9308379543265637E-18</v>
      </c>
      <c r="AX187" s="21">
        <f t="shared" si="166"/>
        <v>12.29138262814768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69.380696596959865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1.1368683772161603E-12</v>
      </c>
      <c r="BE187" s="13">
        <f>BD187*VLOOKUP('Données projet'!$B$11,Paramètres!$A$1:$I$89,3,0)*VLOOKUP('Données projet'!$B$11,Paramètres!$A$1:$I$89,5,0)</f>
        <v>5.3205440053716299E-13</v>
      </c>
      <c r="BF187" s="13">
        <f t="shared" si="167"/>
        <v>6.579711042921201E-12</v>
      </c>
      <c r="BG187" s="20">
        <f t="shared" si="168"/>
        <v>1.2386324814023317E-11</v>
      </c>
      <c r="BH187" s="59">
        <f t="shared" si="116"/>
        <v>291.06255418886525</v>
      </c>
      <c r="BI187" s="59">
        <f ca="1">AVERAGE(OFFSET($BH$3,0,0,'Données projet'!$E$11+1,1))-AVERAGE(OFFSET($H$3,0,0,'Données projet'!$E$11+1,1))</f>
        <v>308.70979446846718</v>
      </c>
      <c r="BJ187" s="59">
        <f t="shared" si="146"/>
        <v>202.33469175293314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51.033871237915967</v>
      </c>
      <c r="BQ187" s="21">
        <f>EXP(-LN(2)/25)*BQ186+(1-EXP(-LN(2)/25))/(LN(2)/25)*Calculateur!BL187*Calculateur!BN187*VLOOKUP('Données projet'!$B$11,Paramètres!$A$1:$I$89,3,0)*0.475*44/12</f>
        <v>8.0088314102348104</v>
      </c>
      <c r="BR187" s="21">
        <f>EXP(-LN(2)/2)*BR186+(1-EXP(-LN(2)/2))/(LN(2)/2)*BL187*BO187*VLOOKUP('Données projet'!$B$11,Paramètres!$A$1:$I$89,3,0)*0.475*44/12</f>
        <v>1.9613207514798447E-7</v>
      </c>
      <c r="BS187" s="22">
        <f t="shared" si="169"/>
        <v>59.042702844282857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69.380696596959865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69.380696596959865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69.380696596959865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69.380696596959865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69.380696596959865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69.380696596959865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69.380696596959865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3.1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11.366666666666667</v>
      </c>
      <c r="H188" s="67">
        <f t="shared" si="110"/>
        <v>211.20000000000002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69.391440126447634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369.06880001017635</v>
      </c>
      <c r="T188" s="59">
        <f t="shared" si="142"/>
        <v>331.91233237772281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20.594163493817966</v>
      </c>
      <c r="AA188" s="21">
        <f>EXP(-LN(2)/25)*AA187+(1-EXP(-LN(2)/25))/(LN(2)/25)*Calculateur!V188*Calculateur!X188*VLOOKUP('Données projet'!$B$9,Paramètres!$A$1:$I$89,3,0)*0.475*44/12</f>
        <v>2.065016988686208</v>
      </c>
      <c r="AB188" s="21">
        <f>EXP(-LN(2)/2)*AB187+(1-EXP(-LN(2)/2))/(LN(2)/2)*V188*Y188*VLOOKUP('Données projet'!$B$9,Paramètres!$A$1:$I$89,3,0)*0.475*44/12</f>
        <v>1.8326957495826168E-15</v>
      </c>
      <c r="AC188" s="22">
        <f t="shared" si="163"/>
        <v>22.659180482504176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69.391440126447634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-5.6843418860808015E-14</v>
      </c>
      <c r="AJ188" s="13">
        <f>AI188*VLOOKUP('Données projet'!$B$10,Paramètres!$A$1:$I$89,3,0)*VLOOKUP('Données projet'!$B$10,Paramètres!$A$1:$I$89,5,0)</f>
        <v>-3.3992364478763198E-14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270.29397440778314</v>
      </c>
      <c r="AO188" s="59">
        <f t="shared" si="144"/>
        <v>281.95928682679596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10.912056264911547</v>
      </c>
      <c r="AV188" s="21">
        <f>EXP(-LN(2)/25)*AV187+(1-EXP(-LN(2)/25))/(LN(2)/25)*Calculateur!AQ188*Calculateur!AS188*VLOOKUP('Données projet'!$B$10,Paramètres!$A$1:$I$89,3,0)*0.475*44/12</f>
        <v>1.1293182191893965</v>
      </c>
      <c r="AW188" s="21">
        <f>EXP(-LN(2)/2)*AW187+(1-EXP(-LN(2)/2))/(LN(2)/2)*AQ188*AT188*VLOOKUP('Données projet'!$B$10,Paramètres!$A$1:$I$89,3,0)*0.475*44/12</f>
        <v>4.9008425168094128E-18</v>
      </c>
      <c r="AX188" s="21">
        <f t="shared" si="166"/>
        <v>12.041374484100944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69.391440126447634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1.1368683772161603E-12</v>
      </c>
      <c r="BE188" s="13">
        <f>BD188*VLOOKUP('Données projet'!$B$11,Paramètres!$A$1:$I$89,3,0)*VLOOKUP('Données projet'!$B$11,Paramètres!$A$1:$I$89,5,0)</f>
        <v>5.3205440053716299E-13</v>
      </c>
      <c r="BF188" s="13">
        <f t="shared" si="167"/>
        <v>6.579711042921201E-12</v>
      </c>
      <c r="BG188" s="20">
        <f t="shared" si="168"/>
        <v>1.2386324814023317E-11</v>
      </c>
      <c r="BH188" s="59">
        <f t="shared" si="116"/>
        <v>291.10194713032041</v>
      </c>
      <c r="BI188" s="59">
        <f ca="1">AVERAGE(OFFSET($BH$3,0,0,'Données projet'!$E$11+1,1))-AVERAGE(OFFSET($H$3,0,0,'Données projet'!$E$11+1,1))</f>
        <v>308.70979446846718</v>
      </c>
      <c r="BJ188" s="59">
        <f t="shared" si="146"/>
        <v>202.33469175293314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50.033128150528299</v>
      </c>
      <c r="BQ188" s="21">
        <f>EXP(-LN(2)/25)*BQ187+(1-EXP(-LN(2)/25))/(LN(2)/25)*Calculateur!BL188*Calculateur!BN188*VLOOKUP('Données projet'!$B$11,Paramètres!$A$1:$I$89,3,0)*0.475*44/12</f>
        <v>7.7898294941557999</v>
      </c>
      <c r="BR188" s="21">
        <f>EXP(-LN(2)/2)*BR187+(1-EXP(-LN(2)/2))/(LN(2)/2)*BL188*BO188*VLOOKUP('Données projet'!$B$11,Paramètres!$A$1:$I$89,3,0)*0.475*44/12</f>
        <v>1.3868632034532935E-7</v>
      </c>
      <c r="BS188" s="22">
        <f t="shared" si="169"/>
        <v>57.822957783370413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69.391440126447634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69.391440126447634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69.391440126447634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69.391440126447634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69.391440126447634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69.391440126447634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69.391440126447634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3.1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11.366666666666667</v>
      </c>
      <c r="H189" s="67">
        <f t="shared" si="110"/>
        <v>211.20000000000002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69.401997279717705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369.06880001017635</v>
      </c>
      <c r="T189" s="59">
        <f t="shared" si="142"/>
        <v>331.91233237772281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20.190324508903611</v>
      </c>
      <c r="AA189" s="21">
        <f>EXP(-LN(2)/25)*AA188+(1-EXP(-LN(2)/25))/(LN(2)/25)*Calculateur!V189*Calculateur!X189*VLOOKUP('Données projet'!$B$9,Paramètres!$A$1:$I$89,3,0)*0.475*44/12</f>
        <v>2.0085489905360601</v>
      </c>
      <c r="AB189" s="21">
        <f>EXP(-LN(2)/2)*AB188+(1-EXP(-LN(2)/2))/(LN(2)/2)*V189*Y189*VLOOKUP('Données projet'!$B$9,Paramètres!$A$1:$I$89,3,0)*0.475*44/12</f>
        <v>1.2959115923816311E-15</v>
      </c>
      <c r="AC189" s="22">
        <f t="shared" si="163"/>
        <v>22.198873499439671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69.401997279717705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-5.6843418860808015E-14</v>
      </c>
      <c r="AJ189" s="13">
        <f>AI189*VLOOKUP('Données projet'!$B$10,Paramètres!$A$1:$I$89,3,0)*VLOOKUP('Données projet'!$B$10,Paramètres!$A$1:$I$89,5,0)</f>
        <v>-3.3992364478763198E-14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270.29397440778314</v>
      </c>
      <c r="AO189" s="59">
        <f t="shared" si="144"/>
        <v>281.95928682679596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10.698077497253758</v>
      </c>
      <c r="AV189" s="21">
        <f>EXP(-LN(2)/25)*AV188+(1-EXP(-LN(2)/25))/(LN(2)/25)*Calculateur!AQ189*Calculateur!AS189*VLOOKUP('Données projet'!$B$10,Paramètres!$A$1:$I$89,3,0)*0.475*44/12</f>
        <v>1.0984369530973983</v>
      </c>
      <c r="AW189" s="21">
        <f>EXP(-LN(2)/2)*AW188+(1-EXP(-LN(2)/2))/(LN(2)/2)*AQ189*AT189*VLOOKUP('Données projet'!$B$10,Paramètres!$A$1:$I$89,3,0)*0.475*44/12</f>
        <v>3.4654189771632826E-18</v>
      </c>
      <c r="AX189" s="21">
        <f t="shared" si="166"/>
        <v>11.796514450351156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69.401997279717705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1.1368683772161603E-12</v>
      </c>
      <c r="BE189" s="13">
        <f>BD189*VLOOKUP('Données projet'!$B$11,Paramètres!$A$1:$I$89,3,0)*VLOOKUP('Données projet'!$B$11,Paramètres!$A$1:$I$89,5,0)</f>
        <v>5.3205440053716299E-13</v>
      </c>
      <c r="BF189" s="13">
        <f t="shared" si="167"/>
        <v>6.579711042921201E-12</v>
      </c>
      <c r="BG189" s="20">
        <f t="shared" si="168"/>
        <v>1.2386324814023317E-11</v>
      </c>
      <c r="BH189" s="59">
        <f t="shared" si="116"/>
        <v>291.14065669231064</v>
      </c>
      <c r="BI189" s="59">
        <f ca="1">AVERAGE(OFFSET($BH$3,0,0,'Données projet'!$E$11+1,1))-AVERAGE(OFFSET($H$3,0,0,'Données projet'!$E$11+1,1))</f>
        <v>308.70979446846718</v>
      </c>
      <c r="BJ189" s="59">
        <f t="shared" si="146"/>
        <v>202.33469175293314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49.052009024691287</v>
      </c>
      <c r="BQ189" s="21">
        <f>EXP(-LN(2)/25)*BQ188+(1-EXP(-LN(2)/25))/(LN(2)/25)*Calculateur!BL189*Calculateur!BN189*VLOOKUP('Données projet'!$B$11,Paramètres!$A$1:$I$89,3,0)*0.475*44/12</f>
        <v>7.5768161969887808</v>
      </c>
      <c r="BR189" s="21">
        <f>EXP(-LN(2)/2)*BR188+(1-EXP(-LN(2)/2))/(LN(2)/2)*BL189*BO189*VLOOKUP('Données projet'!$B$11,Paramètres!$A$1:$I$89,3,0)*0.475*44/12</f>
        <v>9.8066037573992235E-8</v>
      </c>
      <c r="BS189" s="22">
        <f t="shared" si="169"/>
        <v>56.628825319746106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69.401997279717705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69.401997279717705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69.401997279717705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69.401997279717705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69.401997279717705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69.401997279717705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69.401997279717705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3.1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11.366666666666667</v>
      </c>
      <c r="H190" s="67">
        <f t="shared" si="110"/>
        <v>211.20000000000002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69.412371289980811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369.06880001017635</v>
      </c>
      <c r="T190" s="59">
        <f t="shared" si="142"/>
        <v>331.91233237772281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19.794404560165969</v>
      </c>
      <c r="AA190" s="21">
        <f>EXP(-LN(2)/25)*AA189+(1-EXP(-LN(2)/25))/(LN(2)/25)*Calculateur!V190*Calculateur!X190*VLOOKUP('Données projet'!$B$9,Paramètres!$A$1:$I$89,3,0)*0.475*44/12</f>
        <v>1.9536251127648507</v>
      </c>
      <c r="AB190" s="21">
        <f>EXP(-LN(2)/2)*AB189+(1-EXP(-LN(2)/2))/(LN(2)/2)*V190*Y190*VLOOKUP('Données projet'!$B$9,Paramètres!$A$1:$I$89,3,0)*0.475*44/12</f>
        <v>9.163478747913084E-16</v>
      </c>
      <c r="AC190" s="22">
        <f t="shared" si="163"/>
        <v>21.748029672930819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69.412371289980811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-5.6843418860808015E-14</v>
      </c>
      <c r="AJ190" s="13">
        <f>AI190*VLOOKUP('Données projet'!$B$10,Paramètres!$A$1:$I$89,3,0)*VLOOKUP('Données projet'!$B$10,Paramètres!$A$1:$I$89,5,0)</f>
        <v>-3.3992364478763198E-14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270.29397440778314</v>
      </c>
      <c r="AO190" s="59">
        <f t="shared" si="144"/>
        <v>281.95928682679596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10.488294722715576</v>
      </c>
      <c r="AV190" s="21">
        <f>EXP(-LN(2)/25)*AV189+(1-EXP(-LN(2)/25))/(LN(2)/25)*Calculateur!AQ190*Calculateur!AS190*VLOOKUP('Données projet'!$B$10,Paramètres!$A$1:$I$89,3,0)*0.475*44/12</f>
        <v>1.068400136850661</v>
      </c>
      <c r="AW190" s="21">
        <f>EXP(-LN(2)/2)*AW189+(1-EXP(-LN(2)/2))/(LN(2)/2)*AQ190*AT190*VLOOKUP('Données projet'!$B$10,Paramètres!$A$1:$I$89,3,0)*0.475*44/12</f>
        <v>2.4504212584047068E-18</v>
      </c>
      <c r="AX190" s="21">
        <f t="shared" si="166"/>
        <v>11.556694859566237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69.412371289980811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1.1368683772161603E-12</v>
      </c>
      <c r="BE190" s="13">
        <f>BD190*VLOOKUP('Données projet'!$B$11,Paramètres!$A$1:$I$89,3,0)*VLOOKUP('Données projet'!$B$11,Paramètres!$A$1:$I$89,5,0)</f>
        <v>5.3205440053716299E-13</v>
      </c>
      <c r="BF190" s="13">
        <f t="shared" si="167"/>
        <v>6.579711042921201E-12</v>
      </c>
      <c r="BG190" s="20">
        <f t="shared" si="168"/>
        <v>1.2386324814023317E-11</v>
      </c>
      <c r="BH190" s="59">
        <f t="shared" si="116"/>
        <v>291.17869472994204</v>
      </c>
      <c r="BI190" s="59">
        <f ca="1">AVERAGE(OFFSET($BH$3,0,0,'Données projet'!$E$11+1,1))-AVERAGE(OFFSET($H$3,0,0,'Données projet'!$E$11+1,1))</f>
        <v>308.70979446846718</v>
      </c>
      <c r="BJ190" s="59">
        <f t="shared" si="146"/>
        <v>202.33469175293314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48.090129046488364</v>
      </c>
      <c r="BQ190" s="21">
        <f>EXP(-LN(2)/25)*BQ189+(1-EXP(-LN(2)/25))/(LN(2)/25)*Calculateur!BL190*Calculateur!BN190*VLOOKUP('Données projet'!$B$11,Paramètres!$A$1:$I$89,3,0)*0.475*44/12</f>
        <v>7.3696277596346755</v>
      </c>
      <c r="BR190" s="21">
        <f>EXP(-LN(2)/2)*BR189+(1-EXP(-LN(2)/2))/(LN(2)/2)*BL190*BO190*VLOOKUP('Données projet'!$B$11,Paramètres!$A$1:$I$89,3,0)*0.475*44/12</f>
        <v>6.9343160172664674E-8</v>
      </c>
      <c r="BS190" s="22">
        <f t="shared" si="169"/>
        <v>55.459756875466198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69.412371289980811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69.412371289980811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69.412371289980811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69.412371289980811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69.412371289980811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69.412371289980811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69.412371289980811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3.1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11.366666666666667</v>
      </c>
      <c r="H191" s="67">
        <f t="shared" si="110"/>
        <v>211.20000000000002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69.422565334358666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369.06880001017635</v>
      </c>
      <c r="T191" s="59">
        <f t="shared" si="142"/>
        <v>331.91233237772281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19.406248360135748</v>
      </c>
      <c r="AA191" s="21">
        <f>EXP(-LN(2)/25)*AA190+(1-EXP(-LN(2)/25))/(LN(2)/25)*Calculateur!V191*Calculateur!X191*VLOOKUP('Données projet'!$B$9,Paramètres!$A$1:$I$89,3,0)*0.475*44/12</f>
        <v>1.9002031313196164</v>
      </c>
      <c r="AB191" s="21">
        <f>EXP(-LN(2)/2)*AB190+(1-EXP(-LN(2)/2))/(LN(2)/2)*V191*Y191*VLOOKUP('Données projet'!$B$9,Paramètres!$A$1:$I$89,3,0)*0.475*44/12</f>
        <v>6.4795579619081556E-16</v>
      </c>
      <c r="AC191" s="22">
        <f t="shared" si="163"/>
        <v>21.306451491455366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69.422565334358666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-5.6843418860808015E-14</v>
      </c>
      <c r="AJ191" s="13">
        <f>AI191*VLOOKUP('Données projet'!$B$10,Paramètres!$A$1:$I$89,3,0)*VLOOKUP('Données projet'!$B$10,Paramètres!$A$1:$I$89,5,0)</f>
        <v>-3.3992364478763198E-14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270.29397440778314</v>
      </c>
      <c r="AO191" s="59">
        <f t="shared" si="144"/>
        <v>281.95928682679596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10.282625660431231</v>
      </c>
      <c r="AV191" s="21">
        <f>EXP(-LN(2)/25)*AV190+(1-EXP(-LN(2)/25))/(LN(2)/25)*Calculateur!AQ191*Calculateur!AS191*VLOOKUP('Données projet'!$B$10,Paramètres!$A$1:$I$89,3,0)*0.475*44/12</f>
        <v>1.0391846789237584</v>
      </c>
      <c r="AW191" s="21">
        <f>EXP(-LN(2)/2)*AW190+(1-EXP(-LN(2)/2))/(LN(2)/2)*AQ191*AT191*VLOOKUP('Données projet'!$B$10,Paramètres!$A$1:$I$89,3,0)*0.475*44/12</f>
        <v>1.7327094885816415E-18</v>
      </c>
      <c r="AX191" s="21">
        <f t="shared" si="166"/>
        <v>11.32181033935499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69.422565334358666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1.1368683772161603E-12</v>
      </c>
      <c r="BE191" s="13">
        <f>BD191*VLOOKUP('Données projet'!$B$11,Paramètres!$A$1:$I$89,3,0)*VLOOKUP('Données projet'!$B$11,Paramètres!$A$1:$I$89,5,0)</f>
        <v>5.3205440053716299E-13</v>
      </c>
      <c r="BF191" s="13">
        <f t="shared" si="167"/>
        <v>6.579711042921201E-12</v>
      </c>
      <c r="BG191" s="20">
        <f t="shared" si="168"/>
        <v>1.2386324814023317E-11</v>
      </c>
      <c r="BH191" s="59">
        <f t="shared" si="116"/>
        <v>291.21607289266086</v>
      </c>
      <c r="BI191" s="59">
        <f ca="1">AVERAGE(OFFSET($BH$3,0,0,'Données projet'!$E$11+1,1))-AVERAGE(OFFSET($H$3,0,0,'Données projet'!$E$11+1,1))</f>
        <v>308.70979446846718</v>
      </c>
      <c r="BJ191" s="59">
        <f t="shared" si="146"/>
        <v>202.33469175293314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47.147110947969146</v>
      </c>
      <c r="BQ191" s="21">
        <f>EXP(-LN(2)/25)*BQ190+(1-EXP(-LN(2)/25))/(LN(2)/25)*Calculateur!BL191*Calculateur!BN191*VLOOKUP('Données projet'!$B$11,Paramètres!$A$1:$I$89,3,0)*0.475*44/12</f>
        <v>7.1681049009955853</v>
      </c>
      <c r="BR191" s="21">
        <f>EXP(-LN(2)/2)*BR190+(1-EXP(-LN(2)/2))/(LN(2)/2)*BL191*BO191*VLOOKUP('Données projet'!$B$11,Paramètres!$A$1:$I$89,3,0)*0.475*44/12</f>
        <v>4.9033018786996118E-8</v>
      </c>
      <c r="BS191" s="22">
        <f t="shared" si="169"/>
        <v>54.315215897997753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69.422565334358666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69.422565334358666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69.422565334358666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69.422565334358666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69.422565334358666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69.422565334358666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69.422565334358666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3.1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11.366666666666667</v>
      </c>
      <c r="H192" s="67">
        <f t="shared" si="110"/>
        <v>211.20000000000002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69.432582534857019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369.06880001017635</v>
      </c>
      <c r="T192" s="59">
        <f t="shared" si="142"/>
        <v>331.91233237772281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19.025703666436215</v>
      </c>
      <c r="AA192" s="21">
        <f>EXP(-LN(2)/25)*AA191+(1-EXP(-LN(2)/25))/(LN(2)/25)*Calculateur!V192*Calculateur!X192*VLOOKUP('Données projet'!$B$9,Paramètres!$A$1:$I$89,3,0)*0.475*44/12</f>
        <v>1.8482419767663418</v>
      </c>
      <c r="AB192" s="21">
        <f>EXP(-LN(2)/2)*AB191+(1-EXP(-LN(2)/2))/(LN(2)/2)*V192*Y192*VLOOKUP('Données projet'!$B$9,Paramètres!$A$1:$I$89,3,0)*0.475*44/12</f>
        <v>4.581739373956542E-16</v>
      </c>
      <c r="AC192" s="22">
        <f t="shared" si="163"/>
        <v>20.873945643202557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69.432582534857019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-5.6843418860808015E-14</v>
      </c>
      <c r="AJ192" s="13">
        <f>AI192*VLOOKUP('Données projet'!$B$10,Paramètres!$A$1:$I$89,3,0)*VLOOKUP('Données projet'!$B$10,Paramètres!$A$1:$I$89,5,0)</f>
        <v>-3.3992364478763198E-14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270.29397440778314</v>
      </c>
      <c r="AO192" s="59">
        <f t="shared" si="144"/>
        <v>281.95928682679596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10.08098964301254</v>
      </c>
      <c r="AV192" s="21">
        <f>EXP(-LN(2)/25)*AV191+(1-EXP(-LN(2)/25))/(LN(2)/25)*Calculateur!AQ192*Calculateur!AS192*VLOOKUP('Données projet'!$B$10,Paramètres!$A$1:$I$89,3,0)*0.475*44/12</f>
        <v>1.0107681192302411</v>
      </c>
      <c r="AW192" s="21">
        <f>EXP(-LN(2)/2)*AW191+(1-EXP(-LN(2)/2))/(LN(2)/2)*AQ192*AT192*VLOOKUP('Données projet'!$B$10,Paramètres!$A$1:$I$89,3,0)*0.475*44/12</f>
        <v>1.2252106292023536E-18</v>
      </c>
      <c r="AX192" s="21">
        <f t="shared" si="166"/>
        <v>11.09175776224278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69.432582534857019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1.1368683772161603E-12</v>
      </c>
      <c r="BE192" s="13">
        <f>BD192*VLOOKUP('Données projet'!$B$11,Paramètres!$A$1:$I$89,3,0)*VLOOKUP('Données projet'!$B$11,Paramètres!$A$1:$I$89,5,0)</f>
        <v>5.3205440053716299E-13</v>
      </c>
      <c r="BF192" s="13">
        <f t="shared" si="167"/>
        <v>6.579711042921201E-12</v>
      </c>
      <c r="BG192" s="20">
        <f t="shared" si="168"/>
        <v>1.2386324814023317E-11</v>
      </c>
      <c r="BH192" s="59">
        <f t="shared" si="116"/>
        <v>291.2528026278215</v>
      </c>
      <c r="BI192" s="59">
        <f ca="1">AVERAGE(OFFSET($BH$3,0,0,'Données projet'!$E$11+1,1))-AVERAGE(OFFSET($H$3,0,0,'Données projet'!$E$11+1,1))</f>
        <v>308.70979446846718</v>
      </c>
      <c r="BJ192" s="59">
        <f t="shared" si="146"/>
        <v>202.33469175293314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46.222584859177644</v>
      </c>
      <c r="BQ192" s="21">
        <f>EXP(-LN(2)/25)*BQ191+(1-EXP(-LN(2)/25))/(LN(2)/25)*Calculateur!BL192*Calculateur!BN192*VLOOKUP('Données projet'!$B$11,Paramètres!$A$1:$I$89,3,0)*0.475*44/12</f>
        <v>6.9720926955236076</v>
      </c>
      <c r="BR192" s="21">
        <f>EXP(-LN(2)/2)*BR191+(1-EXP(-LN(2)/2))/(LN(2)/2)*BL192*BO192*VLOOKUP('Données projet'!$B$11,Paramètres!$A$1:$I$89,3,0)*0.475*44/12</f>
        <v>3.4671580086332337E-8</v>
      </c>
      <c r="BS192" s="22">
        <f t="shared" si="169"/>
        <v>53.19467758937283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69.432582534857019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69.432582534857019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69.432582534857019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69.432582534857019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69.432582534857019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69.432582534857019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69.432582534857019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3.1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11.366666666666667</v>
      </c>
      <c r="H193" s="67">
        <f t="shared" si="110"/>
        <v>211.20000000000002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69.442425959321838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369.06880001017635</v>
      </c>
      <c r="T193" s="59">
        <f t="shared" si="142"/>
        <v>331.91233237772281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18.652621222070785</v>
      </c>
      <c r="AA193" s="21">
        <f>EXP(-LN(2)/25)*AA192+(1-EXP(-LN(2)/25))/(LN(2)/25)*Calculateur!V193*Calculateur!X193*VLOOKUP('Données projet'!$B$9,Paramètres!$A$1:$I$89,3,0)*0.475*44/12</f>
        <v>1.7977017027168449</v>
      </c>
      <c r="AB193" s="21">
        <f>EXP(-LN(2)/2)*AB192+(1-EXP(-LN(2)/2))/(LN(2)/2)*V193*Y193*VLOOKUP('Données projet'!$B$9,Paramètres!$A$1:$I$89,3,0)*0.475*44/12</f>
        <v>3.2397789809540778E-16</v>
      </c>
      <c r="AC193" s="22">
        <f t="shared" si="163"/>
        <v>20.450322924787631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69.442425959321838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-5.6843418860808015E-14</v>
      </c>
      <c r="AJ193" s="13">
        <f>AI193*VLOOKUP('Données projet'!$B$10,Paramètres!$A$1:$I$89,3,0)*VLOOKUP('Données projet'!$B$10,Paramètres!$A$1:$I$89,5,0)</f>
        <v>-3.3992364478763198E-14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270.29397440778314</v>
      </c>
      <c r="AO193" s="59">
        <f t="shared" si="144"/>
        <v>281.95928682679596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9.8833075849096037</v>
      </c>
      <c r="AV193" s="21">
        <f>EXP(-LN(2)/25)*AV192+(1-EXP(-LN(2)/25))/(LN(2)/25)*Calculateur!AQ193*Calculateur!AS193*VLOOKUP('Données projet'!$B$10,Paramètres!$A$1:$I$89,3,0)*0.475*44/12</f>
        <v>0.98312861185590494</v>
      </c>
      <c r="AW193" s="21">
        <f>EXP(-LN(2)/2)*AW192+(1-EXP(-LN(2)/2))/(LN(2)/2)*AQ193*AT193*VLOOKUP('Données projet'!$B$10,Paramètres!$A$1:$I$89,3,0)*0.475*44/12</f>
        <v>8.6635474429082095E-19</v>
      </c>
      <c r="AX193" s="21">
        <f t="shared" si="166"/>
        <v>10.866436196765509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69.442425959321838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1.1368683772161603E-12</v>
      </c>
      <c r="BE193" s="13">
        <f>BD193*VLOOKUP('Données projet'!$B$11,Paramètres!$A$1:$I$89,3,0)*VLOOKUP('Données projet'!$B$11,Paramètres!$A$1:$I$89,5,0)</f>
        <v>5.3205440053716299E-13</v>
      </c>
      <c r="BF193" s="13">
        <f t="shared" si="167"/>
        <v>6.579711042921201E-12</v>
      </c>
      <c r="BG193" s="20">
        <f t="shared" si="168"/>
        <v>1.2386324814023317E-11</v>
      </c>
      <c r="BH193" s="59">
        <f t="shared" si="116"/>
        <v>291.28889518419248</v>
      </c>
      <c r="BI193" s="59">
        <f ca="1">AVERAGE(OFFSET($BH$3,0,0,'Données projet'!$E$11+1,1))-AVERAGE(OFFSET($H$3,0,0,'Données projet'!$E$11+1,1))</f>
        <v>308.70979446846718</v>
      </c>
      <c r="BJ193" s="59">
        <f t="shared" si="146"/>
        <v>202.33469175293314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45.31618816308211</v>
      </c>
      <c r="BQ193" s="21">
        <f>EXP(-LN(2)/25)*BQ192+(1-EXP(-LN(2)/25))/(LN(2)/25)*Calculateur!BL193*Calculateur!BN193*VLOOKUP('Données projet'!$B$11,Paramètres!$A$1:$I$89,3,0)*0.475*44/12</f>
        <v>6.7814404541180942</v>
      </c>
      <c r="BR193" s="21">
        <f>EXP(-LN(2)/2)*BR192+(1-EXP(-LN(2)/2))/(LN(2)/2)*BL193*BO193*VLOOKUP('Données projet'!$B$11,Paramètres!$A$1:$I$89,3,0)*0.475*44/12</f>
        <v>2.4516509393498059E-8</v>
      </c>
      <c r="BS193" s="22">
        <f t="shared" si="169"/>
        <v>52.09762864171671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69.442425959321838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69.442425959321838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69.442425959321838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69.442425959321838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69.442425959321838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69.442425959321838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69.442425959321838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3.1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11.366666666666667</v>
      </c>
      <c r="H194" s="67">
        <f t="shared" si="110"/>
        <v>211.20000000000002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69.452098622378799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369.06880001017635</v>
      </c>
      <c r="T194" s="59">
        <f t="shared" si="142"/>
        <v>331.91233237772281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18.286854696881541</v>
      </c>
      <c r="AA194" s="21">
        <f>EXP(-LN(2)/25)*AA193+(1-EXP(-LN(2)/25))/(LN(2)/25)*Calculateur!V194*Calculateur!X194*VLOOKUP('Données projet'!$B$9,Paramètres!$A$1:$I$89,3,0)*0.475*44/12</f>
        <v>1.7485434551190289</v>
      </c>
      <c r="AB194" s="21">
        <f>EXP(-LN(2)/2)*AB193+(1-EXP(-LN(2)/2))/(LN(2)/2)*V194*Y194*VLOOKUP('Données projet'!$B$9,Paramètres!$A$1:$I$89,3,0)*0.475*44/12</f>
        <v>2.290869686978271E-16</v>
      </c>
      <c r="AC194" s="22">
        <f t="shared" si="163"/>
        <v>20.035398152000571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69.452098622378799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-5.6843418860808015E-14</v>
      </c>
      <c r="AJ194" s="13">
        <f>AI194*VLOOKUP('Données projet'!$B$10,Paramètres!$A$1:$I$89,3,0)*VLOOKUP('Données projet'!$B$10,Paramètres!$A$1:$I$89,5,0)</f>
        <v>-3.3992364478763198E-14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270.29397440778314</v>
      </c>
      <c r="AO194" s="59">
        <f t="shared" si="144"/>
        <v>281.95928682679596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9.6895019513919163</v>
      </c>
      <c r="AV194" s="21">
        <f>EXP(-LN(2)/25)*AV193+(1-EXP(-LN(2)/25))/(LN(2)/25)*Calculateur!AQ194*Calculateur!AS194*VLOOKUP('Données projet'!$B$10,Paramètres!$A$1:$I$89,3,0)*0.475*44/12</f>
        <v>0.95624490826421848</v>
      </c>
      <c r="AW194" s="21">
        <f>EXP(-LN(2)/2)*AW193+(1-EXP(-LN(2)/2))/(LN(2)/2)*AQ194*AT194*VLOOKUP('Données projet'!$B$10,Paramètres!$A$1:$I$89,3,0)*0.475*44/12</f>
        <v>6.1260531460117688E-19</v>
      </c>
      <c r="AX194" s="21">
        <f t="shared" si="166"/>
        <v>10.645746859656136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69.452098622378799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1.1368683772161603E-12</v>
      </c>
      <c r="BE194" s="13">
        <f>BD194*VLOOKUP('Données projet'!$B$11,Paramètres!$A$1:$I$89,3,0)*VLOOKUP('Données projet'!$B$11,Paramètres!$A$1:$I$89,5,0)</f>
        <v>5.3205440053716299E-13</v>
      </c>
      <c r="BF194" s="13">
        <f t="shared" si="167"/>
        <v>6.579711042921201E-12</v>
      </c>
      <c r="BG194" s="20">
        <f t="shared" si="168"/>
        <v>1.2386324814023317E-11</v>
      </c>
      <c r="BH194" s="59">
        <f t="shared" si="116"/>
        <v>291.3243616154013</v>
      </c>
      <c r="BI194" s="59">
        <f ca="1">AVERAGE(OFFSET($BH$3,0,0,'Données projet'!$E$11+1,1))-AVERAGE(OFFSET($H$3,0,0,'Données projet'!$E$11+1,1))</f>
        <v>308.70979446846718</v>
      </c>
      <c r="BJ194" s="59">
        <f t="shared" si="146"/>
        <v>202.33469175293314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44.427565353349614</v>
      </c>
      <c r="BQ194" s="21">
        <f>EXP(-LN(2)/25)*BQ193+(1-EXP(-LN(2)/25))/(LN(2)/25)*Calculateur!BL194*Calculateur!BN194*VLOOKUP('Données projet'!$B$11,Paramètres!$A$1:$I$89,3,0)*0.475*44/12</f>
        <v>6.5960016082797805</v>
      </c>
      <c r="BR194" s="21">
        <f>EXP(-LN(2)/2)*BR193+(1-EXP(-LN(2)/2))/(LN(2)/2)*BL194*BO194*VLOOKUP('Données projet'!$B$11,Paramètres!$A$1:$I$89,3,0)*0.475*44/12</f>
        <v>1.7335790043166169E-8</v>
      </c>
      <c r="BS194" s="22">
        <f t="shared" si="169"/>
        <v>51.023566978965185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69.452098622378799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69.452098622378799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69.452098622378799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69.452098622378799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69.452098622378799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69.452098622378799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69.452098622378799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3.1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11.366666666666667</v>
      </c>
      <c r="H195" s="67">
        <f t="shared" si="110"/>
        <v>211.20000000000002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69.461603486356552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369.06880001017635</v>
      </c>
      <c r="T195" s="59">
        <f t="shared" si="142"/>
        <v>331.91233237772281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17.928260630155705</v>
      </c>
      <c r="AA195" s="21">
        <f>EXP(-LN(2)/25)*AA194+(1-EXP(-LN(2)/25))/(LN(2)/25)*Calculateur!V195*Calculateur!X195*VLOOKUP('Données projet'!$B$9,Paramètres!$A$1:$I$89,3,0)*0.475*44/12</f>
        <v>1.7007294423868951</v>
      </c>
      <c r="AB195" s="21">
        <f>EXP(-LN(2)/2)*AB194+(1-EXP(-LN(2)/2))/(LN(2)/2)*V195*Y195*VLOOKUP('Données projet'!$B$9,Paramètres!$A$1:$I$89,3,0)*0.475*44/12</f>
        <v>1.6198894904770389E-16</v>
      </c>
      <c r="AC195" s="22">
        <f t="shared" si="163"/>
        <v>19.628990072542599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69.461603486356552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-5.6843418860808015E-14</v>
      </c>
      <c r="AJ195" s="13">
        <f>AI195*VLOOKUP('Données projet'!$B$10,Paramètres!$A$1:$I$89,3,0)*VLOOKUP('Données projet'!$B$10,Paramètres!$A$1:$I$89,5,0)</f>
        <v>-3.3992364478763198E-14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270.29397440778314</v>
      </c>
      <c r="AO195" s="59">
        <f t="shared" si="144"/>
        <v>281.95928682679596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9.4994967281377463</v>
      </c>
      <c r="AV195" s="21">
        <f>EXP(-LN(2)/25)*AV194+(1-EXP(-LN(2)/25))/(LN(2)/25)*Calculateur!AQ195*Calculateur!AS195*VLOOKUP('Données projet'!$B$10,Paramètres!$A$1:$I$89,3,0)*0.475*44/12</f>
        <v>0.93009634096099925</v>
      </c>
      <c r="AW195" s="21">
        <f>EXP(-LN(2)/2)*AW194+(1-EXP(-LN(2)/2))/(LN(2)/2)*AQ195*AT195*VLOOKUP('Données projet'!$B$10,Paramètres!$A$1:$I$89,3,0)*0.475*44/12</f>
        <v>4.3317737214541052E-19</v>
      </c>
      <c r="AX195" s="21">
        <f t="shared" si="166"/>
        <v>10.429593069098745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69.461603486356552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1.1368683772161603E-12</v>
      </c>
      <c r="BE195" s="13">
        <f>BD195*VLOOKUP('Données projet'!$B$11,Paramètres!$A$1:$I$89,3,0)*VLOOKUP('Données projet'!$B$11,Paramètres!$A$1:$I$89,5,0)</f>
        <v>5.3205440053716299E-13</v>
      </c>
      <c r="BF195" s="13">
        <f t="shared" si="167"/>
        <v>6.579711042921201E-12</v>
      </c>
      <c r="BG195" s="20">
        <f t="shared" si="168"/>
        <v>1.2386324814023317E-11</v>
      </c>
      <c r="BH195" s="59">
        <f t="shared" si="116"/>
        <v>291.35921278331972</v>
      </c>
      <c r="BI195" s="59">
        <f ca="1">AVERAGE(OFFSET($BH$3,0,0,'Données projet'!$E$11+1,1))-AVERAGE(OFFSET($H$3,0,0,'Données projet'!$E$11+1,1))</f>
        <v>308.70979446846718</v>
      </c>
      <c r="BJ195" s="59">
        <f t="shared" si="146"/>
        <v>202.33469175293314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43.556367894909577</v>
      </c>
      <c r="BQ195" s="21">
        <f>EXP(-LN(2)/25)*BQ194+(1-EXP(-LN(2)/25))/(LN(2)/25)*Calculateur!BL195*Calculateur!BN195*VLOOKUP('Données projet'!$B$11,Paramètres!$A$1:$I$89,3,0)*0.475*44/12</f>
        <v>6.4156335974327208</v>
      </c>
      <c r="BR195" s="21">
        <f>EXP(-LN(2)/2)*BR194+(1-EXP(-LN(2)/2))/(LN(2)/2)*BL195*BO195*VLOOKUP('Données projet'!$B$11,Paramètres!$A$1:$I$89,3,0)*0.475*44/12</f>
        <v>1.2258254696749029E-8</v>
      </c>
      <c r="BS195" s="22">
        <f t="shared" si="169"/>
        <v>49.972001504600556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69.461603486356552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69.461603486356552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69.461603486356552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69.461603486356552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69.461603486356552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69.461603486356552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69.461603486356552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3.1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11.366666666666667</v>
      </c>
      <c r="H196" s="67">
        <f t="shared" ref="H196:H203" si="192">(B196+E196+F196)*44/12+(C196+D196)*0.475*44/12</f>
        <v>211.20000000000002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69.470943462193986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369.06880001017635</v>
      </c>
      <c r="T196" s="59">
        <f t="shared" si="142"/>
        <v>331.91233237772281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17.57669837435758</v>
      </c>
      <c r="AA196" s="21">
        <f>EXP(-LN(2)/25)*AA195+(1-EXP(-LN(2)/25))/(LN(2)/25)*Calculateur!V196*Calculateur!X196*VLOOKUP('Données projet'!$B$9,Paramètres!$A$1:$I$89,3,0)*0.475*44/12</f>
        <v>1.654222906347351</v>
      </c>
      <c r="AB196" s="21">
        <f>EXP(-LN(2)/2)*AB195+(1-EXP(-LN(2)/2))/(LN(2)/2)*V196*Y196*VLOOKUP('Données projet'!$B$9,Paramètres!$A$1:$I$89,3,0)*0.475*44/12</f>
        <v>1.1454348434891355E-16</v>
      </c>
      <c r="AC196" s="22">
        <f t="shared" si="163"/>
        <v>19.23092128070493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69.470943462193986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-5.6843418860808015E-14</v>
      </c>
      <c r="AJ196" s="13">
        <f>AI196*VLOOKUP('Données projet'!$B$10,Paramètres!$A$1:$I$89,3,0)*VLOOKUP('Données projet'!$B$10,Paramètres!$A$1:$I$89,5,0)</f>
        <v>-3.3992364478763198E-14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270.29397440778314</v>
      </c>
      <c r="AO196" s="59">
        <f t="shared" si="144"/>
        <v>281.95928682679596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9.3132173914198475</v>
      </c>
      <c r="AV196" s="21">
        <f>EXP(-LN(2)/25)*AV195+(1-EXP(-LN(2)/25))/(LN(2)/25)*Calculateur!AQ196*Calculateur!AS196*VLOOKUP('Données projet'!$B$10,Paramètres!$A$1:$I$89,3,0)*0.475*44/12</f>
        <v>0.90466280760577988</v>
      </c>
      <c r="AW196" s="21">
        <f>EXP(-LN(2)/2)*AW195+(1-EXP(-LN(2)/2))/(LN(2)/2)*AQ196*AT196*VLOOKUP('Données projet'!$B$10,Paramètres!$A$1:$I$89,3,0)*0.475*44/12</f>
        <v>3.0630265730058849E-19</v>
      </c>
      <c r="AX196" s="21">
        <f t="shared" si="166"/>
        <v>10.217880199025627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69.470943462193986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1.1368683772161603E-12</v>
      </c>
      <c r="BE196" s="13">
        <f>BD196*VLOOKUP('Données projet'!$B$11,Paramètres!$A$1:$I$89,3,0)*VLOOKUP('Données projet'!$B$11,Paramètres!$A$1:$I$89,5,0)</f>
        <v>5.3205440053716299E-13</v>
      </c>
      <c r="BF196" s="13">
        <f t="shared" si="167"/>
        <v>6.579711042921201E-12</v>
      </c>
      <c r="BG196" s="20">
        <f t="shared" si="168"/>
        <v>1.2386324814023317E-11</v>
      </c>
      <c r="BH196" s="59">
        <f t="shared" ref="BH196:BH203" si="194">BG196+(AY196+AZ196)*44/12</f>
        <v>291.39345936139034</v>
      </c>
      <c r="BI196" s="59">
        <f ca="1">AVERAGE(OFFSET($BH$3,0,0,'Données projet'!$E$11+1,1))-AVERAGE(OFFSET($H$3,0,0,'Données projet'!$E$11+1,1))</f>
        <v>308.70979446846718</v>
      </c>
      <c r="BJ196" s="59">
        <f t="shared" si="146"/>
        <v>202.33469175293314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42.702254087251568</v>
      </c>
      <c r="BQ196" s="21">
        <f>EXP(-LN(2)/25)*BQ195+(1-EXP(-LN(2)/25))/(LN(2)/25)*Calculateur!BL196*Calculateur!BN196*VLOOKUP('Données projet'!$B$11,Paramètres!$A$1:$I$89,3,0)*0.475*44/12</f>
        <v>6.2401977593274154</v>
      </c>
      <c r="BR196" s="21">
        <f>EXP(-LN(2)/2)*BR195+(1-EXP(-LN(2)/2))/(LN(2)/2)*BL196*BO196*VLOOKUP('Données projet'!$B$11,Paramètres!$A$1:$I$89,3,0)*0.475*44/12</f>
        <v>8.6678950215830843E-9</v>
      </c>
      <c r="BS196" s="22">
        <f t="shared" si="169"/>
        <v>48.94245185524688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69.470943462193986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69.470943462193986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69.470943462193986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69.470943462193986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69.470943462193986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69.470943462193986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69.470943462193986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3.1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11.366666666666667</v>
      </c>
      <c r="H197" s="67">
        <f t="shared" si="192"/>
        <v>211.20000000000002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69.480121410331691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369.06880001017635</v>
      </c>
      <c r="T197" s="59">
        <f t="shared" ref="T197:T203" si="204">$T$3</f>
        <v>331.91233237772281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17.232030039963853</v>
      </c>
      <c r="AA197" s="21">
        <f>EXP(-LN(2)/25)*AA196+(1-EXP(-LN(2)/25))/(LN(2)/25)*Calculateur!V197*Calculateur!X197*VLOOKUP('Données projet'!$B$9,Paramètres!$A$1:$I$89,3,0)*0.475*44/12</f>
        <v>1.6089880939814809</v>
      </c>
      <c r="AB197" s="21">
        <f>EXP(-LN(2)/2)*AB196+(1-EXP(-LN(2)/2))/(LN(2)/2)*V197*Y197*VLOOKUP('Données projet'!$B$9,Paramètres!$A$1:$I$89,3,0)*0.475*44/12</f>
        <v>8.0994474523851945E-17</v>
      </c>
      <c r="AC197" s="22">
        <f t="shared" si="163"/>
        <v>18.841018133945333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69.480121410331691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-5.6843418860808015E-14</v>
      </c>
      <c r="AJ197" s="13">
        <f>AI197*VLOOKUP('Données projet'!$B$10,Paramètres!$A$1:$I$89,3,0)*VLOOKUP('Données projet'!$B$10,Paramètres!$A$1:$I$89,5,0)</f>
        <v>-3.3992364478763198E-14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270.29397440778314</v>
      </c>
      <c r="AO197" s="59">
        <f t="shared" ref="AO197:AO203" si="205">$AO$3</f>
        <v>281.95928682679596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9.1305908788758092</v>
      </c>
      <c r="AV197" s="21">
        <f>EXP(-LN(2)/25)*AV196+(1-EXP(-LN(2)/25))/(LN(2)/25)*Calculateur!AQ197*Calculateur!AS197*VLOOKUP('Données projet'!$B$10,Paramètres!$A$1:$I$89,3,0)*0.475*44/12</f>
        <v>0.87992475555765037</v>
      </c>
      <c r="AW197" s="21">
        <f>EXP(-LN(2)/2)*AW196+(1-EXP(-LN(2)/2))/(LN(2)/2)*AQ197*AT197*VLOOKUP('Données projet'!$B$10,Paramètres!$A$1:$I$89,3,0)*0.475*44/12</f>
        <v>2.1658868607270529E-19</v>
      </c>
      <c r="AX197" s="21">
        <f t="shared" si="166"/>
        <v>10.01051563443346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69.480121410331691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1.1368683772161603E-12</v>
      </c>
      <c r="BE197" s="13">
        <f>BD197*VLOOKUP('Données projet'!$B$11,Paramètres!$A$1:$I$89,3,0)*VLOOKUP('Données projet'!$B$11,Paramètres!$A$1:$I$89,5,0)</f>
        <v>5.3205440053716299E-13</v>
      </c>
      <c r="BF197" s="13">
        <f t="shared" si="167"/>
        <v>6.579711042921201E-12</v>
      </c>
      <c r="BG197" s="20">
        <f t="shared" si="168"/>
        <v>1.2386324814023317E-11</v>
      </c>
      <c r="BH197" s="59">
        <f t="shared" si="194"/>
        <v>291.42711183789527</v>
      </c>
      <c r="BI197" s="59">
        <f ca="1">AVERAGE(OFFSET($BH$3,0,0,'Données projet'!$E$11+1,1))-AVERAGE(OFFSET($H$3,0,0,'Données projet'!$E$11+1,1))</f>
        <v>308.70979446846718</v>
      </c>
      <c r="BJ197" s="59">
        <f t="shared" ref="BJ197:BJ203" si="206">$BJ$3</f>
        <v>202.33469175293314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41.864888930403751</v>
      </c>
      <c r="BQ197" s="21">
        <f>EXP(-LN(2)/25)*BQ196+(1-EXP(-LN(2)/25))/(LN(2)/25)*Calculateur!BL197*Calculateur!BN197*VLOOKUP('Données projet'!$B$11,Paramètres!$A$1:$I$89,3,0)*0.475*44/12</f>
        <v>6.0695592234408693</v>
      </c>
      <c r="BR197" s="21">
        <f>EXP(-LN(2)/2)*BR196+(1-EXP(-LN(2)/2))/(LN(2)/2)*BL197*BO197*VLOOKUP('Données projet'!$B$11,Paramètres!$A$1:$I$89,3,0)*0.475*44/12</f>
        <v>6.1291273483745147E-9</v>
      </c>
      <c r="BS197" s="22">
        <f t="shared" si="169"/>
        <v>47.934448159973748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69.480121410331691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69.480121410331691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69.480121410331691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69.480121410331691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69.480121410331691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69.480121410331691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69.480121410331691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3.1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11.366666666666667</v>
      </c>
      <c r="H198" s="67">
        <f t="shared" si="192"/>
        <v>211.20000000000002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69.489140141588038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369.06880001017635</v>
      </c>
      <c r="T198" s="59">
        <f t="shared" si="204"/>
        <v>331.91233237772281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16.894120441380661</v>
      </c>
      <c r="AA198" s="21">
        <f>EXP(-LN(2)/25)*AA197+(1-EXP(-LN(2)/25))/(LN(2)/25)*Calculateur!V198*Calculateur!X198*VLOOKUP('Données projet'!$B$9,Paramètres!$A$1:$I$89,3,0)*0.475*44/12</f>
        <v>1.5649902299385507</v>
      </c>
      <c r="AB198" s="21">
        <f>EXP(-LN(2)/2)*AB197+(1-EXP(-LN(2)/2))/(LN(2)/2)*V198*Y198*VLOOKUP('Données projet'!$B$9,Paramètres!$A$1:$I$89,3,0)*0.475*44/12</f>
        <v>5.7271742174456775E-17</v>
      </c>
      <c r="AC198" s="22">
        <f t="shared" si="163"/>
        <v>18.459110671319213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69.489140141588038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-5.6843418860808015E-14</v>
      </c>
      <c r="AJ198" s="13">
        <f>AI198*VLOOKUP('Données projet'!$B$10,Paramètres!$A$1:$I$89,3,0)*VLOOKUP('Données projet'!$B$10,Paramètres!$A$1:$I$89,5,0)</f>
        <v>-3.3992364478763198E-14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270.29397440778314</v>
      </c>
      <c r="AO198" s="59">
        <f t="shared" si="205"/>
        <v>281.95928682679596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8.9515455608515868</v>
      </c>
      <c r="AV198" s="21">
        <f>EXP(-LN(2)/25)*AV197+(1-EXP(-LN(2)/25))/(LN(2)/25)*Calculateur!AQ198*Calculateur!AS198*VLOOKUP('Données projet'!$B$10,Paramètres!$A$1:$I$89,3,0)*0.475*44/12</f>
        <v>0.85586316684369468</v>
      </c>
      <c r="AW198" s="21">
        <f>EXP(-LN(2)/2)*AW197+(1-EXP(-LN(2)/2))/(LN(2)/2)*AQ198*AT198*VLOOKUP('Données projet'!$B$10,Paramètres!$A$1:$I$89,3,0)*0.475*44/12</f>
        <v>1.5315132865029427E-19</v>
      </c>
      <c r="AX198" s="21">
        <f t="shared" si="166"/>
        <v>9.8074087276952824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69.489140141588038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1.1368683772161603E-12</v>
      </c>
      <c r="BE198" s="13">
        <f>BD198*VLOOKUP('Données projet'!$B$11,Paramètres!$A$1:$I$89,3,0)*VLOOKUP('Données projet'!$B$11,Paramètres!$A$1:$I$89,5,0)</f>
        <v>5.3205440053716299E-13</v>
      </c>
      <c r="BF198" s="13">
        <f t="shared" si="167"/>
        <v>6.579711042921201E-12</v>
      </c>
      <c r="BG198" s="20">
        <f t="shared" si="168"/>
        <v>1.2386324814023317E-11</v>
      </c>
      <c r="BH198" s="59">
        <f t="shared" si="194"/>
        <v>291.46018051916855</v>
      </c>
      <c r="BI198" s="59">
        <f ca="1">AVERAGE(OFFSET($BH$3,0,0,'Données projet'!$E$11+1,1))-AVERAGE(OFFSET($H$3,0,0,'Données projet'!$E$11+1,1))</f>
        <v>308.70979446846718</v>
      </c>
      <c r="BJ198" s="59">
        <f t="shared" si="206"/>
        <v>202.33469175293314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41.043943993539401</v>
      </c>
      <c r="BQ198" s="21">
        <f>EXP(-LN(2)/25)*BQ197+(1-EXP(-LN(2)/25))/(LN(2)/25)*Calculateur!BL198*Calculateur!BN198*VLOOKUP('Données projet'!$B$11,Paramètres!$A$1:$I$89,3,0)*0.475*44/12</f>
        <v>5.9035868072916315</v>
      </c>
      <c r="BR198" s="21">
        <f>EXP(-LN(2)/2)*BR197+(1-EXP(-LN(2)/2))/(LN(2)/2)*BL198*BO198*VLOOKUP('Données projet'!$B$11,Paramètres!$A$1:$I$89,3,0)*0.475*44/12</f>
        <v>4.3339475107915421E-9</v>
      </c>
      <c r="BS198" s="22">
        <f t="shared" si="169"/>
        <v>46.94753080516498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69.489140141588038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69.489140141588038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69.489140141588038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69.489140141588038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69.489140141588038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69.489140141588038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69.489140141588038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3.1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11.366666666666667</v>
      </c>
      <c r="H199" s="67">
        <f t="shared" si="192"/>
        <v>211.20000000000002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69.498002418019951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369.06880001017635</v>
      </c>
      <c r="T199" s="59">
        <f t="shared" si="204"/>
        <v>331.91233237772281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16.562837043921181</v>
      </c>
      <c r="AA199" s="21">
        <f>EXP(-LN(2)/25)*AA198+(1-EXP(-LN(2)/25))/(LN(2)/25)*Calculateur!V199*Calculateur!X199*VLOOKUP('Données projet'!$B$9,Paramètres!$A$1:$I$89,3,0)*0.475*44/12</f>
        <v>1.5221954898016217</v>
      </c>
      <c r="AB199" s="21">
        <f>EXP(-LN(2)/2)*AB198+(1-EXP(-LN(2)/2))/(LN(2)/2)*V199*Y199*VLOOKUP('Données projet'!$B$9,Paramètres!$A$1:$I$89,3,0)*0.475*44/12</f>
        <v>4.0497237261925973E-17</v>
      </c>
      <c r="AC199" s="22">
        <f t="shared" si="163"/>
        <v>18.085032533722803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69.498002418019951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-5.6843418860808015E-14</v>
      </c>
      <c r="AJ199" s="13">
        <f>AI199*VLOOKUP('Données projet'!$B$10,Paramètres!$A$1:$I$89,3,0)*VLOOKUP('Données projet'!$B$10,Paramètres!$A$1:$I$89,5,0)</f>
        <v>-3.3992364478763198E-14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270.29397440778314</v>
      </c>
      <c r="AO199" s="59">
        <f t="shared" si="205"/>
        <v>281.95928682679596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8.7760112123069582</v>
      </c>
      <c r="AV199" s="21">
        <f>EXP(-LN(2)/25)*AV198+(1-EXP(-LN(2)/25))/(LN(2)/25)*Calculateur!AQ199*Calculateur!AS199*VLOOKUP('Données projet'!$B$10,Paramètres!$A$1:$I$89,3,0)*0.475*44/12</f>
        <v>0.83245954353846596</v>
      </c>
      <c r="AW199" s="21">
        <f>EXP(-LN(2)/2)*AW198+(1-EXP(-LN(2)/2))/(LN(2)/2)*AQ199*AT199*VLOOKUP('Données projet'!$B$10,Paramètres!$A$1:$I$89,3,0)*0.475*44/12</f>
        <v>1.0829434303635267E-19</v>
      </c>
      <c r="AX199" s="21">
        <f t="shared" si="166"/>
        <v>9.6084707558454241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69.498002418019951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1.1368683772161603E-12</v>
      </c>
      <c r="BE199" s="13">
        <f>BD199*VLOOKUP('Données projet'!$B$11,Paramètres!$A$1:$I$89,3,0)*VLOOKUP('Données projet'!$B$11,Paramètres!$A$1:$I$89,5,0)</f>
        <v>5.3205440053716299E-13</v>
      </c>
      <c r="BF199" s="13">
        <f t="shared" si="167"/>
        <v>6.579711042921201E-12</v>
      </c>
      <c r="BG199" s="20">
        <f t="shared" si="168"/>
        <v>1.2386324814023317E-11</v>
      </c>
      <c r="BH199" s="59">
        <f t="shared" si="194"/>
        <v>291.49267553275223</v>
      </c>
      <c r="BI199" s="59">
        <f ca="1">AVERAGE(OFFSET($BH$3,0,0,'Données projet'!$E$11+1,1))-AVERAGE(OFFSET($H$3,0,0,'Données projet'!$E$11+1,1))</f>
        <v>308.70979446846718</v>
      </c>
      <c r="BJ199" s="59">
        <f t="shared" si="206"/>
        <v>202.33469175293314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40.239097286159996</v>
      </c>
      <c r="BQ199" s="21">
        <f>EXP(-LN(2)/25)*BQ198+(1-EXP(-LN(2)/25))/(LN(2)/25)*Calculateur!BL199*Calculateur!BN199*VLOOKUP('Données projet'!$B$11,Paramètres!$A$1:$I$89,3,0)*0.475*44/12</f>
        <v>5.7421529155901041</v>
      </c>
      <c r="BR199" s="21">
        <f>EXP(-LN(2)/2)*BR198+(1-EXP(-LN(2)/2))/(LN(2)/2)*BL199*BO199*VLOOKUP('Données projet'!$B$11,Paramètres!$A$1:$I$89,3,0)*0.475*44/12</f>
        <v>3.0645636741872574E-9</v>
      </c>
      <c r="BS199" s="22">
        <f t="shared" si="169"/>
        <v>45.981250204814664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69.498002418019951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69.498002418019951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69.498002418019951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69.498002418019951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69.498002418019951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69.498002418019951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69.498002418019951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3.1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11.366666666666667</v>
      </c>
      <c r="H200" s="67">
        <f t="shared" si="192"/>
        <v>211.20000000000002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69.506710953768831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369.06880001017635</v>
      </c>
      <c r="T200" s="59">
        <f t="shared" si="204"/>
        <v>331.91233237772281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16.238049911822962</v>
      </c>
      <c r="AA200" s="21">
        <f>EXP(-LN(2)/25)*AA199+(1-EXP(-LN(2)/25))/(LN(2)/25)*Calculateur!V200*Calculateur!X200*VLOOKUP('Données projet'!$B$9,Paramètres!$A$1:$I$89,3,0)*0.475*44/12</f>
        <v>1.4805709740842146</v>
      </c>
      <c r="AB200" s="21">
        <f>EXP(-LN(2)/2)*AB199+(1-EXP(-LN(2)/2))/(LN(2)/2)*V200*Y200*VLOOKUP('Données projet'!$B$9,Paramètres!$A$1:$I$89,3,0)*0.475*44/12</f>
        <v>2.8635871087228388E-17</v>
      </c>
      <c r="AC200" s="22">
        <f t="shared" si="163"/>
        <v>17.718620885907178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69.506710953768831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-5.6843418860808015E-14</v>
      </c>
      <c r="AJ200" s="13">
        <f>AI200*VLOOKUP('Données projet'!$B$10,Paramètres!$A$1:$I$89,3,0)*VLOOKUP('Données projet'!$B$10,Paramètres!$A$1:$I$89,5,0)</f>
        <v>-3.3992364478763198E-14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270.29397440778314</v>
      </c>
      <c r="AO200" s="59">
        <f t="shared" si="205"/>
        <v>281.95928682679596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8.6039189852719087</v>
      </c>
      <c r="AV200" s="21">
        <f>EXP(-LN(2)/25)*AV199+(1-EXP(-LN(2)/25))/(LN(2)/25)*Calculateur!AQ200*Calculateur!AS200*VLOOKUP('Données projet'!$B$10,Paramètres!$A$1:$I$89,3,0)*0.475*44/12</f>
        <v>0.80969589354326188</v>
      </c>
      <c r="AW200" s="21">
        <f>EXP(-LN(2)/2)*AW199+(1-EXP(-LN(2)/2))/(LN(2)/2)*AQ200*AT200*VLOOKUP('Données projet'!$B$10,Paramètres!$A$1:$I$89,3,0)*0.475*44/12</f>
        <v>7.6575664325147146E-20</v>
      </c>
      <c r="AX200" s="21">
        <f t="shared" si="166"/>
        <v>9.4136148788151708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69.506710953768831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1.1368683772161603E-12</v>
      </c>
      <c r="BE200" s="13">
        <f>BD200*VLOOKUP('Données projet'!$B$11,Paramètres!$A$1:$I$89,3,0)*VLOOKUP('Données projet'!$B$11,Paramètres!$A$1:$I$89,5,0)</f>
        <v>5.3205440053716299E-13</v>
      </c>
      <c r="BF200" s="13">
        <f t="shared" si="167"/>
        <v>6.579711042921201E-12</v>
      </c>
      <c r="BG200" s="20">
        <f t="shared" si="168"/>
        <v>1.2386324814023317E-11</v>
      </c>
      <c r="BH200" s="59">
        <f t="shared" si="194"/>
        <v>291.5246068304981</v>
      </c>
      <c r="BI200" s="59">
        <f ca="1">AVERAGE(OFFSET($BH$3,0,0,'Données projet'!$E$11+1,1))-AVERAGE(OFFSET($H$3,0,0,'Données projet'!$E$11+1,1))</f>
        <v>308.70979446846718</v>
      </c>
      <c r="BJ200" s="59">
        <f t="shared" si="206"/>
        <v>202.33469175293314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39.450033131804283</v>
      </c>
      <c r="BQ200" s="21">
        <f>EXP(-LN(2)/25)*BQ199+(1-EXP(-LN(2)/25))/(LN(2)/25)*Calculateur!BL200*Calculateur!BN200*VLOOKUP('Données projet'!$B$11,Paramètres!$A$1:$I$89,3,0)*0.475*44/12</f>
        <v>5.5851334421465948</v>
      </c>
      <c r="BR200" s="21">
        <f>EXP(-LN(2)/2)*BR199+(1-EXP(-LN(2)/2))/(LN(2)/2)*BL200*BO200*VLOOKUP('Données projet'!$B$11,Paramètres!$A$1:$I$89,3,0)*0.475*44/12</f>
        <v>2.1669737553957711E-9</v>
      </c>
      <c r="BS200" s="22">
        <f t="shared" si="169"/>
        <v>45.035166576117845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69.506710953768831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69.506710953768831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69.506710953768831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69.506710953768831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69.506710953768831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69.506710953768831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69.506710953768831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3.1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11.366666666666667</v>
      </c>
      <c r="H201" s="67">
        <f t="shared" si="192"/>
        <v>211.20000000000002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69.515268415891853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369.06880001017635</v>
      </c>
      <c r="T201" s="59">
        <f t="shared" si="204"/>
        <v>331.91233237772281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15.919631657284599</v>
      </c>
      <c r="AA201" s="21">
        <f>EXP(-LN(2)/25)*AA200+(1-EXP(-LN(2)/25))/(LN(2)/25)*Calculateur!V201*Calculateur!X201*VLOOKUP('Données projet'!$B$9,Paramètres!$A$1:$I$89,3,0)*0.475*44/12</f>
        <v>1.440084682938038</v>
      </c>
      <c r="AB201" s="21">
        <f>EXP(-LN(2)/2)*AB200+(1-EXP(-LN(2)/2))/(LN(2)/2)*V201*Y201*VLOOKUP('Données projet'!$B$9,Paramètres!$A$1:$I$89,3,0)*0.475*44/12</f>
        <v>2.0248618630962986E-17</v>
      </c>
      <c r="AC201" s="22">
        <f t="shared" si="163"/>
        <v>17.359716340222636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69.515268415891853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-5.6843418860808015E-14</v>
      </c>
      <c r="AJ201" s="13">
        <f>AI201*VLOOKUP('Données projet'!$B$10,Paramètres!$A$1:$I$89,3,0)*VLOOKUP('Données projet'!$B$10,Paramètres!$A$1:$I$89,5,0)</f>
        <v>-3.3992364478763198E-14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270.29397440778314</v>
      </c>
      <c r="AO201" s="59">
        <f t="shared" si="205"/>
        <v>281.95928682679596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8.4352013818431235</v>
      </c>
      <c r="AV201" s="21">
        <f>EXP(-LN(2)/25)*AV200+(1-EXP(-LN(2)/25))/(LN(2)/25)*Calculateur!AQ201*Calculateur!AS201*VLOOKUP('Données projet'!$B$10,Paramètres!$A$1:$I$89,3,0)*0.475*44/12</f>
        <v>0.78755471675426492</v>
      </c>
      <c r="AW201" s="21">
        <f>EXP(-LN(2)/2)*AW200+(1-EXP(-LN(2)/2))/(LN(2)/2)*AQ201*AT201*VLOOKUP('Données projet'!$B$10,Paramètres!$A$1:$I$89,3,0)*0.475*44/12</f>
        <v>5.4147171518176339E-20</v>
      </c>
      <c r="AX201" s="21">
        <f t="shared" si="166"/>
        <v>9.2227560985973884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69.515268415891853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1.1368683772161603E-12</v>
      </c>
      <c r="BE201" s="13">
        <f>BD201*VLOOKUP('Données projet'!$B$11,Paramètres!$A$1:$I$89,3,0)*VLOOKUP('Données projet'!$B$11,Paramètres!$A$1:$I$89,5,0)</f>
        <v>5.3205440053716299E-13</v>
      </c>
      <c r="BF201" s="13">
        <f t="shared" si="167"/>
        <v>6.579711042921201E-12</v>
      </c>
      <c r="BG201" s="20">
        <f t="shared" si="168"/>
        <v>1.2386324814023317E-11</v>
      </c>
      <c r="BH201" s="59">
        <f t="shared" si="194"/>
        <v>291.55598419161589</v>
      </c>
      <c r="BI201" s="59">
        <f ca="1">AVERAGE(OFFSET($BH$3,0,0,'Données projet'!$E$11+1,1))-AVERAGE(OFFSET($H$3,0,0,'Données projet'!$E$11+1,1))</f>
        <v>308.70979446846718</v>
      </c>
      <c r="BJ201" s="59">
        <f t="shared" si="206"/>
        <v>202.33469175293314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38.676442044233873</v>
      </c>
      <c r="BQ201" s="21">
        <f>EXP(-LN(2)/25)*BQ200+(1-EXP(-LN(2)/25))/(LN(2)/25)*Calculateur!BL201*Calculateur!BN201*VLOOKUP('Données projet'!$B$11,Paramètres!$A$1:$I$89,3,0)*0.475*44/12</f>
        <v>5.4324076744616931</v>
      </c>
      <c r="BR201" s="21">
        <f>EXP(-LN(2)/2)*BR200+(1-EXP(-LN(2)/2))/(LN(2)/2)*BL201*BO201*VLOOKUP('Données projet'!$B$11,Paramètres!$A$1:$I$89,3,0)*0.475*44/12</f>
        <v>1.5322818370936287E-9</v>
      </c>
      <c r="BS201" s="22">
        <f t="shared" si="169"/>
        <v>44.108849720227845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69.515268415891853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69.515268415891853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69.515268415891853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69.515268415891853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69.515268415891853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69.515268415891853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69.515268415891853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3.1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11.366666666666667</v>
      </c>
      <c r="H202" s="67">
        <f t="shared" si="192"/>
        <v>211.20000000000002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69.523677425178647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369.06880001017635</v>
      </c>
      <c r="T202" s="59">
        <f t="shared" si="204"/>
        <v>331.91233237772281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15.607457390501775</v>
      </c>
      <c r="AA202" s="21">
        <f>EXP(-LN(2)/25)*AA201+(1-EXP(-LN(2)/25))/(LN(2)/25)*Calculateur!V202*Calculateur!X202*VLOOKUP('Données projet'!$B$9,Paramètres!$A$1:$I$89,3,0)*0.475*44/12</f>
        <v>1.4007054915523354</v>
      </c>
      <c r="AB202" s="21">
        <f>EXP(-LN(2)/2)*AB201+(1-EXP(-LN(2)/2))/(LN(2)/2)*V202*Y202*VLOOKUP('Données projet'!$B$9,Paramètres!$A$1:$I$89,3,0)*0.475*44/12</f>
        <v>1.4317935543614194E-17</v>
      </c>
      <c r="AC202" s="22">
        <f t="shared" si="163"/>
        <v>17.008162882054112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69.523677425178647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-5.6843418860808015E-14</v>
      </c>
      <c r="AJ202" s="13">
        <f>AI202*VLOOKUP('Données projet'!$B$10,Paramètres!$A$1:$I$89,3,0)*VLOOKUP('Données projet'!$B$10,Paramètres!$A$1:$I$89,5,0)</f>
        <v>-3.3992364478763198E-14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270.29397440778314</v>
      </c>
      <c r="AO202" s="59">
        <f t="shared" si="205"/>
        <v>281.95928682679596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8.2697922277099991</v>
      </c>
      <c r="AV202" s="21">
        <f>EXP(-LN(2)/25)*AV201+(1-EXP(-LN(2)/25))/(LN(2)/25)*Calculateur!AQ202*Calculateur!AS202*VLOOKUP('Données projet'!$B$10,Paramètres!$A$1:$I$89,3,0)*0.475*44/12</f>
        <v>0.76601899160891695</v>
      </c>
      <c r="AW202" s="21">
        <f>EXP(-LN(2)/2)*AW201+(1-EXP(-LN(2)/2))/(LN(2)/2)*AQ202*AT202*VLOOKUP('Données projet'!$B$10,Paramètres!$A$1:$I$89,3,0)*0.475*44/12</f>
        <v>3.8287832162573579E-20</v>
      </c>
      <c r="AX202" s="21">
        <f t="shared" si="166"/>
        <v>9.0358112193189157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69.523677425178647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1.1368683772161603E-12</v>
      </c>
      <c r="BE202" s="13">
        <f>BD202*VLOOKUP('Données projet'!$B$11,Paramètres!$A$1:$I$89,3,0)*VLOOKUP('Données projet'!$B$11,Paramètres!$A$1:$I$89,5,0)</f>
        <v>5.3205440053716299E-13</v>
      </c>
      <c r="BF202" s="13">
        <f t="shared" si="167"/>
        <v>6.579711042921201E-12</v>
      </c>
      <c r="BG202" s="20">
        <f t="shared" si="168"/>
        <v>1.2386324814023317E-11</v>
      </c>
      <c r="BH202" s="59">
        <f t="shared" si="194"/>
        <v>291.5868172256674</v>
      </c>
      <c r="BI202" s="59">
        <f ca="1">AVERAGE(OFFSET($BH$3,0,0,'Données projet'!$E$11+1,1))-AVERAGE(OFFSET($H$3,0,0,'Données projet'!$E$11+1,1))</f>
        <v>308.70979446846718</v>
      </c>
      <c r="BJ202" s="59">
        <f t="shared" si="206"/>
        <v>202.33469175293314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37.918020606046746</v>
      </c>
      <c r="BQ202" s="21">
        <f>EXP(-LN(2)/25)*BQ201+(1-EXP(-LN(2)/25))/(LN(2)/25)*Calculateur!BL202*Calculateur!BN202*VLOOKUP('Données projet'!$B$11,Paramètres!$A$1:$I$89,3,0)*0.475*44/12</f>
        <v>5.2838582009256347</v>
      </c>
      <c r="BR202" s="21">
        <f>EXP(-LN(2)/2)*BR201+(1-EXP(-LN(2)/2))/(LN(2)/2)*BL202*BO202*VLOOKUP('Données projet'!$B$11,Paramètres!$A$1:$I$89,3,0)*0.475*44/12</f>
        <v>1.0834868776978855E-9</v>
      </c>
      <c r="BS202" s="22">
        <f t="shared" si="169"/>
        <v>43.201878808055866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69.523677425178647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69.523677425178647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69.523677425178647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69.523677425178647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69.523677425178647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69.523677425178647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69.523677425178647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3.1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54.5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11.366666666666667</v>
      </c>
      <c r="H203" s="67">
        <f t="shared" si="192"/>
        <v>211.20000000000002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69.531940556954055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369.06880001017635</v>
      </c>
      <c r="T203" s="59">
        <f t="shared" si="204"/>
        <v>331.91233237772281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15.301404670683061</v>
      </c>
      <c r="AA203" s="21">
        <f>EXP(-LN(2)/25)*AA202+(1-EXP(-LN(2)/25))/(LN(2)/25)*Calculateur!V203*Calculateur!X203*VLOOKUP('Données projet'!$B$9,Paramètres!$A$1:$I$89,3,0)*0.475*44/12</f>
        <v>1.3624031262259364</v>
      </c>
      <c r="AB203" s="21">
        <f>EXP(-LN(2)/2)*AB202+(1-EXP(-LN(2)/2))/(LN(2)/2)*V203*Y203*VLOOKUP('Données projet'!$B$9,Paramètres!$A$1:$I$89,3,0)*0.475*44/12</f>
        <v>1.0124309315481493E-17</v>
      </c>
      <c r="AC203" s="22">
        <f t="shared" si="163"/>
        <v>16.663807796908998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69.531940556954055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-5.6843418860808015E-14</v>
      </c>
      <c r="AJ203" s="13">
        <f>AI203*VLOOKUP('Données projet'!$B$10,Paramètres!$A$1:$I$89,3,0)*VLOOKUP('Données projet'!$B$10,Paramètres!$A$1:$I$89,5,0)</f>
        <v>-3.3992364478763198E-14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270.29397440778314</v>
      </c>
      <c r="AO203" s="59">
        <f t="shared" si="205"/>
        <v>281.95928682679596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8.1076266461998046</v>
      </c>
      <c r="AV203" s="21">
        <f>EXP(-LN(2)/25)*AV202+(1-EXP(-LN(2)/25))/(LN(2)/25)*Calculateur!AQ203*Calculateur!AS203*VLOOKUP('Données projet'!$B$10,Paramètres!$A$1:$I$89,3,0)*0.475*44/12</f>
        <v>0.74507216200018311</v>
      </c>
      <c r="AW203" s="21">
        <f>EXP(-LN(2)/2)*AW202+(1-EXP(-LN(2)/2))/(LN(2)/2)*AQ203*AT203*VLOOKUP('Données projet'!$B$10,Paramètres!$A$1:$I$89,3,0)*0.475*44/12</f>
        <v>2.7073585759088176E-20</v>
      </c>
      <c r="AX203" s="21">
        <f t="shared" si="166"/>
        <v>8.8526988081999871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69.531940556954055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1.1368683772161603E-12</v>
      </c>
      <c r="BE203" s="13">
        <f>BD203*VLOOKUP('Données projet'!$B$11,Paramètres!$A$1:$I$89,3,0)*VLOOKUP('Données projet'!$B$11,Paramètres!$A$1:$I$89,5,0)</f>
        <v>5.3205440053716299E-13</v>
      </c>
      <c r="BF203" s="13">
        <f t="shared" si="167"/>
        <v>6.579711042921201E-12</v>
      </c>
      <c r="BG203" s="20">
        <f t="shared" si="168"/>
        <v>1.2386324814023317E-11</v>
      </c>
      <c r="BH203" s="59">
        <f t="shared" si="194"/>
        <v>291.61711537551059</v>
      </c>
      <c r="BI203" s="59">
        <f ca="1">AVERAGE(OFFSET($BH$3,0,0,'Données projet'!$E$11+1,1))-AVERAGE(OFFSET($H$3,0,0,'Données projet'!$E$11+1,1))</f>
        <v>308.70979446846718</v>
      </c>
      <c r="BJ203" s="59">
        <f t="shared" si="206"/>
        <v>202.33469175293314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37.174471349671066</v>
      </c>
      <c r="BQ203" s="21">
        <f>EXP(-LN(2)/25)*BQ202+(1-EXP(-LN(2)/25))/(LN(2)/25)*Calculateur!BL203*Calculateur!BN203*VLOOKUP('Données projet'!$B$11,Paramètres!$A$1:$I$89,3,0)*0.475*44/12</f>
        <v>5.139370820555297</v>
      </c>
      <c r="BR203" s="21">
        <f>EXP(-LN(2)/2)*BR202+(1-EXP(-LN(2)/2))/(LN(2)/2)*BL203*BO203*VLOOKUP('Données projet'!$B$11,Paramètres!$A$1:$I$89,3,0)*0.475*44/12</f>
        <v>7.6614091854681434E-10</v>
      </c>
      <c r="BS203" s="22">
        <f t="shared" si="169"/>
        <v>42.313842170992508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69.531940556954055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69.531940556954055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69.531940556954055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69.531940556954055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69.531940556954055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69.531940556954055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69.531940556954055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1.2909310311160476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1.3292852468636394</v>
      </c>
      <c r="BA205" s="82">
        <f>EXP(LN('Données projet'!B88)/'Données projet'!A88)</f>
        <v>1.1810516433311786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laricio</v>
      </c>
      <c r="B6" s="146">
        <f>'Données projet'!D9</f>
        <v>4.0500000000000007</v>
      </c>
      <c r="C6" s="147">
        <f ca="1">IF(OR('Données projet'!B9="",'Données projet'!C9="",'Données projet'!C9=0%),0,Calculateur!S3)</f>
        <v>369.06880001017635</v>
      </c>
      <c r="D6" s="147">
        <f>IF(OR('Données projet'!B9="",'Données projet'!C9="",'Données projet'!C9=0%),0,Calculateur!T3)</f>
        <v>331.91233237772281</v>
      </c>
      <c r="E6" s="147">
        <f ca="1">MIN(C6,D6)</f>
        <v>331.91233237772281</v>
      </c>
      <c r="F6" s="147">
        <f ca="1">E6*B6</f>
        <v>1344.2449461297776</v>
      </c>
      <c r="G6" s="147">
        <f ca="1">F6*(100%-'Données projet'!$C$24)*(100%-'Données projet'!$C$25)*(100%-'Données projet'!$C$26)*(100%-'Données projet'!$C$27)</f>
        <v>1088.8384063651199</v>
      </c>
      <c r="H6" s="148">
        <f>IF(OR('Données projet'!B9="",'Données projet'!C9="",'Données projet'!C9=0%),0,AVERAGE(Calculateur!$AC$3:$AC$33)*B6)</f>
        <v>33.743771326524296</v>
      </c>
      <c r="I6" s="149">
        <f>H6*(100%-'Données projet'!$C$24)*(100%-'Données projet'!$C$25)*(100%-'Données projet'!$C$26)*(100%-'Données projet'!$C$27)</f>
        <v>27.332454774484681</v>
      </c>
      <c r="J6" s="150">
        <f>IF(OR('Données projet'!B9="",'Données projet'!C9="",'Données projet'!C9=0%),0,SUM(Calculateur!$V$3:$V$33)*VLOOKUP('Données projet'!$B$9,Paramètres!$A$1:$I$89,9,0)*B6)</f>
        <v>248.72638846153848</v>
      </c>
      <c r="K6" s="151">
        <f>J6*(100%-'Données projet'!$C$24)*(100%-'Données projet'!$C$25)*(100%-'Données projet'!$C$26)*(100%-'Données projet'!$C$27)</f>
        <v>201.46837465384618</v>
      </c>
      <c r="L6" s="152">
        <f ca="1">G6+I6+K6</f>
        <v>1317.6392357934508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maritime</v>
      </c>
      <c r="B7" s="154">
        <f>'Données projet'!D10</f>
        <v>0.67500000000000004</v>
      </c>
      <c r="C7" s="147">
        <f ca="1">IF(OR('Données projet'!B10="",'Données projet'!C10="",'Données projet'!C10=0%),0,Calculateur!AN3)</f>
        <v>270.29397440778314</v>
      </c>
      <c r="D7" s="147">
        <f>IF(OR('Données projet'!B10="",'Données projet'!C10="",'Données projet'!C10=0%),0,Calculateur!AO3)</f>
        <v>281.95928682679596</v>
      </c>
      <c r="E7" s="147">
        <f t="shared" ref="E7:E15" ca="1" si="0">MIN(C7,D7)</f>
        <v>270.29397440778314</v>
      </c>
      <c r="F7" s="147">
        <f t="shared" ref="F7:F15" ca="1" si="1">E7*B7</f>
        <v>182.44843272525364</v>
      </c>
      <c r="G7" s="147">
        <f ca="1">F7*(100%-'Données projet'!$C$24)*(100%-'Données projet'!$C$25)*(100%-'Données projet'!$C$26)*(100%-'Données projet'!$C$27)</f>
        <v>147.78323050745544</v>
      </c>
      <c r="H7" s="155">
        <f>IF(OR('Données projet'!B10="",'Données projet'!C10="",'Données projet'!C10=0%),0,AVERAGE(Calculateur!$AX$3:$AX$33)*B7)</f>
        <v>6.695259744182585</v>
      </c>
      <c r="I7" s="149">
        <f>H7*(100%-'Données projet'!$C$24)*(100%-'Données projet'!$C$25)*(100%-'Données projet'!$C$26)*(100%-'Données projet'!$C$27)</f>
        <v>5.423160392787894</v>
      </c>
      <c r="J7" s="150">
        <f>IF(OR('Données projet'!B10="",'Données projet'!C10="",'Données projet'!C10=0%),0,SUM(Calculateur!$AQ$3:$AQ$33)*VLOOKUP('Données projet'!$B$10,Paramètres!$A$1:$I$89,9,0)*B7)</f>
        <v>57.286730769230772</v>
      </c>
      <c r="K7" s="151">
        <f>J7*(100%-'Données projet'!$C$24)*(100%-'Données projet'!$C$25)*(100%-'Données projet'!$C$26)*(100%-'Données projet'!$C$27)</f>
        <v>46.402251923076932</v>
      </c>
      <c r="L7" s="152">
        <f t="shared" ref="L7:L15" ca="1" si="2">G7+I7+K7</f>
        <v>199.60864282332028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Cèdre de l'Atlas</v>
      </c>
      <c r="B8" s="154">
        <f>'Données projet'!D11</f>
        <v>0.67500000000000004</v>
      </c>
      <c r="C8" s="147">
        <f ca="1">IF(OR('Données projet'!B11="",'Données projet'!C11="",'Données projet'!C11=0%),0,Calculateur!BI3)</f>
        <v>308.70979446846718</v>
      </c>
      <c r="D8" s="147">
        <f>IF(OR('Données projet'!B11="",'Données projet'!C11="",'Données projet'!C11=0%),0,Calculateur!BJ3)</f>
        <v>202.33469175293314</v>
      </c>
      <c r="E8" s="147">
        <f t="shared" ca="1" si="0"/>
        <v>202.33469175293314</v>
      </c>
      <c r="F8" s="147">
        <f t="shared" ca="1" si="1"/>
        <v>136.57591693322988</v>
      </c>
      <c r="G8" s="147">
        <f ca="1">F8*(100%-'Données projet'!$C$24)*(100%-'Données projet'!$C$25)*(100%-'Données projet'!$C$26)*(100%-'Données projet'!$C$27)</f>
        <v>110.6264927159162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110.6264927159162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1663.2692957882612</v>
      </c>
      <c r="G16" s="166">
        <f t="shared" ca="1" si="3"/>
        <v>1347.2481295884916</v>
      </c>
      <c r="H16" s="167">
        <f t="shared" si="3"/>
        <v>40.439031070706882</v>
      </c>
      <c r="I16" s="167">
        <f t="shared" si="3"/>
        <v>32.755615167272573</v>
      </c>
      <c r="J16" s="168">
        <f t="shared" si="3"/>
        <v>306.01311923076923</v>
      </c>
      <c r="K16" s="168">
        <f t="shared" si="3"/>
        <v>247.87062657692312</v>
      </c>
      <c r="L16" s="169">
        <f t="shared" ca="1" si="3"/>
        <v>1627.8743713326871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2" zoomScale="80" zoomScaleNormal="80" workbookViewId="0">
      <selection activeCell="J26" sqref="J2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1305.9692551386984</v>
      </c>
      <c r="U10" s="178">
        <f>'Données projet'!D9</f>
        <v>4.0500000000000007</v>
      </c>
      <c r="V10" s="177">
        <f>U10*T10</f>
        <v>5289.1754833117293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2097.9737696758543</v>
      </c>
      <c r="U11" s="178">
        <f>'Données projet'!D10</f>
        <v>0.67500000000000004</v>
      </c>
      <c r="V11" s="177">
        <f t="shared" ref="V11" si="0">U11*T11</f>
        <v>1416.1322945312018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840.46255648661293</v>
      </c>
      <c r="U12" s="178">
        <f>'Données projet'!D11</f>
        <v>0.67500000000000004</v>
      </c>
      <c r="V12" s="177">
        <f t="shared" ref="V12:V19" si="1">U12*T12</f>
        <v>567.31222562846381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4" t="s">
        <v>318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1</v>
      </c>
      <c r="I20" s="191">
        <v>12384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3837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1</v>
      </c>
      <c r="I22" s="191">
        <v>2673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19</v>
      </c>
      <c r="B23" s="181">
        <f>'Données projet'!D36</f>
        <v>46.53846153846154</v>
      </c>
      <c r="C23" s="193">
        <v>10</v>
      </c>
      <c r="D23" s="182">
        <f>B23*C23</f>
        <v>465.38461538461542</v>
      </c>
      <c r="E23" s="193">
        <v>150</v>
      </c>
      <c r="F23" s="230"/>
      <c r="H23" s="190"/>
      <c r="I23" s="191"/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-90361.446982174544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40.41538461538461</v>
      </c>
      <c r="C24" s="193">
        <v>10</v>
      </c>
      <c r="D24" s="182">
        <f t="shared" ref="D24:D42" si="2">B24*C24</f>
        <v>404.15384615384608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58422.659503155781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55.869230769230761</v>
      </c>
      <c r="C25" s="193">
        <v>10</v>
      </c>
      <c r="D25" s="182">
        <f t="shared" si="2"/>
        <v>558.69230769230762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257">
        <v>500</v>
      </c>
      <c r="Q25" s="234"/>
      <c r="R25" s="23"/>
      <c r="S25" s="186" t="s">
        <v>266</v>
      </c>
      <c r="T25" s="300">
        <f ca="1">T23-T24</f>
        <v>-148784.10648533033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37</v>
      </c>
      <c r="B26" s="181">
        <f>'Données projet'!D39</f>
        <v>43.623076923076923</v>
      </c>
      <c r="C26" s="193">
        <v>15</v>
      </c>
      <c r="D26" s="182">
        <f t="shared" si="2"/>
        <v>654.34615384615381</v>
      </c>
      <c r="E26" s="193">
        <v>150</v>
      </c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46</v>
      </c>
      <c r="B27" s="181">
        <f>'Données projet'!D40</f>
        <v>72.561538461538461</v>
      </c>
      <c r="C27" s="193">
        <v>25</v>
      </c>
      <c r="D27" s="182">
        <f t="shared" si="2"/>
        <v>1814.0384615384614</v>
      </c>
      <c r="E27" s="193">
        <v>150</v>
      </c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56</v>
      </c>
      <c r="B28" s="181">
        <f>'Données projet'!D41</f>
        <v>60.092307692307692</v>
      </c>
      <c r="C28" s="193">
        <v>25</v>
      </c>
      <c r="D28" s="182">
        <f t="shared" si="2"/>
        <v>1502.3076923076924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66</v>
      </c>
      <c r="B29" s="181">
        <f>'Données projet'!D42</f>
        <v>68.146153846153851</v>
      </c>
      <c r="C29" s="193">
        <v>25</v>
      </c>
      <c r="D29" s="182">
        <f t="shared" si="2"/>
        <v>1703.6538461538462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76</v>
      </c>
      <c r="B30" s="181">
        <f>'Données projet'!D43</f>
        <v>520.22307692307686</v>
      </c>
      <c r="C30" s="193">
        <v>25</v>
      </c>
      <c r="D30" s="182">
        <f t="shared" si="2"/>
        <v>13005.576923076922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10819.011019102922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500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478.46889952153111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457.86497561869015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438.14830202745469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419.28067179660746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401.22552325034206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383.94786913908342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367.41422884122812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351.59256348442892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336.45221386069755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321.96384101502161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308.09936939236519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294.83193243288542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282.13582050993818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269.98643110998876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258.36022115788398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247.23466139510438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236.58819272258791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226.40018442352914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216.65089418519537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207.32142984229228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17</v>
      </c>
      <c r="B54" s="181">
        <f>'Données projet'!D62</f>
        <v>42.084615384615383</v>
      </c>
      <c r="C54" s="191">
        <v>10</v>
      </c>
      <c r="D54" s="179">
        <f>B54*C54</f>
        <v>420.84615384615381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198.39371276774378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23</v>
      </c>
      <c r="B55" s="181">
        <f>'Données projet'!D63</f>
        <v>54.099999999999994</v>
      </c>
      <c r="C55" s="191">
        <v>18</v>
      </c>
      <c r="D55" s="179">
        <f t="shared" ref="D55:D73" si="4">B55*C55</f>
        <v>973.8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189.85044283994625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29</v>
      </c>
      <c r="B56" s="181">
        <f>'Données projet'!D64</f>
        <v>47.661538461538463</v>
      </c>
      <c r="C56" s="191">
        <v>25</v>
      </c>
      <c r="D56" s="179">
        <f t="shared" si="4"/>
        <v>1191.5384615384617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181.67506491860885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36</v>
      </c>
      <c r="B57" s="181">
        <f>'Données projet'!D65</f>
        <v>64.553846149999998</v>
      </c>
      <c r="C57" s="191">
        <v>25</v>
      </c>
      <c r="D57" s="179">
        <f t="shared" si="4"/>
        <v>1613.84615375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173.85173676421903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44</v>
      </c>
      <c r="B58" s="181">
        <f>'Données projet'!D66</f>
        <v>64.476923080000006</v>
      </c>
      <c r="C58" s="191">
        <v>35</v>
      </c>
      <c r="D58" s="179">
        <f t="shared" si="4"/>
        <v>2256.6923078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166.3652983389656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52</v>
      </c>
      <c r="B59" s="181">
        <f>'Données projet'!D67</f>
        <v>61.784615379999998</v>
      </c>
      <c r="C59" s="191">
        <v>35</v>
      </c>
      <c r="D59" s="179">
        <f t="shared" si="4"/>
        <v>2162.4615383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159.2012424296322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60</v>
      </c>
      <c r="B60" s="181">
        <f>'Données projet'!D68</f>
        <v>353.5</v>
      </c>
      <c r="C60" s="191">
        <v>35</v>
      </c>
      <c r="D60" s="179">
        <f t="shared" si="4"/>
        <v>12372.5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152.34568653553319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145.78534596701746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139.50750810240902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133.50000775350151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127.75120359186744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122.24995559030384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116.98560343569747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111.94794587148084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107.12722092964674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102.51408701401604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98.099604798101481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93.875219902489462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89.832746318171743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85.964350543705038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82.262536405459372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78.720130531540079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75.330268451234531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72.08638129304741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68.98218305554775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66.011658426361507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63.169051125704783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60.448852751870632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57.845792107053235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55.354824982826074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52.971124385479499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50.690071182277045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51</v>
      </c>
      <c r="B86" s="181">
        <f>'Données projet'!D89</f>
        <v>170.16153846153847</v>
      </c>
      <c r="C86" s="191">
        <v>18</v>
      </c>
      <c r="D86" s="179">
        <f t="shared" ref="D86:D104" si="6">B86*C86</f>
        <v>3062.9076923076923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48.507245150504346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61</v>
      </c>
      <c r="B87" s="181">
        <f>'Données projet'!D90</f>
        <v>94.76153846153845</v>
      </c>
      <c r="C87" s="191">
        <v>25</v>
      </c>
      <c r="D87" s="179">
        <f t="shared" si="6"/>
        <v>2369.0384615384614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46.4184164119659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73</v>
      </c>
      <c r="B88" s="181">
        <f>'Données projet'!D91</f>
        <v>93.584615384615375</v>
      </c>
      <c r="C88" s="191">
        <v>35</v>
      </c>
      <c r="D88" s="179">
        <f t="shared" si="6"/>
        <v>3275.4615384615381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44.419537236330996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85</v>
      </c>
      <c r="B89" s="181">
        <f>'Données projet'!D92</f>
        <v>85.207692307692298</v>
      </c>
      <c r="C89" s="191">
        <v>40</v>
      </c>
      <c r="D89" s="179">
        <f t="shared" si="6"/>
        <v>3408.3076923076919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42.506734197445944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97</v>
      </c>
      <c r="B90" s="181">
        <f>'Données projet'!D93</f>
        <v>79.669230769230765</v>
      </c>
      <c r="C90" s="191">
        <v>45</v>
      </c>
      <c r="D90" s="179">
        <f t="shared" si="6"/>
        <v>3585.1153846153843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40.676300667412391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109</v>
      </c>
      <c r="B91" s="181">
        <f>'Données projet'!D94</f>
        <v>80.653846153846146</v>
      </c>
      <c r="C91" s="191">
        <v>45</v>
      </c>
      <c r="D91" s="179">
        <f t="shared" si="6"/>
        <v>3629.4230769230767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38.924689633887461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121</v>
      </c>
      <c r="B92" s="181">
        <f>'Données projet'!D95</f>
        <v>207.07692307692307</v>
      </c>
      <c r="C92" s="191">
        <v>56</v>
      </c>
      <c r="D92" s="179">
        <f t="shared" si="6"/>
        <v>11596.307692307691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37.248506826686565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131</v>
      </c>
      <c r="B93" s="181">
        <f>'Données projet'!D96</f>
        <v>259.61538461538458</v>
      </c>
      <c r="C93" s="191">
        <v>56</v>
      </c>
      <c r="D93" s="179">
        <f t="shared" si="6"/>
        <v>14538.461538461537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35.644504140369925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711D1B-A81B-491F-92B8-D06D5A57351F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C237565D-46A7-4950-A232-34B23DE84B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6D98E5-5C8D-497B-B967-0E9537609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Mazeau guillaume</cp:lastModifiedBy>
  <dcterms:created xsi:type="dcterms:W3CDTF">2021-02-01T08:22:39Z</dcterms:created>
  <dcterms:modified xsi:type="dcterms:W3CDTF">2024-07-12T12:51:42Z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