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Ménager/Ménager-Levasseur/"/>
    </mc:Choice>
  </mc:AlternateContent>
  <xr:revisionPtr revIDLastSave="5" documentId="13_ncr:1_{3A39D340-CD8E-462A-A102-29EC826C4210}" xr6:coauthVersionLast="47" xr6:coauthVersionMax="47" xr10:uidLastSave="{274D86F4-43B0-4F11-B9DF-8892D33CC885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  <c r="F9" i="1" s="1" a="1"/>
  <c r="F9" i="1" s="1"/>
  <c r="C15" i="1"/>
  <c r="C14" i="1"/>
  <c r="C13" i="1"/>
  <c r="C12" i="1"/>
  <c r="C11" i="1"/>
  <c r="C10" i="1"/>
  <c r="C9" i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G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B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DH156" i="2"/>
  <c r="EB156" i="2"/>
  <c r="FS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AB161" i="2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DI161" i="2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Y162" i="2"/>
  <c r="EA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 l="1"/>
  <c r="DI163" i="2"/>
  <c r="EX164" i="2"/>
  <c r="HH164" i="2"/>
  <c r="FR164" i="2"/>
  <c r="EA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EB167" i="2"/>
  <c r="EY166" i="2"/>
  <c r="DG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DI167" i="2"/>
  <c r="HH168" i="2"/>
  <c r="HI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A185" i="2"/>
  <c r="EW185" i="2"/>
  <c r="HI185" i="2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B192" i="2"/>
  <c r="EA192" i="2"/>
  <c r="EW192" i="2"/>
  <c r="HI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B193" i="2" l="1"/>
  <c r="EA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EX195" i="2"/>
  <c r="EY194" i="2"/>
  <c r="EB195" i="2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EW197" i="2"/>
  <c r="EA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HI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ED200" i="2" s="1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FY109" i="2" l="1" a="1"/>
  <c r="FY109" i="2" s="1"/>
  <c r="DN177" i="2" a="1"/>
  <c r="DN177" i="2" s="1"/>
  <c r="FY164" i="2" a="1"/>
  <c r="FY164" i="2" s="1"/>
  <c r="DN103" i="2" a="1"/>
  <c r="DN103" i="2" s="1"/>
  <c r="FY143" i="2" a="1"/>
  <c r="FY143" i="2" s="1"/>
  <c r="FY121" i="2" a="1"/>
  <c r="FY121" i="2" s="1"/>
  <c r="FY191" i="2" a="1"/>
  <c r="FY191" i="2" s="1"/>
  <c r="DN187" i="2" a="1"/>
  <c r="DN18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88" i="2" a="1"/>
  <c r="DN188" i="2" s="1"/>
  <c r="FY173" i="2" a="1"/>
  <c r="FY173" i="2" s="1"/>
  <c r="DN162" i="2" a="1"/>
  <c r="DN162" i="2" s="1"/>
  <c r="DN43" i="2" a="1"/>
  <c r="DN43" i="2" s="1"/>
  <c r="FY159" i="2" a="1"/>
  <c r="FY159" i="2" s="1"/>
  <c r="DN49" i="2" a="1"/>
  <c r="DN49" i="2" s="1"/>
  <c r="DN186" i="2" a="1"/>
  <c r="DN186" i="2" s="1"/>
  <c r="FY35" i="2" a="1"/>
  <c r="FY35" i="2" s="1"/>
  <c r="DN135" i="2" a="1"/>
  <c r="DN135" i="2" s="1"/>
  <c r="CS129" i="2" a="1"/>
  <c r="CS129" i="2" s="1"/>
  <c r="FY174" i="2" a="1"/>
  <c r="FY174" i="2" s="1"/>
  <c r="DN65" i="2" a="1"/>
  <c r="DN65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FY133" i="2" a="1"/>
  <c r="FY133" i="2" s="1"/>
  <c r="FY86" i="2" a="1"/>
  <c r="FY86" i="2" s="1"/>
  <c r="FY79" i="2" a="1"/>
  <c r="FY79" i="2" s="1"/>
  <c r="FY58" i="2" a="1"/>
  <c r="FY58" i="2" s="1"/>
  <c r="FY29" i="2" a="1"/>
  <c r="FY29" i="2" s="1"/>
  <c r="FY24" i="2" a="1"/>
  <c r="FY24" i="2" s="1"/>
  <c r="FY167" i="2" a="1"/>
  <c r="FY167" i="2" s="1"/>
  <c r="FY110" i="2" a="1"/>
  <c r="FY110" i="2" s="1"/>
  <c r="CS114" i="2" a="1"/>
  <c r="CS114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FY188" i="2" a="1"/>
  <c r="FY188" i="2" s="1"/>
  <c r="DN115" i="2" a="1"/>
  <c r="DN115" i="2" s="1"/>
  <c r="FY149" i="2" a="1"/>
  <c r="FY149" i="2" s="1"/>
  <c r="FY47" i="2" a="1"/>
  <c r="FY47" i="2" s="1"/>
  <c r="DN176" i="2" a="1"/>
  <c r="DN176" i="2" s="1"/>
  <c r="DN153" i="2" a="1"/>
  <c r="DN153" i="2" s="1"/>
  <c r="CS105" i="2" a="1"/>
  <c r="CS105" i="2" s="1"/>
  <c r="FY165" i="2" a="1"/>
  <c r="FY165" i="2" s="1"/>
  <c r="CS72" i="2" a="1"/>
  <c r="CS72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6" i="2" a="1"/>
  <c r="DN16" i="2" s="1"/>
  <c r="DN41" i="2" a="1"/>
  <c r="DN41" i="2" s="1"/>
  <c r="FY126" i="2" a="1"/>
  <c r="FY126" i="2" s="1"/>
  <c r="DN46" i="2" a="1"/>
  <c r="DN46" i="2" s="1"/>
  <c r="DN114" i="2" a="1"/>
  <c r="DN114" i="2" s="1"/>
  <c r="FY140" i="2" a="1"/>
  <c r="FY140" i="2" s="1"/>
  <c r="FY28" i="2" a="1"/>
  <c r="FY28" i="2" s="1"/>
  <c r="DN164" i="2" a="1"/>
  <c r="DN164" i="2" s="1"/>
  <c r="DN137" i="2" a="1"/>
  <c r="DN137" i="2" s="1"/>
  <c r="FY78" i="2" a="1"/>
  <c r="FY78" i="2" s="1"/>
  <c r="DN190" i="2" a="1"/>
  <c r="DN190" i="2" s="1"/>
  <c r="DN170" i="2" a="1"/>
  <c r="DN170" i="2" s="1"/>
  <c r="FY124" i="2" a="1"/>
  <c r="FY124" i="2" s="1"/>
  <c r="BX107" i="2" a="1"/>
  <c r="BX107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<sst xmlns="http://schemas.openxmlformats.org/spreadsheetml/2006/main" count="1197" uniqueCount="339">
  <si>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</si>
  <si>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</si>
  <si>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</si>
  <si>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</si>
  <si>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</si>
  <si>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</si>
  <si>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</si>
  <si>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</si>
  <si>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</si>
  <si>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</si>
  <si>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</si>
  <si>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</si>
  <si>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</si>
  <si>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</si>
  <si>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</si>
  <si>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</si>
  <si>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</si>
  <si>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</si>
  <si>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</si>
  <si>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</si>
  <si>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</si>
  <si>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</si>
  <si>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</si>
  <si>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</si>
  <si>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</si>
  <si>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</si>
  <si>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</si>
  <si>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</si>
  <si>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</si>
  <si>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</si>
  <si>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</si>
  <si>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</si>
  <si>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</si>
  <si>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</si>
  <si>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</si>
  <si>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</si>
  <si>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</si>
  <si>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</si>
  <si>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</si>
  <si>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</si>
  <si>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</si>
  <si>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</si>
  <si>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</si>
  <si>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</si>
  <si>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</si>
  <si>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</si>
  <si>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</si>
  <si>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</si>
  <si>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</si>
  <si>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</si>
  <si>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</si>
  <si>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</si>
  <si>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</si>
  <si>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</si>
  <si>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</si>
  <si>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</si>
  <si>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</si>
  <si>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</si>
  <si>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</si>
  <si>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</si>
  <si>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</si>
  <si>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</si>
  <si>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</si>
  <si>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</si>
  <si>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</si>
  <si>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</si>
  <si>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</si>
  <si>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</si>
  <si>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</si>
  <si>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</si>
  <si>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</si>
  <si>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</si>
  <si>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</si>
  <si>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</si>
  <si>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</si>
  <si>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</si>
  <si>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</si>
  <si>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</si>
  <si>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</si>
  <si>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</si>
  <si>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</si>
  <si>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</si>
  <si>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</si>
  <si>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</si>
  <si>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</si>
  <si>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</si>
  <si>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</si>
  <si>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</si>
  <si>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</si>
  <si>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</si>
  <si>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</si>
  <si>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</si>
  <si>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</si>
  <si>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</si>
  <si>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</si>
  <si>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</si>
  <si>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</si>
  <si>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</si>
  <si>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</si>
  <si>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</si>
  <si>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</si>
  <si>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</si>
  <si>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</si>
  <si>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</si>
  <si>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</si>
  <si>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</si>
  <si>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</si>
  <si>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</si>
  <si>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</si>
  <si>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</si>
  <si>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</si>
  <si>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</si>
  <si>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</si>
  <si>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</si>
  <si>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</si>
  <si>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</si>
  <si>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</si>
  <si>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</si>
  <si>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</si>
  <si>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</si>
  <si>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</si>
  <si>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</si>
  <si>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</si>
  <si>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</si>
  <si>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</si>
  <si>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</si>
  <si>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</si>
  <si>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</si>
  <si>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</si>
  <si>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</si>
  <si>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</si>
  <si>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</si>
  <si>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</si>
  <si>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</si>
  <si>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</si>
  <si>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</si>
  <si>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</si>
  <si>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</si>
  <si>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</si>
  <si>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</si>
  <si>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</si>
  <si>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</si>
  <si>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</si>
  <si>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</si>
  <si>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</si>
  <si>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</si>
  <si>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</si>
  <si>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</si>
  <si>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</si>
  <si>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</si>
  <si>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</si>
  <si>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</si>
  <si>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</si>
  <si>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</si>
  <si>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</si>
  <si>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</si>
  <si>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</si>
  <si>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</si>
  <si>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</si>
  <si>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</si>
  <si>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</si>
  <si>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</si>
  <si>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</si>
  <si>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</si>
  <si>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</si>
  <si>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</si>
  <si>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</si>
  <si>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</si>
  <si>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</si>
  <si>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</si>
  <si>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</si>
  <si>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</si>
  <si>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</si>
  <si>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</si>
  <si>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</si>
  <si>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</si>
  <si>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</si>
  <si>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</si>
  <si>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</si>
  <si>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</si>
  <si>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</si>
  <si>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</si>
  <si>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</si>
  <si>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</si>
  <si>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</si>
  <si>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</si>
  <si>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</si>
  <si>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</si>
  <si>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</si>
  <si>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</si>
  <si>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</si>
  <si>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</si>
  <si>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</si>
  <si>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</si>
  <si>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</si>
  <si>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</si>
  <si>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</si>
  <si>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</si>
  <si>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</si>
  <si>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</si>
  <si>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</si>
  <si>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</si>
  <si>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</si>
  <si>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</si>
  <si>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</si>
  <si>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</si>
  <si>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</si>
  <si>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</si>
  <si>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</si>
  <si>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</si>
  <si>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</si>
  <si>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</si>
  <si>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</si>
  <si>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</si>
  <si>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</si>
  <si>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</si>
  <si>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</si>
  <si>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</si>
  <si>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</si>
  <si>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</si>
  <si>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</si>
  <si>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</si>
  <si>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</si>
  <si>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</si>
  <si>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</si>
  <si>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</si>
  <si>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</si>
  <si>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</si>
  <si>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</si>
  <si>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</si>
  <si>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</si>
  <si>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</si>
  <si>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</si>
  <si>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</si>
  <si>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</si>
  <si>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</si>
  <si>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</si>
  <si>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</si>
  <si>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</si>
  <si>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</si>
  <si>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</si>
  <si>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</si>
  <si>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</si>
  <si>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</si>
  <si>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</si>
  <si>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</si>
  <si>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</si>
  <si>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</si>
  <si>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</si>
  <si>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</si>
  <si>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</si>
  <si>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</si>
  <si>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</si>
  <si>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</si>
  <si>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</si>
  <si>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</si>
  <si>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</si>
  <si>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</si>
  <si>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</si>
  <si>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</si>
  <si>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</si>
  <si>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</si>
  <si>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</si>
  <si>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</si>
  <si>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</si>
  <si>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</si>
  <si>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</si>
  <si>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</si>
  <si>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</si>
  <si>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</si>
  <si>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</si>
  <si>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</si>
  <si>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</si>
  <si>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</si>
  <si>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</si>
  <si>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</si>
  <si>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</si>
  <si>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</si>
  <si>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</si>
  <si>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</si>
  <si>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</si>
  <si>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</si>
  <si>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</si>
  <si>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</si>
  <si>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</si>
  <si>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</si>
  <si>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</si>
  <si>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</si>
  <si>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</si>
  <si>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</si>
  <si>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</si>
  <si>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</si>
  <si>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</si>
  <si>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</si>
  <si>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</si>
  <si>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</si>
  <si>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</si>
  <si>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</si>
  <si>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</si>
  <si>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</si>
  <si>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</si>
  <si>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</si>
  <si>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</si>
  <si>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</si>
  <si>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</si>
  <si>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</si>
  <si>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</si>
  <si>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</si>
  <si>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</si>
  <si>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</si>
  <si>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</si>
  <si>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</si>
  <si>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</si>
  <si>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</si>
  <si>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</si>
  <si>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</si>
  <si>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</si>
  <si>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</si>
  <si>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</si>
  <si>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</si>
  <si>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</si>
  <si>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</si>
  <si>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</si>
  <si>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</si>
  <si>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</si>
  <si>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30</t>
  </si>
  <si>
    <t>29</t>
  </si>
  <si>
    <t>31</t>
  </si>
  <si>
    <t>32</t>
  </si>
  <si>
    <t>28</t>
  </si>
  <si>
    <t>26</t>
  </si>
  <si>
    <t>24</t>
  </si>
  <si>
    <t>22</t>
  </si>
  <si>
    <t>21</t>
  </si>
  <si>
    <t>19</t>
  </si>
  <si>
    <t>17</t>
  </si>
  <si>
    <t>16</t>
  </si>
  <si>
    <t>14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</si>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</sst>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2.5147186587462147</c:v>
                </c:pt>
                <c:pt idx="2">
                  <c:v>2.9320458204300039</c:v>
                </c:pt>
                <c:pt idx="3">
                  <c:v>3.4188824234421809</c:v>
                </c:pt>
                <c:pt idx="4">
                  <c:v>3.9868455957673476</c:v>
                </c:pt>
                <c:pt idx="5">
                  <c:v>4.6495002696677679</c:v>
                </c:pt>
                <c:pt idx="6">
                  <c:v>5.422686737318287</c:v>
                </c:pt>
                <c:pt idx="7">
                  <c:v>6.324903442097848</c:v>
                </c:pt>
                <c:pt idx="8">
                  <c:v>7.3777543434881103</c:v>
                </c:pt>
                <c:pt idx="9">
                  <c:v>8.6064717758229676</c:v>
                </c:pt>
                <c:pt idx="10">
                  <c:v>10.040527572105615</c:v>
                </c:pt>
                <c:pt idx="11">
                  <c:v>11.714347389472957</c:v>
                </c:pt>
                <c:pt idx="12">
                  <c:v>13.668145706139628</c:v>
                </c:pt>
                <c:pt idx="13">
                  <c:v>15.94890192341582</c:v>
                </c:pt>
                <c:pt idx="14">
                  <c:v>18.611501473959652</c:v>
                </c:pt>
                <c:pt idx="15">
                  <c:v>21.720069894591763</c:v>
                </c:pt>
                <c:pt idx="16">
                  <c:v>25.349532569195986</c:v>
                </c:pt>
                <c:pt idx="17">
                  <c:v>29.587438402019249</c:v>
                </c:pt>
                <c:pt idx="18">
                  <c:v>34.53609218169084</c:v>
                </c:pt>
                <c:pt idx="19">
                  <c:v>40.315048002619221</c:v>
                </c:pt>
                <c:pt idx="20">
                  <c:v>47.064025011713824</c:v>
                </c:pt>
                <c:pt idx="21">
                  <c:v>54.946317165442274</c:v>
                </c:pt>
                <c:pt idx="22">
                  <c:v>64.152780873607881</c:v>
                </c:pt>
                <c:pt idx="23">
                  <c:v>74.906498674616856</c:v>
                </c:pt>
                <c:pt idx="24">
                  <c:v>87.46823378681114</c:v>
                </c:pt>
                <c:pt idx="25">
                  <c:v>102.1428099266476</c:v>
                </c:pt>
                <c:pt idx="26">
                  <c:v>119.28657366300263</c:v>
                </c:pt>
                <c:pt idx="27">
                  <c:v>139.31612335663408</c:v>
                </c:pt>
                <c:pt idx="28">
                  <c:v>162.71852008106734</c:v>
                </c:pt>
                <c:pt idx="29">
                  <c:v>190.06323261605641</c:v>
                </c:pt>
                <c:pt idx="30">
                  <c:v>222.01611156088691</c:v>
                </c:pt>
                <c:pt idx="31">
                  <c:v>237.35174451356906</c:v>
                </c:pt>
                <c:pt idx="32">
                  <c:v>148.16964731375654</c:v>
                </c:pt>
                <c:pt idx="33">
                  <c:v>165.08690309025687</c:v>
                </c:pt>
                <c:pt idx="34">
                  <c:v>181.96320164164413</c:v>
                </c:pt>
                <c:pt idx="35">
                  <c:v>198.80287811797496</c:v>
                </c:pt>
                <c:pt idx="36">
                  <c:v>215.60947219093939</c:v>
                </c:pt>
                <c:pt idx="37">
                  <c:v>232.38592603822676</c:v>
                </c:pt>
                <c:pt idx="38">
                  <c:v>188.70525704737906</c:v>
                </c:pt>
                <c:pt idx="39">
                  <c:v>206.5294655770098</c:v>
                </c:pt>
                <c:pt idx="40">
                  <c:v>224.31812992810478</c:v>
                </c:pt>
                <c:pt idx="41">
                  <c:v>242.07446568844929</c:v>
                </c:pt>
                <c:pt idx="42">
                  <c:v>259.80117785425745</c:v>
                </c:pt>
                <c:pt idx="43">
                  <c:v>277.50057196615711</c:v>
                </c:pt>
                <c:pt idx="44">
                  <c:v>295.17463535907149</c:v>
                </c:pt>
                <c:pt idx="45">
                  <c:v>237.89154421508678</c:v>
                </c:pt>
                <c:pt idx="46">
                  <c:v>255.72782451850529</c:v>
                </c:pt>
                <c:pt idx="47">
                  <c:v>273.53596334358002</c:v>
                </c:pt>
                <c:pt idx="48">
                  <c:v>291.31805036301029</c:v>
                </c:pt>
                <c:pt idx="49">
                  <c:v>309.0758992639764</c:v>
                </c:pt>
                <c:pt idx="50">
                  <c:v>326.81109829511519</c:v>
                </c:pt>
                <c:pt idx="51">
                  <c:v>344.52504925832574</c:v>
                </c:pt>
                <c:pt idx="52">
                  <c:v>290.36075353168332</c:v>
                </c:pt>
                <c:pt idx="53">
                  <c:v>307.86061918118065</c:v>
                </c:pt>
                <c:pt idx="54">
                  <c:v>325.33839282694413</c:v>
                </c:pt>
                <c:pt idx="55">
                  <c:v>342.79542803512413</c:v>
                </c:pt>
                <c:pt idx="56">
                  <c:v>360.23292927012386</c:v>
                </c:pt>
                <c:pt idx="57">
                  <c:v>377.65197489167127</c:v>
                </c:pt>
                <c:pt idx="58">
                  <c:v>395.05353568609485</c:v>
                </c:pt>
                <c:pt idx="59">
                  <c:v>343.51036134380956</c:v>
                </c:pt>
                <c:pt idx="60">
                  <c:v>360.48634322990119</c:v>
                </c:pt>
                <c:pt idx="61">
                  <c:v>377.44484695777965</c:v>
                </c:pt>
                <c:pt idx="62">
                  <c:v>394.38676812405242</c:v>
                </c:pt>
                <c:pt idx="63">
                  <c:v>411.31291912041485</c:v>
                </c:pt>
                <c:pt idx="64">
                  <c:v>428.22404004060792</c:v>
                </c:pt>
                <c:pt idx="65">
                  <c:v>445.12080777461819</c:v>
                </c:pt>
                <c:pt idx="66">
                  <c:v>390.42835740303912</c:v>
                </c:pt>
                <c:pt idx="67">
                  <c:v>406.71149560361397</c:v>
                </c:pt>
                <c:pt idx="68">
                  <c:v>422.98055074538883</c:v>
                </c:pt>
                <c:pt idx="69">
                  <c:v>439.23614059633366</c:v>
                </c:pt>
                <c:pt idx="70">
                  <c:v>455.47883348294516</c:v>
                </c:pt>
                <c:pt idx="71">
                  <c:v>471.70915390567961</c:v>
                </c:pt>
                <c:pt idx="72">
                  <c:v>487.92758734141063</c:v>
                </c:pt>
                <c:pt idx="73">
                  <c:v>421.24297962829968</c:v>
                </c:pt>
                <c:pt idx="74">
                  <c:v>436.62893133918618</c:v>
                </c:pt>
                <c:pt idx="75">
                  <c:v>452.00325304019606</c:v>
                </c:pt>
                <c:pt idx="76">
                  <c:v>467.36639590417968</c:v>
                </c:pt>
                <c:pt idx="77">
                  <c:v>482.71877903202045</c:v>
                </c:pt>
                <c:pt idx="78">
                  <c:v>498.06079270117363</c:v>
                </c:pt>
                <c:pt idx="79">
                  <c:v>513.39280119319722</c:v>
                </c:pt>
                <c:pt idx="80">
                  <c:v>528.71514526603005</c:v>
                </c:pt>
                <c:pt idx="81">
                  <c:v>544.02814432485866</c:v>
                </c:pt>
                <c:pt idx="82">
                  <c:v>450.85060392796987</c:v>
                </c:pt>
                <c:pt idx="83">
                  <c:v>465.19505850819877</c:v>
                </c:pt>
                <c:pt idx="84">
                  <c:v>479.53008460385246</c:v>
                </c:pt>
                <c:pt idx="85">
                  <c:v>493.85600370031733</c:v>
                </c:pt>
                <c:pt idx="86">
                  <c:v>508.17311711545364</c:v>
                </c:pt>
                <c:pt idx="87">
                  <c:v>522.48170780914381</c:v>
                </c:pt>
                <c:pt idx="88">
                  <c:v>536.78204198435321</c:v>
                </c:pt>
                <c:pt idx="89">
                  <c:v>551.07437050875285</c:v>
                </c:pt>
                <c:pt idx="90">
                  <c:v>565.35893018123568</c:v>
                </c:pt>
                <c:pt idx="91">
                  <c:v>470.30995860201728</c:v>
                </c:pt>
                <c:pt idx="92">
                  <c:v>483.77564265100108</c:v>
                </c:pt>
                <c:pt idx="93">
                  <c:v>497.23336817259911</c:v>
                </c:pt>
                <c:pt idx="94">
                  <c:v>510.68338086812832</c:v>
                </c:pt>
                <c:pt idx="95">
                  <c:v>524.1259124442339</c:v>
                </c:pt>
                <c:pt idx="96">
                  <c:v>537.56118175599579</c:v>
                </c:pt>
                <c:pt idx="97">
                  <c:v>550.98939582984201</c:v>
                </c:pt>
                <c:pt idx="98">
                  <c:v>564.41075078158337</c:v>
                </c:pt>
                <c:pt idx="99">
                  <c:v>577.82543264261778</c:v>
                </c:pt>
                <c:pt idx="100">
                  <c:v>309.73880959031101</c:v>
                </c:pt>
                <c:pt idx="101">
                  <c:v>318.24820126657823</c:v>
                </c:pt>
                <c:pt idx="102">
                  <c:v>222.27811009420211</c:v>
                </c:pt>
                <c:pt idx="103">
                  <c:v>228.15085600396517</c:v>
                </c:pt>
                <c:pt idx="104">
                  <c:v>159.50737286323417</c:v>
                </c:pt>
                <c:pt idx="105">
                  <c:v>163.64064810883366</c:v>
                </c:pt>
                <c:pt idx="106">
                  <c:v>167.77145505127669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582.81070831118348</c:v>
                </c:pt>
                <c:pt idx="82">
                  <c:v>582.81070831118348</c:v>
                </c:pt>
                <c:pt idx="83">
                  <c:v>582.81070831118348</c:v>
                </c:pt>
                <c:pt idx="84">
                  <c:v>582.81070831118348</c:v>
                </c:pt>
                <c:pt idx="85">
                  <c:v>582.81070831118348</c:v>
                </c:pt>
                <c:pt idx="86">
                  <c:v>582.81070831118348</c:v>
                </c:pt>
                <c:pt idx="87">
                  <c:v>582.81070831118348</c:v>
                </c:pt>
                <c:pt idx="88">
                  <c:v>582.81070831118348</c:v>
                </c:pt>
                <c:pt idx="89">
                  <c:v>582.81070831118348</c:v>
                </c:pt>
                <c:pt idx="90">
                  <c:v>582.81070831118348</c:v>
                </c:pt>
                <c:pt idx="91">
                  <c:v>582.81070831118348</c:v>
                </c:pt>
                <c:pt idx="92">
                  <c:v>582.81070831118348</c:v>
                </c:pt>
                <c:pt idx="93">
                  <c:v>582.81070831118348</c:v>
                </c:pt>
                <c:pt idx="94">
                  <c:v>582.81070831118348</c:v>
                </c:pt>
                <c:pt idx="95">
                  <c:v>582.81070831118348</c:v>
                </c:pt>
                <c:pt idx="96">
                  <c:v>582.81070831118348</c:v>
                </c:pt>
                <c:pt idx="97">
                  <c:v>582.81070831118348</c:v>
                </c:pt>
                <c:pt idx="98">
                  <c:v>582.81070831118348</c:v>
                </c:pt>
                <c:pt idx="99">
                  <c:v>582.81070831118348</c:v>
                </c:pt>
                <c:pt idx="100">
                  <c:v>582.81070831118348</c:v>
                </c:pt>
                <c:pt idx="101">
                  <c:v>582.81070831118348</c:v>
                </c:pt>
                <c:pt idx="102">
                  <c:v>582.81070831118348</c:v>
                </c:pt>
                <c:pt idx="103">
                  <c:v>582.81070831118348</c:v>
                </c:pt>
                <c:pt idx="104">
                  <c:v>582.81070831118348</c:v>
                </c:pt>
                <c:pt idx="105">
                  <c:v>582.81070831118348</c:v>
                </c:pt>
                <c:pt idx="106">
                  <c:v>582.81070831118348</c:v>
                </c:pt>
                <c:pt idx="107">
                  <c:v>582.81070831118348</c:v>
                </c:pt>
                <c:pt idx="108">
                  <c:v>582.81070831118348</c:v>
                </c:pt>
                <c:pt idx="109">
                  <c:v>582.81070831118348</c:v>
                </c:pt>
                <c:pt idx="110">
                  <c:v>582.81070831118348</c:v>
                </c:pt>
                <c:pt idx="111">
                  <c:v>582.81070831118348</c:v>
                </c:pt>
                <c:pt idx="112">
                  <c:v>582.81070831118348</c:v>
                </c:pt>
                <c:pt idx="113">
                  <c:v>582.81070831118348</c:v>
                </c:pt>
                <c:pt idx="114">
                  <c:v>582.81070831118348</c:v>
                </c:pt>
                <c:pt idx="115">
                  <c:v>582.81070831118348</c:v>
                </c:pt>
                <c:pt idx="116">
                  <c:v>582.81070831118348</c:v>
                </c:pt>
                <c:pt idx="117">
                  <c:v>582.81070831118348</c:v>
                </c:pt>
                <c:pt idx="118">
                  <c:v>582.81070831118348</c:v>
                </c:pt>
                <c:pt idx="119">
                  <c:v>582.81070831118348</c:v>
                </c:pt>
                <c:pt idx="120">
                  <c:v>582.81070831118348</c:v>
                </c:pt>
                <c:pt idx="121">
                  <c:v>582.81070831118348</c:v>
                </c:pt>
                <c:pt idx="122">
                  <c:v>582.81070831118348</c:v>
                </c:pt>
                <c:pt idx="123">
                  <c:v>582.81070831118348</c:v>
                </c:pt>
                <c:pt idx="124">
                  <c:v>582.81070831118348</c:v>
                </c:pt>
                <c:pt idx="125">
                  <c:v>582.81070831118348</c:v>
                </c:pt>
                <c:pt idx="126">
                  <c:v>582.81070831118348</c:v>
                </c:pt>
                <c:pt idx="127">
                  <c:v>582.81070831118348</c:v>
                </c:pt>
                <c:pt idx="128">
                  <c:v>582.81070831118348</c:v>
                </c:pt>
                <c:pt idx="129">
                  <c:v>582.81070831118348</c:v>
                </c:pt>
                <c:pt idx="130">
                  <c:v>582.81070831118348</c:v>
                </c:pt>
                <c:pt idx="131">
                  <c:v>582.81070831118348</c:v>
                </c:pt>
                <c:pt idx="132">
                  <c:v>582.81070831118348</c:v>
                </c:pt>
                <c:pt idx="133">
                  <c:v>582.81070831118348</c:v>
                </c:pt>
                <c:pt idx="134">
                  <c:v>582.81070831118348</c:v>
                </c:pt>
                <c:pt idx="135">
                  <c:v>582.81070831118348</c:v>
                </c:pt>
                <c:pt idx="136">
                  <c:v>582.81070831118348</c:v>
                </c:pt>
                <c:pt idx="137">
                  <c:v>582.81070831118348</c:v>
                </c:pt>
                <c:pt idx="138">
                  <c:v>582.81070831118348</c:v>
                </c:pt>
                <c:pt idx="139">
                  <c:v>582.81070831118348</c:v>
                </c:pt>
                <c:pt idx="140">
                  <c:v>582.81070831118348</c:v>
                </c:pt>
                <c:pt idx="141">
                  <c:v>582.81070831118348</c:v>
                </c:pt>
                <c:pt idx="142">
                  <c:v>582.81070831118348</c:v>
                </c:pt>
                <c:pt idx="143">
                  <c:v>582.81070831118348</c:v>
                </c:pt>
                <c:pt idx="144">
                  <c:v>582.81070831118348</c:v>
                </c:pt>
                <c:pt idx="145">
                  <c:v>582.81070831118348</c:v>
                </c:pt>
                <c:pt idx="146">
                  <c:v>582.81070831118348</c:v>
                </c:pt>
                <c:pt idx="147">
                  <c:v>582.81070831118348</c:v>
                </c:pt>
                <c:pt idx="148">
                  <c:v>582.81070831118348</c:v>
                </c:pt>
                <c:pt idx="149">
                  <c:v>582.81070831118348</c:v>
                </c:pt>
                <c:pt idx="150">
                  <c:v>582.81070831118348</c:v>
                </c:pt>
                <c:pt idx="151">
                  <c:v>582.81070831118348</c:v>
                </c:pt>
                <c:pt idx="152">
                  <c:v>582.81070831118348</c:v>
                </c:pt>
                <c:pt idx="153">
                  <c:v>582.81070831118348</c:v>
                </c:pt>
                <c:pt idx="154">
                  <c:v>582.81070831118348</c:v>
                </c:pt>
                <c:pt idx="155">
                  <c:v>582.81070831118348</c:v>
                </c:pt>
                <c:pt idx="156">
                  <c:v>582.81070831118348</c:v>
                </c:pt>
                <c:pt idx="157">
                  <c:v>582.81070831118348</c:v>
                </c:pt>
                <c:pt idx="158">
                  <c:v>582.81070831118348</c:v>
                </c:pt>
                <c:pt idx="159">
                  <c:v>582.81070831118348</c:v>
                </c:pt>
                <c:pt idx="160">
                  <c:v>582.81070831118348</c:v>
                </c:pt>
                <c:pt idx="161">
                  <c:v>582.81070831118348</c:v>
                </c:pt>
                <c:pt idx="162">
                  <c:v>582.81070831118348</c:v>
                </c:pt>
                <c:pt idx="163">
                  <c:v>582.81070831118348</c:v>
                </c:pt>
                <c:pt idx="164">
                  <c:v>582.81070831118348</c:v>
                </c:pt>
                <c:pt idx="165">
                  <c:v>582.81070831118348</c:v>
                </c:pt>
                <c:pt idx="166">
                  <c:v>582.81070831118348</c:v>
                </c:pt>
                <c:pt idx="167">
                  <c:v>582.81070831118348</c:v>
                </c:pt>
                <c:pt idx="168">
                  <c:v>582.81070831118348</c:v>
                </c:pt>
                <c:pt idx="169">
                  <c:v>582.81070831118348</c:v>
                </c:pt>
                <c:pt idx="170">
                  <c:v>582.81070831118348</c:v>
                </c:pt>
                <c:pt idx="171">
                  <c:v>582.81070831118348</c:v>
                </c:pt>
                <c:pt idx="172">
                  <c:v>582.81070831118348</c:v>
                </c:pt>
                <c:pt idx="173">
                  <c:v>582.81070831118348</c:v>
                </c:pt>
                <c:pt idx="174">
                  <c:v>582.81070831118348</c:v>
                </c:pt>
                <c:pt idx="175">
                  <c:v>582.81070831118348</c:v>
                </c:pt>
                <c:pt idx="176">
                  <c:v>582.81070831118348</c:v>
                </c:pt>
                <c:pt idx="177">
                  <c:v>582.81070831118348</c:v>
                </c:pt>
                <c:pt idx="178">
                  <c:v>582.81070831118348</c:v>
                </c:pt>
                <c:pt idx="179">
                  <c:v>582.81070831118348</c:v>
                </c:pt>
                <c:pt idx="180">
                  <c:v>582.81070831118348</c:v>
                </c:pt>
                <c:pt idx="181">
                  <c:v>582.81070831118348</c:v>
                </c:pt>
                <c:pt idx="182">
                  <c:v>582.81070831118348</c:v>
                </c:pt>
                <c:pt idx="183">
                  <c:v>582.81070831118348</c:v>
                </c:pt>
                <c:pt idx="184">
                  <c:v>582.81070831118348</c:v>
                </c:pt>
                <c:pt idx="185">
                  <c:v>582.81070831118348</c:v>
                </c:pt>
                <c:pt idx="186">
                  <c:v>582.81070831118348</c:v>
                </c:pt>
                <c:pt idx="187">
                  <c:v>582.81070831118348</c:v>
                </c:pt>
                <c:pt idx="188">
                  <c:v>582.81070831118348</c:v>
                </c:pt>
                <c:pt idx="189">
                  <c:v>582.81070831118348</c:v>
                </c:pt>
                <c:pt idx="190">
                  <c:v>582.81070831118348</c:v>
                </c:pt>
                <c:pt idx="191">
                  <c:v>582.81070831118348</c:v>
                </c:pt>
                <c:pt idx="192">
                  <c:v>582.81070831118348</c:v>
                </c:pt>
                <c:pt idx="193">
                  <c:v>582.81070831118348</c:v>
                </c:pt>
                <c:pt idx="194">
                  <c:v>582.81070831118348</c:v>
                </c:pt>
                <c:pt idx="195">
                  <c:v>582.81070831118348</c:v>
                </c:pt>
                <c:pt idx="196">
                  <c:v>582.81070831118348</c:v>
                </c:pt>
                <c:pt idx="197">
                  <c:v>582.81070831118348</c:v>
                </c:pt>
                <c:pt idx="198">
                  <c:v>582.81070831118348</c:v>
                </c:pt>
                <c:pt idx="199">
                  <c:v>582.81070831118348</c:v>
                </c:pt>
                <c:pt idx="200">
                  <c:v>582.81070831118348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2.8747828244893294</c:v>
                </c:pt>
                <c:pt idx="2">
                  <c:v>3.3544810996099632</c:v>
                </c:pt>
                <c:pt idx="3">
                  <c:v>3.9145137345609591</c:v>
                </c:pt>
                <c:pt idx="4">
                  <c:v>4.5683800461314039</c:v>
                </c:pt>
                <c:pt idx="5">
                  <c:v>5.3318549870572198</c:v>
                </c:pt>
                <c:pt idx="6">
                  <c:v>6.223373893479109</c:v>
                </c:pt>
                <c:pt idx="7">
                  <c:v>7.2644824601167564</c:v>
                </c:pt>
                <c:pt idx="8">
                  <c:v>8.4803630291655754</c:v>
                </c:pt>
                <c:pt idx="9">
                  <c:v>9.9004501673949186</c:v>
                </c:pt>
                <c:pt idx="10">
                  <c:v>11.559150716764741</c:v>
                </c:pt>
                <c:pt idx="11">
                  <c:v>13.496686092213752</c:v>
                </c:pt>
                <c:pt idx="12">
                  <c:v>15.760077630682696</c:v>
                </c:pt>
                <c:pt idx="13">
                  <c:v>18.404299343564364</c:v>
                </c:pt>
                <c:pt idx="14">
                  <c:v>21.493626579223562</c:v>
                </c:pt>
                <c:pt idx="15">
                  <c:v>25.103213966802468</c:v>
                </c:pt>
                <c:pt idx="16">
                  <c:v>29.320941708812455</c:v>
                </c:pt>
                <c:pt idx="17">
                  <c:v>34.249575960460788</c:v>
                </c:pt>
                <c:pt idx="18">
                  <c:v>40.009296845149635</c:v>
                </c:pt>
                <c:pt idx="19">
                  <c:v>46.74065680363119</c:v>
                </c:pt>
                <c:pt idx="20">
                  <c:v>54.608042687969252</c:v>
                </c:pt>
                <c:pt idx="21">
                  <c:v>63.803727559127225</c:v>
                </c:pt>
                <c:pt idx="22">
                  <c:v>74.552612843129126</c:v>
                </c:pt>
                <c:pt idx="23">
                  <c:v>87.117778713772225</c:v>
                </c:pt>
                <c:pt idx="24">
                  <c:v>101.80698073153373</c:v>
                </c:pt>
                <c:pt idx="25">
                  <c:v>118.9802543844894</c:v>
                </c:pt>
                <c:pt idx="26">
                  <c:v>139.0588168405454</c:v>
                </c:pt>
                <c:pt idx="27">
                  <c:v>162.53548762572882</c:v>
                </c:pt>
                <c:pt idx="28">
                  <c:v>189.98688790472684</c:v>
                </c:pt>
                <c:pt idx="29">
                  <c:v>222.0877225112788</c:v>
                </c:pt>
                <c:pt idx="30">
                  <c:v>259.62750097538111</c:v>
                </c:pt>
                <c:pt idx="31">
                  <c:v>276.35878069854044</c:v>
                </c:pt>
                <c:pt idx="32">
                  <c:v>293.0673223360206</c:v>
                </c:pt>
                <c:pt idx="33">
                  <c:v>309.75460457834254</c:v>
                </c:pt>
                <c:pt idx="34">
                  <c:v>326.42193377189795</c:v>
                </c:pt>
                <c:pt idx="35">
                  <c:v>343.07047196522035</c:v>
                </c:pt>
                <c:pt idx="36">
                  <c:v>236.72990976803965</c:v>
                </c:pt>
                <c:pt idx="37">
                  <c:v>256.10993035371683</c:v>
                </c:pt>
                <c:pt idx="38">
                  <c:v>275.45678057622769</c:v>
                </c:pt>
                <c:pt idx="39">
                  <c:v>294.77311736335713</c:v>
                </c:pt>
                <c:pt idx="40">
                  <c:v>314.06122093899086</c:v>
                </c:pt>
                <c:pt idx="41">
                  <c:v>333.32306857671642</c:v>
                </c:pt>
                <c:pt idx="42">
                  <c:v>272.91348910550539</c:v>
                </c:pt>
                <c:pt idx="43">
                  <c:v>292.29823772828144</c:v>
                </c:pt>
                <c:pt idx="44">
                  <c:v>311.65428799240095</c:v>
                </c:pt>
                <c:pt idx="45">
                  <c:v>330.98367240333863</c:v>
                </c:pt>
                <c:pt idx="46">
                  <c:v>350.28816671419708</c:v>
                </c:pt>
                <c:pt idx="47">
                  <c:v>369.56933501680805</c:v>
                </c:pt>
                <c:pt idx="48">
                  <c:v>388.82856492643549</c:v>
                </c:pt>
                <c:pt idx="49">
                  <c:v>307.98813318550884</c:v>
                </c:pt>
                <c:pt idx="50">
                  <c:v>326.34733194407158</c:v>
                </c:pt>
                <c:pt idx="51">
                  <c:v>344.68372557007592</c:v>
                </c:pt>
                <c:pt idx="52">
                  <c:v>362.99869753506283</c:v>
                </c:pt>
                <c:pt idx="53">
                  <c:v>381.2934803420855</c:v>
                </c:pt>
                <c:pt idx="54">
                  <c:v>399.56917860313166</c:v>
                </c:pt>
                <c:pt idx="55">
                  <c:v>417.8267876732541</c:v>
                </c:pt>
                <c:pt idx="56">
                  <c:v>342.04271603065894</c:v>
                </c:pt>
                <c:pt idx="57">
                  <c:v>359.33027031351253</c:v>
                </c:pt>
                <c:pt idx="58">
                  <c:v>376.59963489790681</c:v>
                </c:pt>
                <c:pt idx="59">
                  <c:v>393.85176102715633</c:v>
                </c:pt>
                <c:pt idx="60">
                  <c:v>411.08750983093159</c:v>
                </c:pt>
                <c:pt idx="61">
                  <c:v>428.30766436045047</c:v>
                </c:pt>
                <c:pt idx="62">
                  <c:v>445.51293958723454</c:v>
                </c:pt>
                <c:pt idx="63">
                  <c:v>462.70399077690763</c:v>
                </c:pt>
                <c:pt idx="64">
                  <c:v>393.58941444451165</c:v>
                </c:pt>
                <c:pt idx="65">
                  <c:v>410.26162439092121</c:v>
                </c:pt>
                <c:pt idx="66">
                  <c:v>426.91921072557199</c:v>
                </c:pt>
                <c:pt idx="67">
                  <c:v>443.56282415958503</c:v>
                </c:pt>
                <c:pt idx="68">
                  <c:v>460.19306260505238</c:v>
                </c:pt>
                <c:pt idx="69">
                  <c:v>476.81047725180878</c:v>
                </c:pt>
                <c:pt idx="70">
                  <c:v>493.41557775311458</c:v>
                </c:pt>
                <c:pt idx="71">
                  <c:v>510.00883667710286</c:v>
                </c:pt>
                <c:pt idx="72">
                  <c:v>444.19404895661381</c:v>
                </c:pt>
                <c:pt idx="73">
                  <c:v>460.29520093829274</c:v>
                </c:pt>
                <c:pt idx="74">
                  <c:v>476.38433494573314</c:v>
                </c:pt>
                <c:pt idx="75">
                  <c:v>492.46191385980097</c:v>
                </c:pt>
                <c:pt idx="76">
                  <c:v>508.52836788524309</c:v>
                </c:pt>
                <c:pt idx="77">
                  <c:v>524.58409783820764</c:v>
                </c:pt>
                <c:pt idx="78">
                  <c:v>540.62947801047574</c:v>
                </c:pt>
                <c:pt idx="79">
                  <c:v>556.66485867609651</c:v>
                </c:pt>
                <c:pt idx="80">
                  <c:v>572.6905682942953</c:v>
                </c:pt>
                <c:pt idx="81">
                  <c:v>494.71400852251162</c:v>
                </c:pt>
                <c:pt idx="82">
                  <c:v>510.06717841307358</c:v>
                </c:pt>
                <c:pt idx="83">
                  <c:v>525.41058767175025</c:v>
                </c:pt>
                <c:pt idx="84">
                  <c:v>540.74456135959088</c:v>
                </c:pt>
                <c:pt idx="85">
                  <c:v>556.06940460701037</c:v>
                </c:pt>
                <c:pt idx="86">
                  <c:v>571.38540436276537</c:v>
                </c:pt>
                <c:pt idx="87">
                  <c:v>586.69283094573245</c:v>
                </c:pt>
                <c:pt idx="88">
                  <c:v>601.99193942638897</c:v>
                </c:pt>
                <c:pt idx="89">
                  <c:v>617.28297086062821</c:v>
                </c:pt>
                <c:pt idx="90">
                  <c:v>531.05272861022161</c:v>
                </c:pt>
                <c:pt idx="91">
                  <c:v>545.7354804576114</c:v>
                </c:pt>
                <c:pt idx="92">
                  <c:v>560.40994499806072</c:v>
                </c:pt>
                <c:pt idx="93">
                  <c:v>575.07636971065381</c:v>
                </c:pt>
                <c:pt idx="94">
                  <c:v>589.73498842790389</c:v>
                </c:pt>
                <c:pt idx="95">
                  <c:v>604.3860224157869</c:v>
                </c:pt>
                <c:pt idx="96">
                  <c:v>619.02968134365608</c:v>
                </c:pt>
                <c:pt idx="97">
                  <c:v>633.66616415765509</c:v>
                </c:pt>
                <c:pt idx="98">
                  <c:v>648.29565986928333</c:v>
                </c:pt>
                <c:pt idx="99">
                  <c:v>662.91834826912498</c:v>
                </c:pt>
                <c:pt idx="100">
                  <c:v>579.25037098603059</c:v>
                </c:pt>
                <c:pt idx="101">
                  <c:v>593.52995641467794</c:v>
                </c:pt>
                <c:pt idx="102">
                  <c:v>607.80239484733306</c:v>
                </c:pt>
                <c:pt idx="103">
                  <c:v>622.06787767102014</c:v>
                </c:pt>
                <c:pt idx="104">
                  <c:v>636.32658678371843</c:v>
                </c:pt>
                <c:pt idx="105">
                  <c:v>650.57869527132823</c:v>
                </c:pt>
                <c:pt idx="106">
                  <c:v>664.82436802226709</c:v>
                </c:pt>
                <c:pt idx="107">
                  <c:v>679.06376228668103</c:v>
                </c:pt>
                <c:pt idx="108">
                  <c:v>693.29702818634189</c:v>
                </c:pt>
                <c:pt idx="109">
                  <c:v>707.52430918052517</c:v>
                </c:pt>
                <c:pt idx="110">
                  <c:v>617.00840376480016</c:v>
                </c:pt>
                <c:pt idx="111">
                  <c:v>630.9689184416651</c:v>
                </c:pt>
                <c:pt idx="112">
                  <c:v>644.92304651052189</c:v>
                </c:pt>
                <c:pt idx="113">
                  <c:v>658.87094555296858</c:v>
                </c:pt>
                <c:pt idx="114">
                  <c:v>672.81276593858729</c:v>
                </c:pt>
                <c:pt idx="115">
                  <c:v>686.74865130072124</c:v>
                </c:pt>
                <c:pt idx="116">
                  <c:v>700.67873897164679</c:v>
                </c:pt>
                <c:pt idx="117">
                  <c:v>714.6031603813675</c:v>
                </c:pt>
                <c:pt idx="118">
                  <c:v>728.52204142372818</c:v>
                </c:pt>
                <c:pt idx="119">
                  <c:v>742.43550279311557</c:v>
                </c:pt>
                <c:pt idx="120">
                  <c:v>443.93146762868668</c:v>
                </c:pt>
                <c:pt idx="121">
                  <c:v>451.79650256435679</c:v>
                </c:pt>
                <c:pt idx="122">
                  <c:v>459.65860994353926</c:v>
                </c:pt>
                <c:pt idx="123">
                  <c:v>467.51784692522273</c:v>
                </c:pt>
                <c:pt idx="124">
                  <c:v>313.36145225771844</c:v>
                </c:pt>
                <c:pt idx="125">
                  <c:v>318.19280216371067</c:v>
                </c:pt>
                <c:pt idx="126">
                  <c:v>323.02252769678699</c:v>
                </c:pt>
                <c:pt idx="127">
                  <c:v>327.8506566063536</c:v>
                </c:pt>
                <c:pt idx="128">
                  <c:v>227.38061176329856</c:v>
                </c:pt>
                <c:pt idx="129">
                  <c:v>230.52026705350534</c:v>
                </c:pt>
                <c:pt idx="130">
                  <c:v>233.65894470686348</c:v>
                </c:pt>
                <c:pt idx="131">
                  <c:v>236.79665974052932</c:v>
                </c:pt>
                <c:pt idx="132">
                  <c:v>1.2754091996854009E-11</c:v>
                </c:pt>
                <c:pt idx="133">
                  <c:v>1.2754091996854009E-11</c:v>
                </c:pt>
                <c:pt idx="134">
                  <c:v>1.2754091996854009E-11</c:v>
                </c:pt>
                <c:pt idx="135">
                  <c:v>1.2754091996854009E-11</c:v>
                </c:pt>
                <c:pt idx="136">
                  <c:v>1.2754091996854009E-11</c:v>
                </c:pt>
                <c:pt idx="137">
                  <c:v>1.2754091996854009E-11</c:v>
                </c:pt>
                <c:pt idx="138">
                  <c:v>1.2754091996854009E-11</c:v>
                </c:pt>
                <c:pt idx="139">
                  <c:v>1.2754091996854009E-11</c:v>
                </c:pt>
                <c:pt idx="140">
                  <c:v>1.2754091996854009E-11</c:v>
                </c:pt>
                <c:pt idx="141">
                  <c:v>1.2754091996854009E-11</c:v>
                </c:pt>
                <c:pt idx="142">
                  <c:v>1.2754091996854009E-11</c:v>
                </c:pt>
                <c:pt idx="143">
                  <c:v>1.2754091996854009E-11</c:v>
                </c:pt>
                <c:pt idx="144">
                  <c:v>1.2754091996854009E-11</c:v>
                </c:pt>
                <c:pt idx="145">
                  <c:v>1.2754091996854009E-11</c:v>
                </c:pt>
                <c:pt idx="146">
                  <c:v>1.2754091996854009E-11</c:v>
                </c:pt>
                <c:pt idx="147">
                  <c:v>1.2754091996854009E-11</c:v>
                </c:pt>
                <c:pt idx="148">
                  <c:v>1.2754091996854009E-11</c:v>
                </c:pt>
                <c:pt idx="149">
                  <c:v>1.2754091996854009E-11</c:v>
                </c:pt>
                <c:pt idx="150">
                  <c:v>1.2754091996854009E-11</c:v>
                </c:pt>
                <c:pt idx="151">
                  <c:v>1.2754091996854009E-11</c:v>
                </c:pt>
                <c:pt idx="152">
                  <c:v>1.2754091996854009E-11</c:v>
                </c:pt>
                <c:pt idx="153">
                  <c:v>1.2754091996854009E-11</c:v>
                </c:pt>
                <c:pt idx="154">
                  <c:v>1.2754091996854009E-11</c:v>
                </c:pt>
                <c:pt idx="155">
                  <c:v>1.2754091996854009E-11</c:v>
                </c:pt>
                <c:pt idx="156">
                  <c:v>1.2754091996854009E-11</c:v>
                </c:pt>
                <c:pt idx="157">
                  <c:v>1.2754091996854009E-11</c:v>
                </c:pt>
                <c:pt idx="158">
                  <c:v>1.2754091996854009E-11</c:v>
                </c:pt>
                <c:pt idx="159">
                  <c:v>1.2754091996854009E-11</c:v>
                </c:pt>
                <c:pt idx="160">
                  <c:v>1.2754091996854009E-11</c:v>
                </c:pt>
                <c:pt idx="161">
                  <c:v>1.2754091996854009E-11</c:v>
                </c:pt>
                <c:pt idx="162">
                  <c:v>1.2754091996854009E-11</c:v>
                </c:pt>
                <c:pt idx="163">
                  <c:v>1.2754091996854009E-11</c:v>
                </c:pt>
                <c:pt idx="164">
                  <c:v>1.2754091996854009E-11</c:v>
                </c:pt>
                <c:pt idx="165">
                  <c:v>1.2754091996854009E-11</c:v>
                </c:pt>
                <c:pt idx="166">
                  <c:v>1.2754091996854009E-11</c:v>
                </c:pt>
                <c:pt idx="167">
                  <c:v>1.2754091996854009E-11</c:v>
                </c:pt>
                <c:pt idx="168">
                  <c:v>1.2754091996854009E-11</c:v>
                </c:pt>
                <c:pt idx="169">
                  <c:v>1.2754091996854009E-11</c:v>
                </c:pt>
                <c:pt idx="170">
                  <c:v>1.2754091996854009E-11</c:v>
                </c:pt>
                <c:pt idx="171">
                  <c:v>1.2754091996854009E-11</c:v>
                </c:pt>
                <c:pt idx="172">
                  <c:v>1.2754091996854009E-11</c:v>
                </c:pt>
                <c:pt idx="173">
                  <c:v>1.2754091996854009E-11</c:v>
                </c:pt>
                <c:pt idx="174">
                  <c:v>1.2754091996854009E-11</c:v>
                </c:pt>
                <c:pt idx="175">
                  <c:v>1.2754091996854009E-11</c:v>
                </c:pt>
                <c:pt idx="176">
                  <c:v>1.2754091996854009E-11</c:v>
                </c:pt>
                <c:pt idx="177">
                  <c:v>1.2754091996854009E-11</c:v>
                </c:pt>
                <c:pt idx="178">
                  <c:v>1.2754091996854009E-11</c:v>
                </c:pt>
                <c:pt idx="179">
                  <c:v>1.2754091996854009E-11</c:v>
                </c:pt>
                <c:pt idx="180">
                  <c:v>1.2754091996854009E-11</c:v>
                </c:pt>
                <c:pt idx="181">
                  <c:v>1.2754091996854009E-11</c:v>
                </c:pt>
                <c:pt idx="182">
                  <c:v>1.2754091996854009E-11</c:v>
                </c:pt>
                <c:pt idx="183">
                  <c:v>1.2754091996854009E-11</c:v>
                </c:pt>
                <c:pt idx="184">
                  <c:v>1.2754091996854009E-11</c:v>
                </c:pt>
                <c:pt idx="185">
                  <c:v>1.2754091996854009E-11</c:v>
                </c:pt>
                <c:pt idx="186">
                  <c:v>1.2754091996854009E-11</c:v>
                </c:pt>
                <c:pt idx="187">
                  <c:v>1.2754091996854009E-11</c:v>
                </c:pt>
                <c:pt idx="188">
                  <c:v>1.2754091996854009E-11</c:v>
                </c:pt>
                <c:pt idx="189">
                  <c:v>1.2754091996854009E-11</c:v>
                </c:pt>
                <c:pt idx="190">
                  <c:v>1.2754091996854009E-11</c:v>
                </c:pt>
                <c:pt idx="191">
                  <c:v>1.2754091996854009E-11</c:v>
                </c:pt>
                <c:pt idx="192">
                  <c:v>1.2754091996854009E-11</c:v>
                </c:pt>
                <c:pt idx="193">
                  <c:v>1.2754091996854009E-11</c:v>
                </c:pt>
                <c:pt idx="194">
                  <c:v>1.2754091996854009E-11</c:v>
                </c:pt>
                <c:pt idx="195">
                  <c:v>1.2754091996854009E-11</c:v>
                </c:pt>
                <c:pt idx="196">
                  <c:v>1.2754091996854009E-11</c:v>
                </c:pt>
                <c:pt idx="197">
                  <c:v>1.2754091996854009E-11</c:v>
                </c:pt>
                <c:pt idx="198">
                  <c:v>1.2754091996854009E-11</c:v>
                </c:pt>
                <c:pt idx="199">
                  <c:v>1.2754091996854009E-11</c:v>
                </c:pt>
                <c:pt idx="200">
                  <c:v>1.2754091996854009E-11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553.28361587129086</c:v>
                </c:pt>
                <c:pt idx="71">
                  <c:v>553.28361587129086</c:v>
                </c:pt>
                <c:pt idx="72">
                  <c:v>553.28361587129086</c:v>
                </c:pt>
                <c:pt idx="73">
                  <c:v>553.28361587129086</c:v>
                </c:pt>
                <c:pt idx="74">
                  <c:v>553.28361587129086</c:v>
                </c:pt>
                <c:pt idx="75">
                  <c:v>553.28361587129086</c:v>
                </c:pt>
                <c:pt idx="76">
                  <c:v>553.28361587129086</c:v>
                </c:pt>
                <c:pt idx="77">
                  <c:v>553.28361587129086</c:v>
                </c:pt>
                <c:pt idx="78">
                  <c:v>553.28361587129086</c:v>
                </c:pt>
                <c:pt idx="79">
                  <c:v>553.28361587129086</c:v>
                </c:pt>
                <c:pt idx="80">
                  <c:v>553.28361587129086</c:v>
                </c:pt>
                <c:pt idx="81">
                  <c:v>553.28361587129086</c:v>
                </c:pt>
                <c:pt idx="82">
                  <c:v>553.28361587129086</c:v>
                </c:pt>
                <c:pt idx="83">
                  <c:v>553.28361587129086</c:v>
                </c:pt>
                <c:pt idx="84">
                  <c:v>553.28361587129086</c:v>
                </c:pt>
                <c:pt idx="85">
                  <c:v>553.28361587129086</c:v>
                </c:pt>
                <c:pt idx="86">
                  <c:v>553.28361587129086</c:v>
                </c:pt>
                <c:pt idx="87">
                  <c:v>553.28361587129086</c:v>
                </c:pt>
                <c:pt idx="88">
                  <c:v>553.28361587129086</c:v>
                </c:pt>
                <c:pt idx="89">
                  <c:v>553.28361587129086</c:v>
                </c:pt>
                <c:pt idx="90">
                  <c:v>553.28361587129086</c:v>
                </c:pt>
                <c:pt idx="91">
                  <c:v>553.28361587129086</c:v>
                </c:pt>
                <c:pt idx="92">
                  <c:v>553.28361587129086</c:v>
                </c:pt>
                <c:pt idx="93">
                  <c:v>553.28361587129086</c:v>
                </c:pt>
                <c:pt idx="94">
                  <c:v>553.28361587129086</c:v>
                </c:pt>
                <c:pt idx="95">
                  <c:v>553.28361587129086</c:v>
                </c:pt>
                <c:pt idx="96">
                  <c:v>553.28361587129086</c:v>
                </c:pt>
                <c:pt idx="97">
                  <c:v>553.28361587129086</c:v>
                </c:pt>
                <c:pt idx="98">
                  <c:v>553.28361587129086</c:v>
                </c:pt>
                <c:pt idx="99">
                  <c:v>553.28361587129086</c:v>
                </c:pt>
                <c:pt idx="100">
                  <c:v>553.28361587129086</c:v>
                </c:pt>
                <c:pt idx="101">
                  <c:v>553.28361587129086</c:v>
                </c:pt>
                <c:pt idx="102">
                  <c:v>553.28361587129086</c:v>
                </c:pt>
                <c:pt idx="103">
                  <c:v>553.28361587129086</c:v>
                </c:pt>
                <c:pt idx="104">
                  <c:v>553.28361587129086</c:v>
                </c:pt>
                <c:pt idx="105">
                  <c:v>553.28361587129086</c:v>
                </c:pt>
                <c:pt idx="106">
                  <c:v>553.28361587129086</c:v>
                </c:pt>
                <c:pt idx="107">
                  <c:v>553.28361587129086</c:v>
                </c:pt>
                <c:pt idx="108">
                  <c:v>553.28361587129086</c:v>
                </c:pt>
                <c:pt idx="109">
                  <c:v>553.28361587129086</c:v>
                </c:pt>
                <c:pt idx="110">
                  <c:v>553.28361587129086</c:v>
                </c:pt>
                <c:pt idx="111">
                  <c:v>553.28361587129086</c:v>
                </c:pt>
                <c:pt idx="112">
                  <c:v>553.28361587129086</c:v>
                </c:pt>
                <c:pt idx="113">
                  <c:v>553.28361587129086</c:v>
                </c:pt>
                <c:pt idx="114">
                  <c:v>553.28361587129086</c:v>
                </c:pt>
                <c:pt idx="115">
                  <c:v>553.28361587129086</c:v>
                </c:pt>
                <c:pt idx="116">
                  <c:v>553.28361587129086</c:v>
                </c:pt>
                <c:pt idx="117">
                  <c:v>553.28361587129086</c:v>
                </c:pt>
                <c:pt idx="118">
                  <c:v>553.28361587129086</c:v>
                </c:pt>
                <c:pt idx="119">
                  <c:v>553.28361587129086</c:v>
                </c:pt>
                <c:pt idx="120">
                  <c:v>553.28361587129086</c:v>
                </c:pt>
                <c:pt idx="121">
                  <c:v>553.28361587129086</c:v>
                </c:pt>
                <c:pt idx="122">
                  <c:v>553.28361587129086</c:v>
                </c:pt>
                <c:pt idx="123">
                  <c:v>553.28361587129086</c:v>
                </c:pt>
                <c:pt idx="124">
                  <c:v>553.28361587129086</c:v>
                </c:pt>
                <c:pt idx="125">
                  <c:v>553.28361587129086</c:v>
                </c:pt>
                <c:pt idx="126">
                  <c:v>553.28361587129086</c:v>
                </c:pt>
                <c:pt idx="127">
                  <c:v>553.28361587129086</c:v>
                </c:pt>
                <c:pt idx="128">
                  <c:v>553.28361587129086</c:v>
                </c:pt>
                <c:pt idx="129">
                  <c:v>553.28361587129086</c:v>
                </c:pt>
                <c:pt idx="130">
                  <c:v>553.28361587129086</c:v>
                </c:pt>
                <c:pt idx="131">
                  <c:v>553.28361587129086</c:v>
                </c:pt>
                <c:pt idx="132">
                  <c:v>553.28361587129086</c:v>
                </c:pt>
                <c:pt idx="133">
                  <c:v>553.28361587129086</c:v>
                </c:pt>
                <c:pt idx="134">
                  <c:v>553.28361587129086</c:v>
                </c:pt>
                <c:pt idx="135">
                  <c:v>553.28361587129086</c:v>
                </c:pt>
                <c:pt idx="136">
                  <c:v>553.28361587129086</c:v>
                </c:pt>
                <c:pt idx="137">
                  <c:v>553.28361587129086</c:v>
                </c:pt>
                <c:pt idx="138">
                  <c:v>553.28361587129086</c:v>
                </c:pt>
                <c:pt idx="139">
                  <c:v>553.28361587129086</c:v>
                </c:pt>
                <c:pt idx="140">
                  <c:v>553.28361587129086</c:v>
                </c:pt>
                <c:pt idx="141">
                  <c:v>553.28361587129086</c:v>
                </c:pt>
                <c:pt idx="142">
                  <c:v>553.28361587129086</c:v>
                </c:pt>
                <c:pt idx="143">
                  <c:v>553.28361587129086</c:v>
                </c:pt>
                <c:pt idx="144">
                  <c:v>553.28361587129086</c:v>
                </c:pt>
                <c:pt idx="145">
                  <c:v>553.28361587129086</c:v>
                </c:pt>
                <c:pt idx="146">
                  <c:v>553.28361587129086</c:v>
                </c:pt>
                <c:pt idx="147">
                  <c:v>553.28361587129086</c:v>
                </c:pt>
                <c:pt idx="148">
                  <c:v>553.28361587129086</c:v>
                </c:pt>
                <c:pt idx="149">
                  <c:v>553.28361587129086</c:v>
                </c:pt>
                <c:pt idx="150">
                  <c:v>553.28361587129086</c:v>
                </c:pt>
                <c:pt idx="151">
                  <c:v>553.28361587129086</c:v>
                </c:pt>
                <c:pt idx="152">
                  <c:v>553.28361587129086</c:v>
                </c:pt>
                <c:pt idx="153">
                  <c:v>553.28361587129086</c:v>
                </c:pt>
                <c:pt idx="154">
                  <c:v>553.28361587129086</c:v>
                </c:pt>
                <c:pt idx="155">
                  <c:v>553.28361587129086</c:v>
                </c:pt>
                <c:pt idx="156">
                  <c:v>553.28361587129086</c:v>
                </c:pt>
                <c:pt idx="157">
                  <c:v>553.28361587129086</c:v>
                </c:pt>
                <c:pt idx="158">
                  <c:v>553.28361587129086</c:v>
                </c:pt>
                <c:pt idx="159">
                  <c:v>553.28361587129086</c:v>
                </c:pt>
                <c:pt idx="160">
                  <c:v>553.28361587129086</c:v>
                </c:pt>
                <c:pt idx="161">
                  <c:v>553.28361587129086</c:v>
                </c:pt>
                <c:pt idx="162">
                  <c:v>553.28361587129086</c:v>
                </c:pt>
                <c:pt idx="163">
                  <c:v>553.28361587129086</c:v>
                </c:pt>
                <c:pt idx="164">
                  <c:v>553.28361587129086</c:v>
                </c:pt>
                <c:pt idx="165">
                  <c:v>553.28361587129086</c:v>
                </c:pt>
                <c:pt idx="166">
                  <c:v>553.28361587129086</c:v>
                </c:pt>
                <c:pt idx="167">
                  <c:v>553.28361587129086</c:v>
                </c:pt>
                <c:pt idx="168">
                  <c:v>553.28361587129086</c:v>
                </c:pt>
                <c:pt idx="169">
                  <c:v>553.28361587129086</c:v>
                </c:pt>
                <c:pt idx="170">
                  <c:v>553.28361587129086</c:v>
                </c:pt>
                <c:pt idx="171">
                  <c:v>553.28361587129086</c:v>
                </c:pt>
                <c:pt idx="172">
                  <c:v>553.28361587129086</c:v>
                </c:pt>
                <c:pt idx="173">
                  <c:v>553.28361587129086</c:v>
                </c:pt>
                <c:pt idx="174">
                  <c:v>553.28361587129086</c:v>
                </c:pt>
                <c:pt idx="175">
                  <c:v>553.28361587129086</c:v>
                </c:pt>
                <c:pt idx="176">
                  <c:v>553.28361587129086</c:v>
                </c:pt>
                <c:pt idx="177">
                  <c:v>553.28361587129086</c:v>
                </c:pt>
                <c:pt idx="178">
                  <c:v>553.28361587129086</c:v>
                </c:pt>
                <c:pt idx="179">
                  <c:v>553.28361587129086</c:v>
                </c:pt>
                <c:pt idx="180">
                  <c:v>553.28361587129086</c:v>
                </c:pt>
                <c:pt idx="181">
                  <c:v>553.28361587129086</c:v>
                </c:pt>
                <c:pt idx="182">
                  <c:v>553.28361587129086</c:v>
                </c:pt>
                <c:pt idx="183">
                  <c:v>553.28361587129086</c:v>
                </c:pt>
                <c:pt idx="184">
                  <c:v>553.28361587129086</c:v>
                </c:pt>
                <c:pt idx="185">
                  <c:v>553.28361587129086</c:v>
                </c:pt>
                <c:pt idx="186">
                  <c:v>553.28361587129086</c:v>
                </c:pt>
                <c:pt idx="187">
                  <c:v>553.28361587129086</c:v>
                </c:pt>
                <c:pt idx="188">
                  <c:v>553.28361587129086</c:v>
                </c:pt>
                <c:pt idx="189">
                  <c:v>553.28361587129086</c:v>
                </c:pt>
                <c:pt idx="190">
                  <c:v>553.28361587129086</c:v>
                </c:pt>
                <c:pt idx="191">
                  <c:v>553.28361587129086</c:v>
                </c:pt>
                <c:pt idx="192">
                  <c:v>553.28361587129086</c:v>
                </c:pt>
                <c:pt idx="193">
                  <c:v>553.28361587129086</c:v>
                </c:pt>
                <c:pt idx="194">
                  <c:v>553.28361587129086</c:v>
                </c:pt>
                <c:pt idx="195">
                  <c:v>553.28361587129086</c:v>
                </c:pt>
                <c:pt idx="196">
                  <c:v>553.28361587129086</c:v>
                </c:pt>
                <c:pt idx="197">
                  <c:v>553.28361587129086</c:v>
                </c:pt>
                <c:pt idx="198">
                  <c:v>553.28361587129086</c:v>
                </c:pt>
                <c:pt idx="199">
                  <c:v>553.28361587129086</c:v>
                </c:pt>
                <c:pt idx="200">
                  <c:v>553.28361587129086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M&#233;nager/M&#233;nager-Levasseur/Calculateur_RE_OKLIMA_v3.7.5_Doc_de_travail.xlsx" TargetMode="External"/><Relationship Id="rId1" Type="http://schemas.openxmlformats.org/officeDocument/2006/relationships/externalLinkPath" Target="Calculateur_RE_OKLIMA_v3.7.5_Doc_de_trav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 refreshError="1"/>
      <sheetData sheetId="1">
        <row r="32">
          <cell r="E32">
            <v>0.3</v>
          </cell>
        </row>
        <row r="33">
          <cell r="E33">
            <v>0.12</v>
          </cell>
        </row>
        <row r="34">
          <cell r="E34">
            <v>0.19</v>
          </cell>
        </row>
        <row r="35">
          <cell r="E35">
            <v>0.19</v>
          </cell>
        </row>
        <row r="36">
          <cell r="E36">
            <v>0.18</v>
          </cell>
        </row>
        <row r="37">
          <cell r="E37">
            <v>0.01</v>
          </cell>
        </row>
        <row r="38">
          <cell r="E38">
            <v>0.01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f>[1]CO2!E32</f>
        <v>0.3</v>
      </c>
      <c r="D9" s="33">
        <f t="shared" ref="D9:D18" si="0">C9*$C$5</f>
        <v>0.6</v>
      </c>
      <c r="E9" s="34">
        <f>MAX(A36:A55)</f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11</v>
      </c>
      <c r="C10" s="32">
        <f>[1]CO2!E33</f>
        <v>0.12</v>
      </c>
      <c r="D10" s="33">
        <f t="shared" si="0"/>
        <v>0.24</v>
      </c>
      <c r="E10" s="34">
        <f>MAX(A62:A81)</f>
        <v>106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8</v>
      </c>
      <c r="C11" s="32">
        <f>[1]CO2!E34</f>
        <v>0.19</v>
      </c>
      <c r="D11" s="33">
        <f t="shared" si="0"/>
        <v>0.38</v>
      </c>
      <c r="E11" s="34">
        <f>MAX(A88:A107)</f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23</v>
      </c>
      <c r="C12" s="32">
        <f>[1]CO2!E35</f>
        <v>0.19</v>
      </c>
      <c r="D12" s="33">
        <f t="shared" si="0"/>
        <v>0.38</v>
      </c>
      <c r="E12" s="34">
        <f>MAX(A114:A133)</f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13</v>
      </c>
      <c r="C13" s="32">
        <f>[1]CO2!E36</f>
        <v>0.18</v>
      </c>
      <c r="D13" s="33">
        <f t="shared" si="0"/>
        <v>0.36</v>
      </c>
      <c r="E13" s="34">
        <f>MAX(A140:A159)</f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</v>
      </c>
      <c r="C14" s="32">
        <f>[1]CO2!E37</f>
        <v>0.01</v>
      </c>
      <c r="D14" s="33">
        <f t="shared" si="0"/>
        <v>0.02</v>
      </c>
      <c r="E14" s="34">
        <f>MAX(A166:A185)</f>
        <v>131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29</v>
      </c>
      <c r="C15" s="32">
        <f>[1]CO2!E38</f>
        <v>0.01</v>
      </c>
      <c r="D15" s="33">
        <f t="shared" si="0"/>
        <v>0.02</v>
      </c>
      <c r="E15" s="34">
        <f>MAX(A192:A211)</f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119.19871794871794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3.9732905982905979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31</v>
      </c>
      <c r="B63" s="60">
        <v>127.64743589743588</v>
      </c>
      <c r="C63" s="60">
        <v>1</v>
      </c>
      <c r="D63" s="60">
        <v>58.160256410256409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8.4487179487179418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37</v>
      </c>
      <c r="B64" s="60">
        <v>124.91025641025639</v>
      </c>
      <c r="C64" s="60">
        <v>2</v>
      </c>
      <c r="D64" s="60">
        <v>33.801282051282051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9.2371794871794872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44</v>
      </c>
      <c r="B65" s="60">
        <v>159.60897435897436</v>
      </c>
      <c r="C65" s="60">
        <v>3</v>
      </c>
      <c r="D65" s="60">
        <v>41.506410256410255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9.78571428571429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51</v>
      </c>
      <c r="B66" s="60">
        <v>186.99999999999997</v>
      </c>
      <c r="C66" s="60">
        <v>4</v>
      </c>
      <c r="D66" s="60">
        <v>39.756410256410255</v>
      </c>
      <c r="E66" s="51">
        <v>0.7</v>
      </c>
      <c r="F66" s="51">
        <v>0</v>
      </c>
      <c r="G66" s="51">
        <v>0</v>
      </c>
      <c r="H66" s="51">
        <v>0.3</v>
      </c>
      <c r="I66" s="49">
        <f t="shared" ref="I66:I81" si="2">IF(A66&lt;&gt;0,(B66-(B65-D65))/(A66-A65),"")</f>
        <v>9.8424908424908359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58</v>
      </c>
      <c r="B67" s="60">
        <v>215.13461538461539</v>
      </c>
      <c r="C67" s="60">
        <v>5</v>
      </c>
      <c r="D67" s="60">
        <v>38.141025641025642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9.6987179487179525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65</v>
      </c>
      <c r="B68" s="60">
        <v>243.08974358974359</v>
      </c>
      <c r="C68" s="60">
        <v>6</v>
      </c>
      <c r="D68" s="60">
        <v>39.615384615384613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9.4423076923076916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72</v>
      </c>
      <c r="B69" s="50">
        <v>267.04487179487182</v>
      </c>
      <c r="C69" s="50">
        <v>7</v>
      </c>
      <c r="D69" s="50">
        <v>45.891025641025642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9.0815018315018357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81</v>
      </c>
      <c r="B70" s="50">
        <v>298.50641025641022</v>
      </c>
      <c r="C70" s="50">
        <v>8</v>
      </c>
      <c r="D70" s="50">
        <v>60.237179487179482</v>
      </c>
      <c r="E70" s="51">
        <v>0.9</v>
      </c>
      <c r="F70" s="51">
        <v>0</v>
      </c>
      <c r="G70" s="51">
        <v>0</v>
      </c>
      <c r="H70" s="51">
        <v>0.1</v>
      </c>
      <c r="I70" s="49">
        <f t="shared" si="2"/>
        <v>8.5947293447293376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90</v>
      </c>
      <c r="B71" s="50">
        <v>310.4871794871795</v>
      </c>
      <c r="C71" s="50">
        <v>9</v>
      </c>
      <c r="D71" s="50">
        <v>60.846153846153847</v>
      </c>
      <c r="E71" s="51">
        <v>0.9</v>
      </c>
      <c r="F71" s="51">
        <v>0</v>
      </c>
      <c r="G71" s="51">
        <v>0</v>
      </c>
      <c r="H71" s="51">
        <v>0.1</v>
      </c>
      <c r="I71" s="49">
        <f t="shared" si="2"/>
        <v>8.0242165242165289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99</v>
      </c>
      <c r="B72" s="50">
        <v>317.49358974358972</v>
      </c>
      <c r="C72" s="50">
        <v>10</v>
      </c>
      <c r="D72" s="50">
        <v>154.53205128205127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7.539173789173784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101</v>
      </c>
      <c r="B73" s="50">
        <v>172.40384615384613</v>
      </c>
      <c r="C73" s="50">
        <v>11</v>
      </c>
      <c r="D73" s="50">
        <v>56.294871794871788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4.7211538461538396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103</v>
      </c>
      <c r="B74" s="50">
        <v>122.57692307692307</v>
      </c>
      <c r="C74" s="50">
        <v>12</v>
      </c>
      <c r="D74" s="50">
        <v>39.92307692307692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3.2339743589743648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106</v>
      </c>
      <c r="B75" s="50">
        <v>89.429487179487168</v>
      </c>
      <c r="C75" s="50">
        <v>13</v>
      </c>
      <c r="D75" s="50">
        <v>89.429487179487168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2.2585470085470072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Châtaignier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19</v>
      </c>
      <c r="C88" s="60">
        <v>1</v>
      </c>
      <c r="D88" s="60">
        <v>7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85</v>
      </c>
      <c r="C89" s="60">
        <v>2</v>
      </c>
      <c r="D89" s="60">
        <v>42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123</v>
      </c>
      <c r="C90" s="60">
        <v>3</v>
      </c>
      <c r="D90" s="60">
        <v>42</v>
      </c>
      <c r="E90" s="87">
        <v>0</v>
      </c>
      <c r="F90" s="87">
        <v>0.12</v>
      </c>
      <c r="G90" s="87">
        <v>0</v>
      </c>
      <c r="H90" s="87">
        <v>0.88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165</v>
      </c>
      <c r="C91" s="60">
        <v>4</v>
      </c>
      <c r="D91" s="60">
        <v>42</v>
      </c>
      <c r="E91" s="87">
        <v>0.14000000000000001</v>
      </c>
      <c r="F91" s="87">
        <v>0.43</v>
      </c>
      <c r="G91" s="87">
        <v>0</v>
      </c>
      <c r="H91" s="87">
        <v>0.43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205</v>
      </c>
      <c r="C92" s="60">
        <v>5</v>
      </c>
      <c r="D92" s="60">
        <v>42</v>
      </c>
      <c r="E92" s="87">
        <v>0.52</v>
      </c>
      <c r="F92" s="87">
        <v>0.31</v>
      </c>
      <c r="G92" s="87">
        <v>0</v>
      </c>
      <c r="H92" s="87">
        <v>0.17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239</v>
      </c>
      <c r="C93" s="60">
        <v>6</v>
      </c>
      <c r="D93" s="60">
        <v>42</v>
      </c>
      <c r="E93" s="87">
        <v>0.74</v>
      </c>
      <c r="F93" s="87">
        <v>0.19</v>
      </c>
      <c r="G93" s="87">
        <v>0</v>
      </c>
      <c r="H93" s="87">
        <v>7.0000000000000007E-2</v>
      </c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263</v>
      </c>
      <c r="C94" s="60">
        <v>7</v>
      </c>
      <c r="D94" s="60">
        <v>40</v>
      </c>
      <c r="E94" s="87">
        <v>0.85</v>
      </c>
      <c r="F94" s="87">
        <v>0.1</v>
      </c>
      <c r="G94" s="87">
        <v>0</v>
      </c>
      <c r="H94" s="87">
        <v>0.05</v>
      </c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280</v>
      </c>
      <c r="C95" s="60">
        <v>8</v>
      </c>
      <c r="D95" s="60">
        <v>26</v>
      </c>
      <c r="E95" s="87">
        <v>0.92</v>
      </c>
      <c r="F95" s="87">
        <v>0.04</v>
      </c>
      <c r="G95" s="87">
        <v>0</v>
      </c>
      <c r="H95" s="87">
        <v>0.04</v>
      </c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303</v>
      </c>
      <c r="C96" s="60">
        <v>9</v>
      </c>
      <c r="D96" s="60">
        <v>21</v>
      </c>
      <c r="E96" s="87">
        <v>0.95</v>
      </c>
      <c r="F96" s="87">
        <v>0.05</v>
      </c>
      <c r="G96" s="87">
        <v>0</v>
      </c>
      <c r="H96" s="87">
        <v>0</v>
      </c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324</v>
      </c>
      <c r="C97" s="60">
        <v>10</v>
      </c>
      <c r="D97" s="60">
        <v>18</v>
      </c>
      <c r="E97" s="87">
        <v>0.94</v>
      </c>
      <c r="F97" s="87">
        <v>0.06</v>
      </c>
      <c r="G97" s="87">
        <v>0</v>
      </c>
      <c r="H97" s="87">
        <v>0</v>
      </c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343</v>
      </c>
      <c r="C98" s="60">
        <v>11</v>
      </c>
      <c r="D98" s="60">
        <v>17</v>
      </c>
      <c r="E98" s="87">
        <v>0.94</v>
      </c>
      <c r="F98" s="87">
        <v>0</v>
      </c>
      <c r="G98" s="87">
        <v>0</v>
      </c>
      <c r="H98" s="87">
        <v>0.06</v>
      </c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356</v>
      </c>
      <c r="C99" s="60">
        <v>12</v>
      </c>
      <c r="D99" s="60">
        <v>16</v>
      </c>
      <c r="E99" s="87">
        <v>0.94</v>
      </c>
      <c r="F99" s="87">
        <v>0.06</v>
      </c>
      <c r="G99" s="87">
        <v>0</v>
      </c>
      <c r="H99" s="87">
        <v>0</v>
      </c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366</v>
      </c>
      <c r="C100" s="60">
        <v>13</v>
      </c>
      <c r="D100" s="60">
        <v>15</v>
      </c>
      <c r="E100" s="65">
        <v>0.93</v>
      </c>
      <c r="F100" s="65">
        <v>7.0000000000000007E-2</v>
      </c>
      <c r="G100" s="65">
        <v>0</v>
      </c>
      <c r="H100" s="65">
        <v>0</v>
      </c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375</v>
      </c>
      <c r="C101" s="60">
        <v>14</v>
      </c>
      <c r="D101" s="60">
        <v>14</v>
      </c>
      <c r="E101" s="65">
        <v>0.93</v>
      </c>
      <c r="F101" s="65">
        <v>7.0000000000000007E-2</v>
      </c>
      <c r="G101" s="65">
        <v>0</v>
      </c>
      <c r="H101" s="65">
        <v>0</v>
      </c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381</v>
      </c>
      <c r="C102" s="60">
        <v>15</v>
      </c>
      <c r="D102" s="50">
        <v>13</v>
      </c>
      <c r="E102" s="54">
        <v>1</v>
      </c>
      <c r="F102" s="54">
        <v>0</v>
      </c>
      <c r="G102" s="54">
        <v>0</v>
      </c>
      <c r="H102" s="54">
        <v>0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19</v>
      </c>
      <c r="C114" s="50">
        <v>1</v>
      </c>
      <c r="D114" s="60">
        <v>7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85</v>
      </c>
      <c r="C115" s="50">
        <v>2</v>
      </c>
      <c r="D115" s="60">
        <v>42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123</v>
      </c>
      <c r="C116" s="50">
        <v>3</v>
      </c>
      <c r="D116" s="60">
        <v>42</v>
      </c>
      <c r="E116" s="51">
        <v>0</v>
      </c>
      <c r="F116" s="51">
        <v>0.12</v>
      </c>
      <c r="G116" s="51">
        <v>0</v>
      </c>
      <c r="H116" s="51">
        <v>0.88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165</v>
      </c>
      <c r="C117" s="50">
        <v>4</v>
      </c>
      <c r="D117" s="60">
        <v>42</v>
      </c>
      <c r="E117" s="51">
        <v>0.14000000000000001</v>
      </c>
      <c r="F117" s="51">
        <v>0.43</v>
      </c>
      <c r="G117" s="51">
        <v>0</v>
      </c>
      <c r="H117" s="51">
        <v>0.43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205</v>
      </c>
      <c r="C118" s="50">
        <v>5</v>
      </c>
      <c r="D118" s="60">
        <v>42</v>
      </c>
      <c r="E118" s="51">
        <v>0.52</v>
      </c>
      <c r="F118" s="51">
        <v>0.31</v>
      </c>
      <c r="G118" s="51">
        <v>0</v>
      </c>
      <c r="H118" s="51">
        <v>0.17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239</v>
      </c>
      <c r="C119" s="50">
        <v>6</v>
      </c>
      <c r="D119" s="60">
        <v>42</v>
      </c>
      <c r="E119" s="51">
        <v>0.74</v>
      </c>
      <c r="F119" s="51">
        <v>0.19</v>
      </c>
      <c r="G119" s="51">
        <v>0</v>
      </c>
      <c r="H119" s="51">
        <v>7.0000000000000007E-2</v>
      </c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263</v>
      </c>
      <c r="C120" s="60">
        <v>7</v>
      </c>
      <c r="D120" s="60">
        <v>40</v>
      </c>
      <c r="E120" s="87">
        <v>0.85</v>
      </c>
      <c r="F120" s="87">
        <v>0.1</v>
      </c>
      <c r="G120" s="87">
        <v>0</v>
      </c>
      <c r="H120" s="87">
        <v>0.05</v>
      </c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280</v>
      </c>
      <c r="C121" s="60">
        <v>8</v>
      </c>
      <c r="D121" s="60">
        <v>26</v>
      </c>
      <c r="E121" s="87">
        <v>0.92</v>
      </c>
      <c r="F121" s="87">
        <v>0.04</v>
      </c>
      <c r="G121" s="87">
        <v>0</v>
      </c>
      <c r="H121" s="87">
        <v>0.04</v>
      </c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303</v>
      </c>
      <c r="C122" s="60">
        <v>9</v>
      </c>
      <c r="D122" s="60">
        <v>21</v>
      </c>
      <c r="E122" s="87">
        <v>0.95</v>
      </c>
      <c r="F122" s="87">
        <v>0.05</v>
      </c>
      <c r="G122" s="87">
        <v>0</v>
      </c>
      <c r="H122" s="87">
        <v>0</v>
      </c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324</v>
      </c>
      <c r="C123" s="60">
        <v>10</v>
      </c>
      <c r="D123" s="60">
        <v>18</v>
      </c>
      <c r="E123" s="87">
        <v>0.94</v>
      </c>
      <c r="F123" s="87">
        <v>0.06</v>
      </c>
      <c r="G123" s="87">
        <v>0</v>
      </c>
      <c r="H123" s="87">
        <v>0</v>
      </c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343</v>
      </c>
      <c r="C124" s="60">
        <v>11</v>
      </c>
      <c r="D124" s="60">
        <v>17</v>
      </c>
      <c r="E124" s="87">
        <v>0.94</v>
      </c>
      <c r="F124" s="87">
        <v>0</v>
      </c>
      <c r="G124" s="87">
        <v>0</v>
      </c>
      <c r="H124" s="87">
        <v>0.06</v>
      </c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356</v>
      </c>
      <c r="C125" s="60">
        <v>12</v>
      </c>
      <c r="D125" s="60">
        <v>16</v>
      </c>
      <c r="E125" s="87">
        <v>0.94</v>
      </c>
      <c r="F125" s="87">
        <v>0.06</v>
      </c>
      <c r="G125" s="87">
        <v>0</v>
      </c>
      <c r="H125" s="87">
        <v>0</v>
      </c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366</v>
      </c>
      <c r="C126" s="60">
        <v>13</v>
      </c>
      <c r="D126" s="60">
        <v>15</v>
      </c>
      <c r="E126" s="65">
        <v>0.93</v>
      </c>
      <c r="F126" s="65">
        <v>7.0000000000000007E-2</v>
      </c>
      <c r="G126" s="65">
        <v>0</v>
      </c>
      <c r="H126" s="65">
        <v>0</v>
      </c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375</v>
      </c>
      <c r="C127" s="60">
        <v>14</v>
      </c>
      <c r="D127" s="60">
        <v>14</v>
      </c>
      <c r="E127" s="65">
        <v>0.93</v>
      </c>
      <c r="F127" s="65">
        <v>7.0000000000000007E-2</v>
      </c>
      <c r="G127" s="65">
        <v>0</v>
      </c>
      <c r="H127" s="65">
        <v>0</v>
      </c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381</v>
      </c>
      <c r="C128" s="50">
        <v>15</v>
      </c>
      <c r="D128" s="50">
        <v>13</v>
      </c>
      <c r="E128" s="54">
        <v>1</v>
      </c>
      <c r="F128" s="54">
        <v>0</v>
      </c>
      <c r="G128" s="54">
        <v>0</v>
      </c>
      <c r="H128" s="54">
        <v>0</v>
      </c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35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3.5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88</v>
      </c>
      <c r="C141" s="50">
        <v>0</v>
      </c>
      <c r="D141" s="60" t="s">
        <v>325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10.6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117</v>
      </c>
      <c r="C142" s="50">
        <v>1</v>
      </c>
      <c r="D142" s="60" t="s">
        <v>326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11.8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145</v>
      </c>
      <c r="C143" s="50">
        <v>2</v>
      </c>
      <c r="D143" s="60" t="s">
        <v>327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11.4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169</v>
      </c>
      <c r="C144" s="50">
        <v>3</v>
      </c>
      <c r="D144" s="60" t="s">
        <v>328</v>
      </c>
      <c r="E144" s="51">
        <v>0</v>
      </c>
      <c r="F144" s="51">
        <v>0.5</v>
      </c>
      <c r="G144" s="51">
        <v>0</v>
      </c>
      <c r="H144" s="51">
        <v>0.5</v>
      </c>
      <c r="I144" s="57">
        <f t="shared" si="5"/>
        <v>11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189</v>
      </c>
      <c r="C145" s="50">
        <v>4</v>
      </c>
      <c r="D145" s="60" t="s">
        <v>328</v>
      </c>
      <c r="E145" s="51">
        <v>0</v>
      </c>
      <c r="F145" s="51">
        <v>0.5</v>
      </c>
      <c r="G145" s="51">
        <v>0</v>
      </c>
      <c r="H145" s="51">
        <v>0.5</v>
      </c>
      <c r="I145" s="57">
        <f t="shared" si="5"/>
        <v>10.4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206</v>
      </c>
      <c r="C146" s="50">
        <v>5</v>
      </c>
      <c r="D146" s="60" t="s">
        <v>327</v>
      </c>
      <c r="E146" s="51">
        <v>0.4</v>
      </c>
      <c r="F146" s="51">
        <v>0.4</v>
      </c>
      <c r="G146" s="51">
        <v>0</v>
      </c>
      <c r="H146" s="51">
        <v>0.2</v>
      </c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219</v>
      </c>
      <c r="C147" s="50">
        <v>6</v>
      </c>
      <c r="D147" s="60" t="s">
        <v>325</v>
      </c>
      <c r="E147" s="51">
        <v>0.4</v>
      </c>
      <c r="F147" s="51">
        <v>0.4</v>
      </c>
      <c r="G147" s="51">
        <v>0</v>
      </c>
      <c r="H147" s="51">
        <v>0.2</v>
      </c>
      <c r="I147" s="57">
        <f>IF(A147&lt;&gt;0,(B147-(B146-D146))/(A147-A146),"")</f>
        <v>8.8000000000000007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230</v>
      </c>
      <c r="C148" s="50">
        <v>7</v>
      </c>
      <c r="D148" s="60" t="s">
        <v>329</v>
      </c>
      <c r="E148" s="51">
        <v>0.4</v>
      </c>
      <c r="F148" s="51">
        <v>0.4</v>
      </c>
      <c r="G148" s="51">
        <v>0</v>
      </c>
      <c r="H148" s="51">
        <v>0.2</v>
      </c>
      <c r="I148" s="57">
        <f t="shared" si="5"/>
        <v>8.1999999999999993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239</v>
      </c>
      <c r="C149" s="50">
        <v>8</v>
      </c>
      <c r="D149" s="60" t="s">
        <v>330</v>
      </c>
      <c r="E149" s="51">
        <v>0.5</v>
      </c>
      <c r="F149" s="51">
        <v>0.4</v>
      </c>
      <c r="G149" s="51">
        <v>0</v>
      </c>
      <c r="H149" s="51">
        <v>0.1</v>
      </c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246</v>
      </c>
      <c r="C150" s="50">
        <v>9</v>
      </c>
      <c r="D150" s="60" t="s">
        <v>331</v>
      </c>
      <c r="E150" s="51">
        <v>0.5</v>
      </c>
      <c r="F150" s="51">
        <v>0.4</v>
      </c>
      <c r="G150" s="51">
        <v>0</v>
      </c>
      <c r="H150" s="51">
        <v>0.1</v>
      </c>
      <c r="I150" s="57">
        <f t="shared" si="5"/>
        <v>6.6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252</v>
      </c>
      <c r="C151" s="50">
        <v>10</v>
      </c>
      <c r="D151" s="60" t="s">
        <v>332</v>
      </c>
      <c r="E151" s="51">
        <v>0.6</v>
      </c>
      <c r="F151" s="51">
        <v>0.3</v>
      </c>
      <c r="G151" s="51">
        <v>0</v>
      </c>
      <c r="H151" s="51">
        <v>0.1</v>
      </c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257</v>
      </c>
      <c r="C152" s="50">
        <v>11</v>
      </c>
      <c r="D152" s="60" t="s">
        <v>333</v>
      </c>
      <c r="E152" s="54">
        <v>0.6</v>
      </c>
      <c r="F152" s="54">
        <v>0.3</v>
      </c>
      <c r="G152" s="54">
        <v>0</v>
      </c>
      <c r="H152" s="54">
        <v>0.1</v>
      </c>
      <c r="I152" s="57">
        <f t="shared" si="5"/>
        <v>5.4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261</v>
      </c>
      <c r="C153" s="50">
        <v>12</v>
      </c>
      <c r="D153" s="60" t="s">
        <v>334</v>
      </c>
      <c r="E153" s="54">
        <v>0.7</v>
      </c>
      <c r="F153" s="54">
        <v>0.2</v>
      </c>
      <c r="G153" s="54">
        <v>0</v>
      </c>
      <c r="H153" s="54">
        <v>0.1</v>
      </c>
      <c r="I153" s="57">
        <f t="shared" si="5"/>
        <v>5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264</v>
      </c>
      <c r="C154" s="50">
        <v>13</v>
      </c>
      <c r="D154" s="50" t="s">
        <v>335</v>
      </c>
      <c r="E154" s="54">
        <v>0.7</v>
      </c>
      <c r="F154" s="54">
        <v>0.2</v>
      </c>
      <c r="G154" s="54">
        <v>0</v>
      </c>
      <c r="H154" s="54">
        <v>0.1</v>
      </c>
      <c r="I154" s="57">
        <f t="shared" si="5"/>
        <v>4.4000000000000004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85</v>
      </c>
      <c r="B155" s="56">
        <v>267</v>
      </c>
      <c r="C155" s="50">
        <v>14</v>
      </c>
      <c r="D155" s="50" t="s">
        <v>336</v>
      </c>
      <c r="E155" s="54">
        <v>0.8</v>
      </c>
      <c r="F155" s="54">
        <v>0.1</v>
      </c>
      <c r="G155" s="54">
        <v>0</v>
      </c>
      <c r="H155" s="54">
        <v>0.1</v>
      </c>
      <c r="I155" s="57">
        <f t="shared" si="5"/>
        <v>4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90</v>
      </c>
      <c r="B156" s="56">
        <v>268</v>
      </c>
      <c r="C156" s="50">
        <v>15</v>
      </c>
      <c r="D156" s="50" t="s">
        <v>337</v>
      </c>
      <c r="E156" s="54">
        <v>0.8</v>
      </c>
      <c r="F156" s="54">
        <v>0.1</v>
      </c>
      <c r="G156" s="54">
        <v>0</v>
      </c>
      <c r="H156" s="54">
        <v>0.1</v>
      </c>
      <c r="I156" s="57">
        <f t="shared" si="5"/>
        <v>3.4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95</v>
      </c>
      <c r="B157" s="56">
        <v>270</v>
      </c>
      <c r="C157" s="50">
        <v>16</v>
      </c>
      <c r="D157" s="50" t="s">
        <v>338</v>
      </c>
      <c r="E157" s="54">
        <v>0.8</v>
      </c>
      <c r="F157" s="54">
        <v>0.1</v>
      </c>
      <c r="G157" s="54">
        <v>0</v>
      </c>
      <c r="H157" s="54">
        <v>0.1</v>
      </c>
      <c r="I157" s="57">
        <f t="shared" si="5"/>
        <v>3.2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100</v>
      </c>
      <c r="B158" s="56">
        <v>273</v>
      </c>
      <c r="C158" s="50">
        <v>17</v>
      </c>
      <c r="D158" s="50" t="s">
        <v>338</v>
      </c>
      <c r="E158" s="54">
        <v>0.8</v>
      </c>
      <c r="F158" s="54">
        <v>0.1</v>
      </c>
      <c r="G158" s="54">
        <v>0</v>
      </c>
      <c r="H158" s="54">
        <v>0.1</v>
      </c>
      <c r="I158" s="57">
        <f t="shared" si="5"/>
        <v>3.2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121.88461538461537</v>
      </c>
      <c r="C166" s="60" t="s">
        <v>324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4.0628205128205126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35</v>
      </c>
      <c r="B167" s="60">
        <v>162.16666666666669</v>
      </c>
      <c r="C167" s="60">
        <v>1</v>
      </c>
      <c r="D167" s="60">
        <v>60.602564102564102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8.0564102564102633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41</v>
      </c>
      <c r="B168" s="60">
        <v>157.44871794871796</v>
      </c>
      <c r="C168" s="60">
        <v>2</v>
      </c>
      <c r="D168" s="60">
        <v>38.512820512820511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9.3141025641025621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48</v>
      </c>
      <c r="B169" s="60">
        <v>184.35256410256409</v>
      </c>
      <c r="C169" s="60">
        <v>3</v>
      </c>
      <c r="D169" s="60">
        <v>48.025641025641022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9.3452380952380913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55</v>
      </c>
      <c r="B170" s="60">
        <v>198.44230769230768</v>
      </c>
      <c r="C170" s="60">
        <v>4</v>
      </c>
      <c r="D170" s="60">
        <v>45.147435897435898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8.8736263736263741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63</v>
      </c>
      <c r="B171" s="60">
        <v>220.28846153846152</v>
      </c>
      <c r="C171" s="60">
        <v>5</v>
      </c>
      <c r="D171" s="60">
        <v>41.724358974358978</v>
      </c>
      <c r="E171" s="51">
        <v>0.7</v>
      </c>
      <c r="F171" s="51">
        <v>0</v>
      </c>
      <c r="G171" s="51">
        <v>0</v>
      </c>
      <c r="H171" s="51">
        <v>0.3</v>
      </c>
      <c r="I171" s="49">
        <f t="shared" si="6"/>
        <v>8.374198717948719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71</v>
      </c>
      <c r="B172" s="60">
        <v>243.36538461538464</v>
      </c>
      <c r="C172" s="60">
        <v>6</v>
      </c>
      <c r="D172" s="60">
        <v>39.935897435897431</v>
      </c>
      <c r="E172" s="51">
        <v>0.7</v>
      </c>
      <c r="F172" s="51">
        <v>0</v>
      </c>
      <c r="G172" s="51">
        <v>0</v>
      </c>
      <c r="H172" s="51">
        <v>0.3</v>
      </c>
      <c r="I172" s="49">
        <f t="shared" si="6"/>
        <v>8.1001602564102626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80</v>
      </c>
      <c r="B173" s="50">
        <v>274.01282051282055</v>
      </c>
      <c r="C173" s="50">
        <v>7</v>
      </c>
      <c r="D173" s="50">
        <v>45.608974358974358</v>
      </c>
      <c r="E173" s="51">
        <v>0.7</v>
      </c>
      <c r="F173" s="51">
        <v>0</v>
      </c>
      <c r="G173" s="51">
        <v>0</v>
      </c>
      <c r="H173" s="51">
        <v>0.3</v>
      </c>
      <c r="I173" s="49">
        <f t="shared" si="6"/>
        <v>7.8425925925925934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89</v>
      </c>
      <c r="B174" s="50">
        <v>295.85897435897436</v>
      </c>
      <c r="C174" s="50">
        <v>8</v>
      </c>
      <c r="D174" s="50">
        <v>49.391025641025635</v>
      </c>
      <c r="E174" s="51">
        <v>0.7</v>
      </c>
      <c r="F174" s="51">
        <v>0</v>
      </c>
      <c r="G174" s="51">
        <v>0</v>
      </c>
      <c r="H174" s="51">
        <v>0.3</v>
      </c>
      <c r="I174" s="49">
        <f t="shared" si="6"/>
        <v>7.4950142450142421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99</v>
      </c>
      <c r="B175" s="50">
        <v>318.25</v>
      </c>
      <c r="C175" s="50">
        <v>9</v>
      </c>
      <c r="D175" s="50">
        <v>48.019230769230766</v>
      </c>
      <c r="E175" s="51">
        <v>0.7</v>
      </c>
      <c r="F175" s="51">
        <v>0</v>
      </c>
      <c r="G175" s="51">
        <v>0</v>
      </c>
      <c r="H175" s="51">
        <v>0.3</v>
      </c>
      <c r="I175" s="49">
        <f t="shared" si="6"/>
        <v>7.1782051282051267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109</v>
      </c>
      <c r="B176" s="50">
        <v>340.16666666666663</v>
      </c>
      <c r="C176" s="50">
        <v>10</v>
      </c>
      <c r="D176" s="50">
        <v>51.28846153846154</v>
      </c>
      <c r="E176" s="51">
        <v>0.9</v>
      </c>
      <c r="F176" s="51">
        <v>0</v>
      </c>
      <c r="G176" s="51">
        <v>0</v>
      </c>
      <c r="H176" s="51">
        <v>0.1</v>
      </c>
      <c r="I176" s="49">
        <f t="shared" si="6"/>
        <v>6.9935897435897401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119</v>
      </c>
      <c r="B177" s="50">
        <v>357.33974358974359</v>
      </c>
      <c r="C177" s="50">
        <v>11</v>
      </c>
      <c r="D177" s="50">
        <v>150.02564102564102</v>
      </c>
      <c r="E177" s="51">
        <v>0.9</v>
      </c>
      <c r="F177" s="51">
        <v>0</v>
      </c>
      <c r="G177" s="51">
        <v>0</v>
      </c>
      <c r="H177" s="51">
        <v>0.1</v>
      </c>
      <c r="I177" s="49">
        <f t="shared" si="6"/>
        <v>6.8461538461538511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123</v>
      </c>
      <c r="B178" s="50">
        <v>222.63461538461539</v>
      </c>
      <c r="C178" s="50">
        <v>12</v>
      </c>
      <c r="D178" s="50">
        <v>77.17307692307692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3.8301282051282044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127</v>
      </c>
      <c r="B179" s="50">
        <v>154.80128205128204</v>
      </c>
      <c r="C179" s="50">
        <v>13</v>
      </c>
      <c r="D179" s="50">
        <v>49.916666666666671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2.3349358974358978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131</v>
      </c>
      <c r="B180" s="50">
        <v>110.91025641025641</v>
      </c>
      <c r="C180" s="50">
        <v>14</v>
      </c>
      <c r="D180" s="50">
        <v>110.91025641025641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1.5064102564102591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Merisier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v>40</v>
      </c>
      <c r="C192" s="60">
        <v>1</v>
      </c>
      <c r="D192" s="60">
        <v>3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2.6666666666666665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v>85</v>
      </c>
      <c r="C193" s="60">
        <v>2</v>
      </c>
      <c r="D193" s="60">
        <v>25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v>113</v>
      </c>
      <c r="C194" s="60">
        <v>3</v>
      </c>
      <c r="D194" s="60">
        <v>27</v>
      </c>
      <c r="E194" s="51">
        <v>0</v>
      </c>
      <c r="F194" s="51">
        <v>0.5</v>
      </c>
      <c r="G194" s="51">
        <v>0</v>
      </c>
      <c r="H194" s="51">
        <v>0.5</v>
      </c>
      <c r="I194" s="49">
        <f t="shared" si="7"/>
        <v>10.6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31</v>
      </c>
      <c r="B195" s="60">
        <v>155</v>
      </c>
      <c r="C195" s="60">
        <v>4</v>
      </c>
      <c r="D195" s="60">
        <v>35</v>
      </c>
      <c r="E195" s="51">
        <v>0.3</v>
      </c>
      <c r="F195" s="51">
        <v>0.4</v>
      </c>
      <c r="G195" s="51">
        <v>0</v>
      </c>
      <c r="H195" s="51">
        <v>0.3</v>
      </c>
      <c r="I195" s="49">
        <f t="shared" si="7"/>
        <v>11.5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37</v>
      </c>
      <c r="B196" s="60">
        <v>188</v>
      </c>
      <c r="C196" s="60">
        <v>5</v>
      </c>
      <c r="D196" s="60">
        <v>36</v>
      </c>
      <c r="E196" s="51">
        <v>0.3</v>
      </c>
      <c r="F196" s="51">
        <v>0.4</v>
      </c>
      <c r="G196" s="51">
        <v>0</v>
      </c>
      <c r="H196" s="51">
        <v>0.3</v>
      </c>
      <c r="I196" s="49">
        <f t="shared" si="7"/>
        <v>11.333333333333334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44</v>
      </c>
      <c r="B197" s="60">
        <v>230</v>
      </c>
      <c r="C197" s="60">
        <v>6</v>
      </c>
      <c r="D197" s="60">
        <v>43</v>
      </c>
      <c r="E197" s="51">
        <v>0.4</v>
      </c>
      <c r="F197" s="51">
        <v>0.4</v>
      </c>
      <c r="G197" s="51">
        <v>0</v>
      </c>
      <c r="H197" s="51">
        <v>0.2</v>
      </c>
      <c r="I197" s="49">
        <f t="shared" si="7"/>
        <v>11.142857142857142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52</v>
      </c>
      <c r="B198" s="60">
        <v>270</v>
      </c>
      <c r="C198" s="60">
        <v>7</v>
      </c>
      <c r="D198" s="60">
        <v>49</v>
      </c>
      <c r="E198" s="51">
        <v>0.4</v>
      </c>
      <c r="F198" s="51">
        <v>0.4</v>
      </c>
      <c r="G198" s="51">
        <v>0</v>
      </c>
      <c r="H198" s="51">
        <v>0.2</v>
      </c>
      <c r="I198" s="49">
        <f t="shared" si="7"/>
        <v>10.375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60</v>
      </c>
      <c r="B199" s="50">
        <v>297</v>
      </c>
      <c r="C199" s="50">
        <v>8</v>
      </c>
      <c r="D199" s="50">
        <v>47</v>
      </c>
      <c r="E199" s="51">
        <v>0.5</v>
      </c>
      <c r="F199" s="51">
        <v>0.4</v>
      </c>
      <c r="G199" s="51">
        <v>0</v>
      </c>
      <c r="H199" s="51">
        <v>0.1</v>
      </c>
      <c r="I199" s="49">
        <f t="shared" si="7"/>
        <v>9.5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69</v>
      </c>
      <c r="B200" s="50">
        <v>328</v>
      </c>
      <c r="C200" s="50">
        <v>0</v>
      </c>
      <c r="D200" s="50">
        <v>0</v>
      </c>
      <c r="E200" s="51">
        <v>0</v>
      </c>
      <c r="F200" s="51">
        <v>0</v>
      </c>
      <c r="G200" s="51">
        <v>0</v>
      </c>
      <c r="H200" s="51">
        <v>0</v>
      </c>
      <c r="I200" s="49">
        <f t="shared" si="7"/>
        <v>8.6666666666666661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Châtaignier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rouge d'Amérique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Merisier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384.05928630855732</v>
      </c>
      <c r="T3" s="59">
        <f>IF('Données projet'!E9&gt;30,$R$33-$H$33,LOOKUP('Données projet'!$E$9,$A$3:$A$203,R3:R203)-LOOKUP('Données projet'!$E$9,$A$3:$A$203,$H$3:$H$203))</f>
        <v>279.93992813630513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312.48716825299158</v>
      </c>
      <c r="AO3" s="59">
        <f>IF('Données projet'!E10&gt;30,$AM$33-$H$33,LOOKUP('Données projet'!$E$10,$A$3:$A$203,AM3:AM203)-LOOKUP('Données projet'!$E$10,$A$3:$A$203,$H$3:$H$203))</f>
        <v>258.68277822755357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376.58419691967526</v>
      </c>
      <c r="BJ3" s="59">
        <f>IF('Données projet'!E11&gt;30,$BH$33-$H$33,LOOKUP('Données projet'!$E$11,$A$3:$A$203,BH3:BH203)-LOOKUP('Données projet'!$E$11,$A$3:$A$203,$H$3:$H$203))</f>
        <v>365.76175372075869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405.40026823646758</v>
      </c>
      <c r="CE3" s="59">
        <f>IF('Données projet'!E12&gt;30,$CC$33-$H$33,LOOKUP('Données projet'!$E$12,$A$3:$A$203,CC3:CC203)-LOOKUP('Données projet'!$E$12,$A$3:$A$203,$H$3:$H$203))</f>
        <v>393.0787141050053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381.72225529388083</v>
      </c>
      <c r="CZ3" s="59">
        <f>IF('Données projet'!E13&gt;30,$CX$33-$H$33,LOOKUP('Données projet'!$E$13,$A$3:$A$203,CX3:CX203)-LOOKUP('Données projet'!$E$13,$A$3:$A$203,$H$3:$H$203))</f>
        <v>360.05900046417361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407.73540492005355</v>
      </c>
      <c r="DU3" s="59">
        <f>IF('Données projet'!E14&gt;30,$DS$33-$H$33,LOOKUP('Données projet'!$E$14,$A$3:$A$203,DS3:DS203)-LOOKUP('Données projet'!$E$14,$A$3:$A$203,$H$3:$H$203))</f>
        <v>296.29416764204774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288.80569134263209</v>
      </c>
      <c r="EP3" s="59">
        <f>IF('Données projet'!E15&gt;30,$EN$33-$H$33,LOOKUP('Données projet'!$E$15,$A$3:$A$203,EN3:EN203)-LOOKUP('Données projet'!$E$15,$A$3:$A$203,$H$3:$H$203))</f>
        <v>283.48738729114024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260.58474675614167</v>
      </c>
      <c r="S4" s="59">
        <f ca="1">AVERAGE(OFFSET($R$3,0,0,'Données projet'!$E$9+1,1))-AVERAGE(OFFSET($H$3,0,0,'Données projet'!$E$9+1,1))</f>
        <v>384.05928630855732</v>
      </c>
      <c r="T4" s="59">
        <f>$T$3</f>
        <v>279.93992813630513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3.9732905982905979</v>
      </c>
      <c r="AI4" s="13">
        <f>IF('Données projet'!$A$62&gt;35,AI3+AH4-AQ3,IF(A4&lt;'Données projet'!$A$62,$AF$205^A4,IF(A4='Données projet'!$A$62,'Données projet'!$B$62,AI3+AH4-AQ3)))</f>
        <v>1.1727597515473569</v>
      </c>
      <c r="AJ4" s="13">
        <f>AI4*VLOOKUP('Données projet'!$B$10,Paramètres!$A$1:$I$89,3,0)*VLOOKUP('Données projet'!$B$10,Paramètres!$A$1:$I$89,5,0)</f>
        <v>0.98793281470349359</v>
      </c>
      <c r="AK4" s="13">
        <f>EXP(-1.0587+0.8836*LN(AJ4)+0.284)</f>
        <v>0.45592478840438083</v>
      </c>
      <c r="AL4" s="20">
        <f t="shared" ref="AL4:AL67" si="4">(AJ4+AK4)*0.475*44/12</f>
        <v>2.5147186587462147</v>
      </c>
      <c r="AM4" s="59">
        <f t="shared" ref="AM4:AM67" si="5">AL4+(AD4+AE4)*44/12</f>
        <v>260.40360754763509</v>
      </c>
      <c r="AN4" s="59">
        <f ca="1">AVERAGE(OFFSET($AM$3,0,0,'Données projet'!$E$10+1,1))-AVERAGE(OFFSET($H$3,0,0,'Données projet'!$E$10+1,1))</f>
        <v>312.48716825299158</v>
      </c>
      <c r="AO4" s="59">
        <f>$AO$3</f>
        <v>258.68277822755357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0.98423276008541516</v>
      </c>
      <c r="BF4" s="13">
        <f>EXP(-1.0587+0.8836*LN(BE4)+0.284)</f>
        <v>0.45441566615213064</v>
      </c>
      <c r="BG4" s="20">
        <f t="shared" ref="BG4:BG67" si="7">(BE4+BF4)*0.475*44/12</f>
        <v>2.5056460090303925</v>
      </c>
      <c r="BH4" s="59">
        <f t="shared" ref="BH4:BH67" si="8">BG4+(AY4+AZ4)*44/12</f>
        <v>260.39453489791924</v>
      </c>
      <c r="BI4" s="59">
        <f ca="1">AVERAGE(OFFSET($BH$3,0,0,'Données projet'!$E$11+1,1))-AVERAGE(OFFSET($H$3,0,0,'Données projet'!$E$11+1,1))</f>
        <v>376.58419691967526</v>
      </c>
      <c r="BJ4" s="59">
        <f>$BJ$3</f>
        <v>365.76175372075869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1.0679972503054507</v>
      </c>
      <c r="CA4" s="13">
        <f>EXP(-1.0587+0.8836*LN(BZ4)+0.284)</f>
        <v>0.48842359485523285</v>
      </c>
      <c r="CB4" s="20">
        <f t="shared" ref="CB4:CB67" si="10">(BZ4+CA4)*0.475*44/12</f>
        <v>2.7107663053215236</v>
      </c>
      <c r="CC4" s="59">
        <f t="shared" ref="CC4:CC67" si="11">CB4+(BT4+BU4)*44/12</f>
        <v>260.59965519421036</v>
      </c>
      <c r="CD4" s="59">
        <f ca="1">AVERAGE(OFFSET($CC$3,0,0,'Données projet'!$E$12+1,1))-AVERAGE(OFFSET($H$3,0,0,'Données projet'!$E$12+1,1))</f>
        <v>405.40026823646758</v>
      </c>
      <c r="CE4" s="59">
        <f>$CE$3</f>
        <v>393.0787141050053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3.5</v>
      </c>
      <c r="CT4" s="12">
        <f>IF('Données projet'!$A$140&gt;35,CT3+CS4-DB3,IF(A4&lt;'Données projet'!$A$140,$CQ$205^A4,IF(A4='Données projet'!$A$140,'Données projet'!$B$140,CT3+CS4-DB3)))</f>
        <v>1.4269435884576509</v>
      </c>
      <c r="CU4" s="17">
        <f>CT4*VLOOKUP('Données projet'!$B$13,Paramètres!$A$1:$I$89,3,0)*VLOOKUP('Données projet'!$B$13,Paramètres!$A$1:$I$89,5,0)</f>
        <v>1.246577918876604</v>
      </c>
      <c r="CV4" s="13">
        <f>EXP(-1.0587+0.8836*LN(CU4)+0.284)</f>
        <v>0.55992486380829476</v>
      </c>
      <c r="CW4" s="20">
        <f t="shared" ref="CW4:CW67" si="13">(CU4+CV4)*0.475*44/12</f>
        <v>3.1463256798428652</v>
      </c>
      <c r="CX4" s="59">
        <f t="shared" ref="CX4:CX67" si="14">CW4+(CO4+CP4)*44/12</f>
        <v>261.0352145687317</v>
      </c>
      <c r="CY4" s="59">
        <f ca="1">AVERAGE(OFFSET($CX$3,0,0,'Données projet'!$E$13+1,1))-AVERAGE(OFFSET($H$3,0,0,'Données projet'!$E$13+1,1))</f>
        <v>381.72225529388083</v>
      </c>
      <c r="CZ4" s="59">
        <f>$CZ$3</f>
        <v>360.05900046417361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4.0628205128205126</v>
      </c>
      <c r="DO4" s="12">
        <f>IF('Données projet'!$A$166&gt;35,DO3+DN4-DW3,IF(A4&lt;'Données projet'!$A$166,$DL$205^A4,IF(A4='Données projet'!$A$166,'Données projet'!$B$166,DO3+DN4-DW3)))</f>
        <v>1.1736311550444201</v>
      </c>
      <c r="DP4" s="17">
        <f>DO4*VLOOKUP('Données projet'!$B$14,Paramètres!$A$1:$I$89,3,0)*VLOOKUP('Données projet'!$B$14,Paramètres!$A$1:$I$89,5,0)</f>
        <v>1.1351360531589632</v>
      </c>
      <c r="DQ4" s="13">
        <f>EXP(-1.0587+0.8836*LN(DP4)+0.284)</f>
        <v>0.51545695611720688</v>
      </c>
      <c r="DR4" s="20">
        <f t="shared" ref="DR4:DR67" si="16">(DP4+DQ4)*0.475*44/12</f>
        <v>2.8747828244893294</v>
      </c>
      <c r="DS4" s="59">
        <f t="shared" ref="DS4:DS67" si="17">DR4+(DJ4+DK4)*44/12</f>
        <v>260.76367171337819</v>
      </c>
      <c r="DT4" s="59">
        <f ca="1">AVERAGE(OFFSET($DS$3,0,0,'Données projet'!$E$14+1,1))-AVERAGE(OFFSET($H$3,0,0,'Données projet'!$E$14+1,1))</f>
        <v>407.73540492005355</v>
      </c>
      <c r="DU4" s="59">
        <f>$DU$3</f>
        <v>296.29416764204774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2.6666666666666665</v>
      </c>
      <c r="EJ4" s="12">
        <f>IF('Données projet'!$A$192&gt;35,EJ3+EI4-ER3,IF(A4&lt;'Données projet'!$A$192,$EG$205^A4,IF(A4='Données projet'!$A$192,'Données projet'!$B$192,EJ3+EI4-ER3)))</f>
        <v>1.2788040393997409</v>
      </c>
      <c r="EK4" s="17">
        <f>EJ4*VLOOKUP('Données projet'!$B$15,Paramètres!$A$1:$I$89,3,0)*VLOOKUP('Données projet'!$B$15,Paramètres!$A$1:$I$89,5,0)</f>
        <v>0.99746715073179792</v>
      </c>
      <c r="EL4" s="13">
        <f>EXP(-1.0587+0.8836*LN(EK4)+0.284)</f>
        <v>0.45981048445793882</v>
      </c>
      <c r="EM4" s="20">
        <f t="shared" ref="EM4:EM67" si="19">(EK4+EL4)*0.475*44/12</f>
        <v>2.5380918812887914</v>
      </c>
      <c r="EN4" s="59">
        <f t="shared" ref="EN4:EN67" si="20">EM4+(EE4+EF4)*44/12</f>
        <v>260.42698077017764</v>
      </c>
      <c r="EO4" s="59">
        <f ca="1">AVERAGE(OFFSET($EN$3,0,0,'Données projet'!$E$15+1,1))-AVERAGE(OFFSET($H$3,0,0,'Données projet'!$E$15+1,1))</f>
        <v>288.80569134263209</v>
      </c>
      <c r="EP4" s="59">
        <f>$EP$3</f>
        <v>283.48738729114024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262.25671355404057</v>
      </c>
      <c r="S5" s="59">
        <f ca="1">AVERAGE(OFFSET($R$3,0,0,'Données projet'!$E$9+1,1))-AVERAGE(OFFSET($H$3,0,0,'Données projet'!$E$9+1,1))</f>
        <v>384.05928630855732</v>
      </c>
      <c r="T5" s="59">
        <f t="shared" ref="T5:T68" si="34">$T$3</f>
        <v>279.93992813630513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3.9732905982905979</v>
      </c>
      <c r="AI5" s="13">
        <f>IF('Données projet'!$A$62&gt;35,AI4+AH5-AQ4,IF(A5&lt;'Données projet'!$A$62,$AF$205^A5,IF(A5='Données projet'!$A$62,'Données projet'!$B$62,AI4+AH5-AQ4)))</f>
        <v>1.3753654348494182</v>
      </c>
      <c r="AJ5" s="13">
        <f>AI5*VLOOKUP('Données projet'!$B$10,Paramètres!$A$1:$I$89,3,0)*VLOOKUP('Données projet'!$B$10,Paramètres!$A$1:$I$89,5,0)</f>
        <v>1.15860784231715</v>
      </c>
      <c r="AK5" s="13">
        <f t="shared" ref="AK5:AK68" si="35">EXP(-1.0587+0.8836*LN(AJ5)+0.284)</f>
        <v>0.52486344214026859</v>
      </c>
      <c r="AL5" s="20">
        <f t="shared" si="4"/>
        <v>2.9320458204300039</v>
      </c>
      <c r="AM5" s="59">
        <f t="shared" si="5"/>
        <v>262.04315693154115</v>
      </c>
      <c r="AN5" s="59">
        <f ca="1">AVERAGE(OFFSET($AM$3,0,0,'Données projet'!$E$10+1,1))-AVERAGE(OFFSET($H$3,0,0,'Données projet'!$E$10+1,1))</f>
        <v>312.48716825299158</v>
      </c>
      <c r="AO5" s="59">
        <f t="shared" ref="AO5:AO68" si="36">$AO$3</f>
        <v>258.68277822755357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1.3212140289489287</v>
      </c>
      <c r="BF5" s="13">
        <f t="shared" ref="BF5:BF68" si="37">EXP(-1.0587+0.8836*LN(BE5)+0.284)</f>
        <v>0.58944591680017422</v>
      </c>
      <c r="BG5" s="20">
        <f t="shared" si="7"/>
        <v>3.327732738846354</v>
      </c>
      <c r="BH5" s="59">
        <f t="shared" si="8"/>
        <v>262.43884384995749</v>
      </c>
      <c r="BI5" s="59">
        <f ca="1">AVERAGE(OFFSET($BH$3,0,0,'Données projet'!$E$11+1,1))-AVERAGE(OFFSET($H$3,0,0,'Données projet'!$E$11+1,1))</f>
        <v>376.58419691967526</v>
      </c>
      <c r="BJ5" s="59">
        <f t="shared" ref="BJ5:BJ68" si="38">$BJ$3</f>
        <v>365.76175372075869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1.4336577760935185</v>
      </c>
      <c r="CA5" s="13">
        <f t="shared" ref="CA5:CA68" si="39">EXP(-1.0587+0.8836*LN(BZ5)+0.284)</f>
        <v>0.63355934907379652</v>
      </c>
      <c r="CB5" s="20">
        <f t="shared" si="10"/>
        <v>3.6004031596664068</v>
      </c>
      <c r="CC5" s="59">
        <f t="shared" si="11"/>
        <v>262.71151427077757</v>
      </c>
      <c r="CD5" s="59">
        <f ca="1">AVERAGE(OFFSET($CC$3,0,0,'Données projet'!$E$12+1,1))-AVERAGE(OFFSET($H$3,0,0,'Données projet'!$E$12+1,1))</f>
        <v>405.40026823646758</v>
      </c>
      <c r="CE5" s="59">
        <f t="shared" ref="CE5:CE68" si="40">$CE$3</f>
        <v>393.0787141050053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3.5</v>
      </c>
      <c r="CT5" s="12">
        <f>IF('Données projet'!$A$140&gt;35,CT4+CS5-DB4,IF(A5&lt;'Données projet'!$A$140,$CQ$205^A5,IF(A5='Données projet'!$A$140,'Données projet'!$B$140,CT4+CS5-DB4)))</f>
        <v>2.0361680046403978</v>
      </c>
      <c r="CU5" s="17">
        <f>CT5*VLOOKUP('Données projet'!$B$13,Paramètres!$A$1:$I$89,3,0)*VLOOKUP('Données projet'!$B$13,Paramètres!$A$1:$I$89,5,0)</f>
        <v>1.7787963688538517</v>
      </c>
      <c r="CV5" s="13">
        <f t="shared" ref="CV5:CV68" si="41">EXP(-1.0587+0.8836*LN(CU5)+0.284)</f>
        <v>0.76659080447596062</v>
      </c>
      <c r="CW5" s="20">
        <f t="shared" si="13"/>
        <v>4.4332159935494238</v>
      </c>
      <c r="CX5" s="59">
        <f t="shared" si="14"/>
        <v>263.54432710466057</v>
      </c>
      <c r="CY5" s="59">
        <f ca="1">AVERAGE(OFFSET($CX$3,0,0,'Données projet'!$E$13+1,1))-AVERAGE(OFFSET($H$3,0,0,'Données projet'!$E$13+1,1))</f>
        <v>381.72225529388083</v>
      </c>
      <c r="CZ5" s="59">
        <f t="shared" ref="CZ5:CZ68" si="42">$CZ$3</f>
        <v>360.05900046417361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4.0628205128205126</v>
      </c>
      <c r="DO5" s="12">
        <f>IF('Données projet'!$A$166&gt;35,DO4+DN5-DW4,IF(A5&lt;'Données projet'!$A$166,$DL$205^A5,IF(A5='Données projet'!$A$166,'Données projet'!$B$166,DO4+DN5-DW4)))</f>
        <v>1.3774100880908995</v>
      </c>
      <c r="DP5" s="17">
        <f>DO5*VLOOKUP('Données projet'!$B$14,Paramètres!$A$1:$I$89,3,0)*VLOOKUP('Données projet'!$B$14,Paramètres!$A$1:$I$89,5,0)</f>
        <v>1.332231037201518</v>
      </c>
      <c r="DQ5" s="13">
        <f t="shared" ref="DQ5:DQ68" si="43">EXP(-1.0587+0.8836*LN(DP5)+0.284)</f>
        <v>0.59378681903386776</v>
      </c>
      <c r="DR5" s="20">
        <f t="shared" si="16"/>
        <v>3.3544810996099632</v>
      </c>
      <c r="DS5" s="59">
        <f t="shared" si="17"/>
        <v>262.46559221072113</v>
      </c>
      <c r="DT5" s="59">
        <f ca="1">AVERAGE(OFFSET($DS$3,0,0,'Données projet'!$E$14+1,1))-AVERAGE(OFFSET($H$3,0,0,'Données projet'!$E$14+1,1))</f>
        <v>407.73540492005355</v>
      </c>
      <c r="DU5" s="59">
        <f t="shared" ref="DU5:DU68" si="44">$DU$3</f>
        <v>296.29416764204774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2.6666666666666665</v>
      </c>
      <c r="EJ5" s="12">
        <f>IF('Données projet'!$A$192&gt;35,EJ4+EI5-ER4,IF(A5&lt;'Données projet'!$A$192,$EG$205^A5,IF(A5='Données projet'!$A$192,'Données projet'!$B$192,EJ4+EI5-ER4)))</f>
        <v>1.6353397711850939</v>
      </c>
      <c r="EK5" s="17">
        <f>EJ5*VLOOKUP('Données projet'!$B$15,Paramètres!$A$1:$I$89,3,0)*VLOOKUP('Données projet'!$B$15,Paramètres!$A$1:$I$89,5,0)</f>
        <v>1.2755650215243732</v>
      </c>
      <c r="EL5" s="13">
        <f t="shared" ref="EL5:EL68" si="45">EXP(-1.0587+0.8836*LN(EK5)+0.284)</f>
        <v>0.57141400910743001</v>
      </c>
      <c r="EM5" s="20">
        <f t="shared" si="19"/>
        <v>3.2168218116837237</v>
      </c>
      <c r="EN5" s="59">
        <f t="shared" si="20"/>
        <v>262.32793292279484</v>
      </c>
      <c r="EO5" s="59">
        <f ca="1">AVERAGE(OFFSET($EN$3,0,0,'Données projet'!$E$15+1,1))-AVERAGE(OFFSET($H$3,0,0,'Données projet'!$E$15+1,1))</f>
        <v>288.80569134263209</v>
      </c>
      <c r="EP5" s="59">
        <f t="shared" ref="EP5:EP68" si="46">$EP$3</f>
        <v>283.48738729114024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264.00398298764594</v>
      </c>
      <c r="S6" s="59">
        <f ca="1">AVERAGE(OFFSET($R$3,0,0,'Données projet'!$E$9+1,1))-AVERAGE(OFFSET($H$3,0,0,'Données projet'!$E$9+1,1))</f>
        <v>384.05928630855732</v>
      </c>
      <c r="T6" s="59">
        <f t="shared" si="34"/>
        <v>279.93992813630513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3.9732905982905979</v>
      </c>
      <c r="AI6" s="13">
        <f>IF('Données projet'!$A$62&gt;35,AI5+AH6-AQ5,IF(A6&lt;'Données projet'!$A$62,$AF$205^A6,IF(A6='Données projet'!$A$62,'Données projet'!$B$62,AI5+AH6-AQ5)))</f>
        <v>1.6129732256608262</v>
      </c>
      <c r="AJ6" s="13">
        <f>AI6*VLOOKUP('Données projet'!$B$10,Paramètres!$A$1:$I$89,3,0)*VLOOKUP('Données projet'!$B$10,Paramètres!$A$1:$I$89,5,0)</f>
        <v>1.3587686452966801</v>
      </c>
      <c r="AK6" s="13">
        <f t="shared" si="35"/>
        <v>0.60422604758878284</v>
      </c>
      <c r="AL6" s="20">
        <f t="shared" si="4"/>
        <v>3.4188824234421809</v>
      </c>
      <c r="AM6" s="59">
        <f t="shared" si="5"/>
        <v>263.75221575677551</v>
      </c>
      <c r="AN6" s="59">
        <f ca="1">AVERAGE(OFFSET($AM$3,0,0,'Données projet'!$E$10+1,1))-AVERAGE(OFFSET($H$3,0,0,'Données projet'!$E$10+1,1))</f>
        <v>312.48716825299158</v>
      </c>
      <c r="AO6" s="59">
        <f t="shared" si="36"/>
        <v>258.68277822755357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1.7735708270266992</v>
      </c>
      <c r="BF6" s="13">
        <f t="shared" si="37"/>
        <v>0.76460059525341872</v>
      </c>
      <c r="BG6" s="20">
        <f t="shared" si="7"/>
        <v>4.4206485604712045</v>
      </c>
      <c r="BH6" s="59">
        <f t="shared" si="8"/>
        <v>264.75398189380451</v>
      </c>
      <c r="BI6" s="59">
        <f ca="1">AVERAGE(OFFSET($BH$3,0,0,'Données projet'!$E$11+1,1))-AVERAGE(OFFSET($H$3,0,0,'Données projet'!$E$11+1,1))</f>
        <v>376.58419691967526</v>
      </c>
      <c r="BJ6" s="59">
        <f t="shared" si="38"/>
        <v>365.76175372075869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1.9245130250715252</v>
      </c>
      <c r="CA6" s="13">
        <f t="shared" si="39"/>
        <v>0.82182239561499026</v>
      </c>
      <c r="CB6" s="20">
        <f t="shared" si="10"/>
        <v>4.7832008576956815</v>
      </c>
      <c r="CC6" s="59">
        <f t="shared" si="11"/>
        <v>265.11653419102902</v>
      </c>
      <c r="CD6" s="59">
        <f ca="1">AVERAGE(OFFSET($CC$3,0,0,'Données projet'!$E$12+1,1))-AVERAGE(OFFSET($H$3,0,0,'Données projet'!$E$12+1,1))</f>
        <v>405.40026823646758</v>
      </c>
      <c r="CE6" s="59">
        <f t="shared" si="40"/>
        <v>393.0787141050053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3.5</v>
      </c>
      <c r="CT6" s="12">
        <f>IF('Données projet'!$A$140&gt;35,CT5+CS6-DB5,IF(A6&lt;'Données projet'!$A$140,$CQ$205^A6,IF(A6='Données projet'!$A$140,'Données projet'!$B$140,CT5+CS6-DB5)))</f>
        <v>2.905496879244224</v>
      </c>
      <c r="CU6" s="17">
        <f>CT6*VLOOKUP('Données projet'!$B$13,Paramètres!$A$1:$I$89,3,0)*VLOOKUP('Données projet'!$B$13,Paramètres!$A$1:$I$89,5,0)</f>
        <v>2.5382420737077545</v>
      </c>
      <c r="CV6" s="13">
        <f t="shared" si="41"/>
        <v>1.049536285118966</v>
      </c>
      <c r="CW6" s="20">
        <f t="shared" si="13"/>
        <v>6.2487139749565381</v>
      </c>
      <c r="CX6" s="59">
        <f t="shared" si="14"/>
        <v>266.58204730828987</v>
      </c>
      <c r="CY6" s="59">
        <f ca="1">AVERAGE(OFFSET($CX$3,0,0,'Données projet'!$E$13+1,1))-AVERAGE(OFFSET($H$3,0,0,'Données projet'!$E$13+1,1))</f>
        <v>381.72225529388083</v>
      </c>
      <c r="CZ6" s="59">
        <f t="shared" si="42"/>
        <v>360.05900046417361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4.0628205128205126</v>
      </c>
      <c r="DO6" s="12">
        <f>IF('Données projet'!$A$166&gt;35,DO5+DN6-DW5,IF(A6&lt;'Données projet'!$A$166,$DL$205^A6,IF(A6='Données projet'!$A$166,'Données projet'!$B$166,DO5+DN6-DW5)))</f>
        <v>1.6165713926559588</v>
      </c>
      <c r="DP6" s="17">
        <f>DO6*VLOOKUP('Données projet'!$B$14,Paramètres!$A$1:$I$89,3,0)*VLOOKUP('Données projet'!$B$14,Paramètres!$A$1:$I$89,5,0)</f>
        <v>1.5635478509768437</v>
      </c>
      <c r="DQ6" s="13">
        <f t="shared" si="43"/>
        <v>0.68401984350791745</v>
      </c>
      <c r="DR6" s="20">
        <f t="shared" si="16"/>
        <v>3.9145137345609591</v>
      </c>
      <c r="DS6" s="59">
        <f t="shared" si="17"/>
        <v>264.24784706789427</v>
      </c>
      <c r="DT6" s="59">
        <f ca="1">AVERAGE(OFFSET($DS$3,0,0,'Données projet'!$E$14+1,1))-AVERAGE(OFFSET($H$3,0,0,'Données projet'!$E$14+1,1))</f>
        <v>407.73540492005355</v>
      </c>
      <c r="DU6" s="59">
        <f t="shared" si="44"/>
        <v>296.29416764204774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2.6666666666666665</v>
      </c>
      <c r="EJ6" s="12">
        <f>IF('Données projet'!$A$192&gt;35,EJ5+EI6-ER5,IF(A6&lt;'Données projet'!$A$192,$EG$205^A6,IF(A6='Données projet'!$A$192,'Données projet'!$B$192,EJ5+EI6-ER5)))</f>
        <v>2.0912791051825459</v>
      </c>
      <c r="EK6" s="17">
        <f>EJ6*VLOOKUP('Données projet'!$B$15,Paramètres!$A$1:$I$89,3,0)*VLOOKUP('Données projet'!$B$15,Paramètres!$A$1:$I$89,5,0)</f>
        <v>1.6311977020423858</v>
      </c>
      <c r="EL6" s="13">
        <f t="shared" si="45"/>
        <v>0.71010553443370616</v>
      </c>
      <c r="EM6" s="20">
        <f t="shared" si="19"/>
        <v>4.0777698035291934</v>
      </c>
      <c r="EN6" s="59">
        <f t="shared" si="20"/>
        <v>264.41110313686249</v>
      </c>
      <c r="EO6" s="59">
        <f ca="1">AVERAGE(OFFSET($EN$3,0,0,'Données projet'!$E$15+1,1))-AVERAGE(OFFSET($H$3,0,0,'Données projet'!$E$15+1,1))</f>
        <v>288.80569134263209</v>
      </c>
      <c r="EP6" s="59">
        <f t="shared" si="46"/>
        <v>283.48738729114024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265.83920641728366</v>
      </c>
      <c r="S7" s="59">
        <f ca="1">AVERAGE(OFFSET($R$3,0,0,'Données projet'!$E$9+1,1))-AVERAGE(OFFSET($H$3,0,0,'Données projet'!$E$9+1,1))</f>
        <v>384.05928630855732</v>
      </c>
      <c r="T7" s="59">
        <f t="shared" si="34"/>
        <v>279.93992813630513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3.9732905982905979</v>
      </c>
      <c r="AI7" s="13">
        <f>IF('Données projet'!$A$62&gt;35,AI6+AH7-AQ6,IF(A7&lt;'Données projet'!$A$62,$AF$205^A7,IF(A7='Données projet'!$A$62,'Données projet'!$B$62,AI6+AH7-AQ6)))</f>
        <v>1.8916300793785292</v>
      </c>
      <c r="AJ7" s="13">
        <f>AI7*VLOOKUP('Données projet'!$B$10,Paramètres!$A$1:$I$89,3,0)*VLOOKUP('Données projet'!$B$10,Paramètres!$A$1:$I$89,5,0)</f>
        <v>1.5935091788684732</v>
      </c>
      <c r="AK7" s="13">
        <f t="shared" si="35"/>
        <v>0.69558877085440585</v>
      </c>
      <c r="AL7" s="20">
        <f t="shared" si="4"/>
        <v>3.9868455957673476</v>
      </c>
      <c r="AM7" s="59">
        <f t="shared" si="5"/>
        <v>265.54240115132291</v>
      </c>
      <c r="AN7" s="59">
        <f ca="1">AVERAGE(OFFSET($AM$3,0,0,'Données projet'!$E$10+1,1))-AVERAGE(OFFSET($H$3,0,0,'Données projet'!$E$10+1,1))</f>
        <v>312.48716825299158</v>
      </c>
      <c r="AO7" s="59">
        <f t="shared" si="36"/>
        <v>258.68277822755357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2.3808053877406725</v>
      </c>
      <c r="BF7" s="13">
        <f t="shared" si="37"/>
        <v>0.99180273134383279</v>
      </c>
      <c r="BG7" s="20">
        <f t="shared" si="7"/>
        <v>5.8739591407388465</v>
      </c>
      <c r="BH7" s="59">
        <f t="shared" si="8"/>
        <v>267.4295146962944</v>
      </c>
      <c r="BI7" s="59">
        <f ca="1">AVERAGE(OFFSET($BH$3,0,0,'Données projet'!$E$11+1,1))-AVERAGE(OFFSET($H$3,0,0,'Données projet'!$E$11+1,1))</f>
        <v>376.58419691967526</v>
      </c>
      <c r="BJ7" s="59">
        <f t="shared" si="38"/>
        <v>365.76175372075869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2.5834271228675387</v>
      </c>
      <c r="CA7" s="13">
        <f t="shared" si="39"/>
        <v>1.066028069701316</v>
      </c>
      <c r="CB7" s="20">
        <f t="shared" si="10"/>
        <v>6.3561344603907548</v>
      </c>
      <c r="CC7" s="59">
        <f t="shared" si="11"/>
        <v>267.91169001594631</v>
      </c>
      <c r="CD7" s="59">
        <f ca="1">AVERAGE(OFFSET($CC$3,0,0,'Données projet'!$E$12+1,1))-AVERAGE(OFFSET($H$3,0,0,'Données projet'!$E$12+1,1))</f>
        <v>405.40026823646758</v>
      </c>
      <c r="CE7" s="59">
        <f t="shared" si="40"/>
        <v>393.0787141050053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3.5</v>
      </c>
      <c r="CT7" s="12">
        <f>IF('Données projet'!$A$140&gt;35,CT6+CS7-DB6,IF(A7&lt;'Données projet'!$A$140,$CQ$205^A7,IF(A7='Données projet'!$A$140,'Données projet'!$B$140,CT6+CS7-DB6)))</f>
        <v>4.1459801431212595</v>
      </c>
      <c r="CU7" s="17">
        <f>CT7*VLOOKUP('Données projet'!$B$13,Paramètres!$A$1:$I$89,3,0)*VLOOKUP('Données projet'!$B$13,Paramètres!$A$1:$I$89,5,0)</f>
        <v>3.6219282530307328</v>
      </c>
      <c r="CV7" s="13">
        <f t="shared" si="41"/>
        <v>1.4369157669903438</v>
      </c>
      <c r="CW7" s="20">
        <f t="shared" si="13"/>
        <v>8.8108200015367082</v>
      </c>
      <c r="CX7" s="59">
        <f t="shared" si="14"/>
        <v>270.36637555709223</v>
      </c>
      <c r="CY7" s="59">
        <f ca="1">AVERAGE(OFFSET($CX$3,0,0,'Données projet'!$E$13+1,1))-AVERAGE(OFFSET($H$3,0,0,'Données projet'!$E$13+1,1))</f>
        <v>381.72225529388083</v>
      </c>
      <c r="CZ7" s="59">
        <f t="shared" si="42"/>
        <v>360.05900046417361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4.0628205128205126</v>
      </c>
      <c r="DO7" s="12">
        <f>IF('Données projet'!$A$166&gt;35,DO6+DN7-DW6,IF(A7&lt;'Données projet'!$A$166,$DL$205^A7,IF(A7='Données projet'!$A$166,'Données projet'!$B$166,DO6+DN7-DW6)))</f>
        <v>1.8972585507745794</v>
      </c>
      <c r="DP7" s="17">
        <f>DO7*VLOOKUP('Données projet'!$B$14,Paramètres!$A$1:$I$89,3,0)*VLOOKUP('Données projet'!$B$14,Paramètres!$A$1:$I$89,5,0)</f>
        <v>1.835028470309173</v>
      </c>
      <c r="DQ7" s="13">
        <f t="shared" si="43"/>
        <v>0.78796485761316459</v>
      </c>
      <c r="DR7" s="20">
        <f t="shared" si="16"/>
        <v>4.5683800461314039</v>
      </c>
      <c r="DS7" s="59">
        <f t="shared" si="17"/>
        <v>266.12393560168692</v>
      </c>
      <c r="DT7" s="59">
        <f ca="1">AVERAGE(OFFSET($DS$3,0,0,'Données projet'!$E$14+1,1))-AVERAGE(OFFSET($H$3,0,0,'Données projet'!$E$14+1,1))</f>
        <v>407.73540492005355</v>
      </c>
      <c r="DU7" s="59">
        <f t="shared" si="44"/>
        <v>296.29416764204774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2.6666666666666665</v>
      </c>
      <c r="EJ7" s="12">
        <f>IF('Données projet'!$A$192&gt;35,EJ6+EI7-ER6,IF(A7&lt;'Données projet'!$A$192,$EG$205^A7,IF(A7='Données projet'!$A$192,'Données projet'!$B$192,EJ6+EI7-ER6)))</f>
        <v>2.6743361672197152</v>
      </c>
      <c r="EK7" s="17">
        <f>EJ7*VLOOKUP('Données projet'!$B$15,Paramètres!$A$1:$I$89,3,0)*VLOOKUP('Données projet'!$B$15,Paramètres!$A$1:$I$89,5,0)</f>
        <v>2.0859822104313781</v>
      </c>
      <c r="EL7" s="13">
        <f t="shared" si="45"/>
        <v>0.88245976121767966</v>
      </c>
      <c r="EM7" s="20">
        <f t="shared" si="19"/>
        <v>5.1700364339554419</v>
      </c>
      <c r="EN7" s="59">
        <f t="shared" si="20"/>
        <v>266.72559198951097</v>
      </c>
      <c r="EO7" s="59">
        <f ca="1">AVERAGE(OFFSET($EN$3,0,0,'Données projet'!$E$15+1,1))-AVERAGE(OFFSET($H$3,0,0,'Données projet'!$E$15+1,1))</f>
        <v>288.80569134263209</v>
      </c>
      <c r="EP7" s="59">
        <f t="shared" si="46"/>
        <v>283.48738729114024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267.77716751414522</v>
      </c>
      <c r="S8" s="59">
        <f ca="1">AVERAGE(OFFSET($R$3,0,0,'Données projet'!$E$9+1,1))-AVERAGE(OFFSET($H$3,0,0,'Données projet'!$E$9+1,1))</f>
        <v>384.05928630855732</v>
      </c>
      <c r="T8" s="59">
        <f t="shared" si="34"/>
        <v>279.93992813630513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3.9732905982905979</v>
      </c>
      <c r="AI8" s="13">
        <f>IF('Données projet'!$A$62&gt;35,AI7+AH8-AQ7,IF(A8&lt;'Données projet'!$A$62,$AF$205^A8,IF(A8='Données projet'!$A$62,'Données projet'!$B$62,AI7+AH8-AQ7)))</f>
        <v>2.2184276219114709</v>
      </c>
      <c r="AJ8" s="13">
        <f>AI8*VLOOKUP('Données projet'!$B$10,Paramètres!$A$1:$I$89,3,0)*VLOOKUP('Données projet'!$B$10,Paramètres!$A$1:$I$89,5,0)</f>
        <v>1.8688034286982234</v>
      </c>
      <c r="AK8" s="13">
        <f t="shared" si="35"/>
        <v>0.80076610412537519</v>
      </c>
      <c r="AL8" s="20">
        <f t="shared" si="4"/>
        <v>4.6495002696677679</v>
      </c>
      <c r="AM8" s="59">
        <f t="shared" si="5"/>
        <v>267.42727804744555</v>
      </c>
      <c r="AN8" s="59">
        <f ca="1">AVERAGE(OFFSET($AM$3,0,0,'Données projet'!$E$10+1,1))-AVERAGE(OFFSET($H$3,0,0,'Données projet'!$E$10+1,1))</f>
        <v>312.48716825299158</v>
      </c>
      <c r="AO8" s="59">
        <f t="shared" si="36"/>
        <v>258.68277822755357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3.1959447054040226</v>
      </c>
      <c r="BF8" s="13">
        <f t="shared" si="37"/>
        <v>1.2865182998910156</v>
      </c>
      <c r="BG8" s="20">
        <f t="shared" si="7"/>
        <v>7.8069564008888577</v>
      </c>
      <c r="BH8" s="59">
        <f t="shared" si="8"/>
        <v>270.58473417866662</v>
      </c>
      <c r="BI8" s="59">
        <f ca="1">AVERAGE(OFFSET($BH$3,0,0,'Données projet'!$E$11+1,1))-AVERAGE(OFFSET($H$3,0,0,'Données projet'!$E$11+1,1))</f>
        <v>376.58419691967526</v>
      </c>
      <c r="BJ8" s="59">
        <f t="shared" si="38"/>
        <v>365.76175372075869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3.467939999480961</v>
      </c>
      <c r="CA8" s="13">
        <f t="shared" si="39"/>
        <v>1.382799801337496</v>
      </c>
      <c r="CB8" s="20">
        <f t="shared" si="10"/>
        <v>8.4483718197588118</v>
      </c>
      <c r="CC8" s="59">
        <f t="shared" si="11"/>
        <v>271.22614959753656</v>
      </c>
      <c r="CD8" s="59">
        <f ca="1">AVERAGE(OFFSET($CC$3,0,0,'Données projet'!$E$12+1,1))-AVERAGE(OFFSET($H$3,0,0,'Données projet'!$E$12+1,1))</f>
        <v>405.40026823646758</v>
      </c>
      <c r="CE8" s="59">
        <f t="shared" si="40"/>
        <v>393.0787141050053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3.5</v>
      </c>
      <c r="CT8" s="12">
        <f>IF('Données projet'!$A$140&gt;35,CT7+CS8-DB7,IF(A8&lt;'Données projet'!$A$140,$CQ$205^A8,IF(A8='Données projet'!$A$140,'Données projet'!$B$140,CT7+CS8-DB7)))</f>
        <v>5.9160797830996152</v>
      </c>
      <c r="CU8" s="17">
        <f>CT8*VLOOKUP('Données projet'!$B$13,Paramètres!$A$1:$I$89,3,0)*VLOOKUP('Données projet'!$B$13,Paramètres!$A$1:$I$89,5,0)</f>
        <v>5.1682872985158239</v>
      </c>
      <c r="CV8" s="13">
        <f t="shared" si="41"/>
        <v>1.967275406006004</v>
      </c>
      <c r="CW8" s="20">
        <f t="shared" si="13"/>
        <v>12.427771710375517</v>
      </c>
      <c r="CX8" s="59">
        <f t="shared" si="14"/>
        <v>275.20554948815328</v>
      </c>
      <c r="CY8" s="59">
        <f ca="1">AVERAGE(OFFSET($CX$3,0,0,'Données projet'!$E$13+1,1))-AVERAGE(OFFSET($H$3,0,0,'Données projet'!$E$13+1,1))</f>
        <v>381.72225529388083</v>
      </c>
      <c r="CZ8" s="59">
        <f t="shared" si="42"/>
        <v>360.05900046417361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4.0628205128205126</v>
      </c>
      <c r="DO8" s="12">
        <f>IF('Données projet'!$A$166&gt;35,DO7+DN8-DW7,IF(A8&lt;'Données projet'!$A$166,$DL$205^A8,IF(A8='Données projet'!$A$166,'Données projet'!$B$166,DO7+DN8-DW7)))</f>
        <v>2.2266817443634719</v>
      </c>
      <c r="DP8" s="17">
        <f>DO8*VLOOKUP('Données projet'!$B$14,Paramètres!$A$1:$I$89,3,0)*VLOOKUP('Données projet'!$B$14,Paramètres!$A$1:$I$89,5,0)</f>
        <v>2.1536465831483502</v>
      </c>
      <c r="DQ8" s="13">
        <f t="shared" si="43"/>
        <v>0.90770556253043633</v>
      </c>
      <c r="DR8" s="20">
        <f t="shared" si="16"/>
        <v>5.3318549870572198</v>
      </c>
      <c r="DS8" s="59">
        <f t="shared" si="17"/>
        <v>268.109632764835</v>
      </c>
      <c r="DT8" s="59">
        <f ca="1">AVERAGE(OFFSET($DS$3,0,0,'Données projet'!$E$14+1,1))-AVERAGE(OFFSET($H$3,0,0,'Données projet'!$E$14+1,1))</f>
        <v>407.73540492005355</v>
      </c>
      <c r="DU8" s="59">
        <f t="shared" si="44"/>
        <v>296.29416764204774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2.6666666666666665</v>
      </c>
      <c r="EJ8" s="12">
        <f>IF('Données projet'!$A$192&gt;35,EJ7+EI8-ER7,IF(A8&lt;'Données projet'!$A$192,$EG$205^A8,IF(A8='Données projet'!$A$192,'Données projet'!$B$192,EJ7+EI8-ER7)))</f>
        <v>3.4199518933533928</v>
      </c>
      <c r="EK8" s="17">
        <f>EJ8*VLOOKUP('Données projet'!$B$15,Paramètres!$A$1:$I$89,3,0)*VLOOKUP('Données projet'!$B$15,Paramètres!$A$1:$I$89,5,0)</f>
        <v>2.6675624768156463</v>
      </c>
      <c r="EL8" s="13">
        <f t="shared" si="45"/>
        <v>1.0966471776471767</v>
      </c>
      <c r="EM8" s="20">
        <f t="shared" si="19"/>
        <v>6.5559984815227494</v>
      </c>
      <c r="EN8" s="59">
        <f t="shared" si="20"/>
        <v>269.33377625930052</v>
      </c>
      <c r="EO8" s="59">
        <f ca="1">AVERAGE(OFFSET($EN$3,0,0,'Données projet'!$E$15+1,1))-AVERAGE(OFFSET($H$3,0,0,'Données projet'!$E$15+1,1))</f>
        <v>288.80569134263209</v>
      </c>
      <c r="EP8" s="59">
        <f t="shared" si="46"/>
        <v>283.48738729114024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269.83514271569811</v>
      </c>
      <c r="S9" s="59">
        <f ca="1">AVERAGE(OFFSET($R$3,0,0,'Données projet'!$E$9+1,1))-AVERAGE(OFFSET($H$3,0,0,'Données projet'!$E$9+1,1))</f>
        <v>384.05928630855732</v>
      </c>
      <c r="T9" s="59">
        <f t="shared" si="34"/>
        <v>279.93992813630513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3.9732905982905979</v>
      </c>
      <c r="AI9" s="13">
        <f>IF('Données projet'!$A$62&gt;35,AI8+AH9-AQ8,IF(A9&lt;'Données projet'!$A$62,$AF$205^A9,IF(A9='Données projet'!$A$62,'Données projet'!$B$62,AI8+AH9-AQ8)))</f>
        <v>2.6016826266986901</v>
      </c>
      <c r="AJ9" s="13">
        <f>AI9*VLOOKUP('Données projet'!$B$10,Paramètres!$A$1:$I$89,3,0)*VLOOKUP('Données projet'!$B$10,Paramètres!$A$1:$I$89,5,0)</f>
        <v>2.1916574447309767</v>
      </c>
      <c r="AK9" s="13">
        <f t="shared" si="35"/>
        <v>0.92184690205464315</v>
      </c>
      <c r="AL9" s="20">
        <f t="shared" si="4"/>
        <v>5.422686737318287</v>
      </c>
      <c r="AM9" s="59">
        <f t="shared" si="5"/>
        <v>269.42268673731826</v>
      </c>
      <c r="AN9" s="59">
        <f ca="1">AVERAGE(OFFSET($AM$3,0,0,'Données projet'!$E$10+1,1))-AVERAGE(OFFSET($H$3,0,0,'Données projet'!$E$10+1,1))</f>
        <v>312.48716825299158</v>
      </c>
      <c r="AO9" s="59">
        <f t="shared" si="36"/>
        <v>258.68277822755357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4.290171138134439</v>
      </c>
      <c r="BF9" s="13">
        <f t="shared" si="37"/>
        <v>1.6688090117596963</v>
      </c>
      <c r="BG9" s="20">
        <f t="shared" si="7"/>
        <v>10.378557094398952</v>
      </c>
      <c r="BH9" s="59">
        <f t="shared" si="8"/>
        <v>274.37855709439896</v>
      </c>
      <c r="BI9" s="59">
        <f ca="1">AVERAGE(OFFSET($BH$3,0,0,'Données projet'!$E$11+1,1))-AVERAGE(OFFSET($H$3,0,0,'Données projet'!$E$11+1,1))</f>
        <v>376.58419691967526</v>
      </c>
      <c r="BJ9" s="59">
        <f t="shared" si="38"/>
        <v>365.76175372075869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4.6552920860607747</v>
      </c>
      <c r="CA9" s="13">
        <f t="shared" si="39"/>
        <v>1.7937006960002178</v>
      </c>
      <c r="CB9" s="20">
        <f t="shared" si="10"/>
        <v>11.231995762089561</v>
      </c>
      <c r="CC9" s="59">
        <f t="shared" si="11"/>
        <v>275.23199576208958</v>
      </c>
      <c r="CD9" s="59">
        <f ca="1">AVERAGE(OFFSET($CC$3,0,0,'Données projet'!$E$12+1,1))-AVERAGE(OFFSET($H$3,0,0,'Données projet'!$E$12+1,1))</f>
        <v>405.40026823646758</v>
      </c>
      <c r="CE9" s="59">
        <f t="shared" si="40"/>
        <v>393.0787141050053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3.5</v>
      </c>
      <c r="CT9" s="12">
        <f>IF('Données projet'!$A$140&gt;35,CT8+CS9-DB8,IF(A9&lt;'Données projet'!$A$140,$CQ$205^A9,IF(A9='Données projet'!$A$140,'Données projet'!$B$140,CT8+CS9-DB8)))</f>
        <v>8.4419121152979262</v>
      </c>
      <c r="CU9" s="17">
        <f>CT9*VLOOKUP('Données projet'!$B$13,Paramètres!$A$1:$I$89,3,0)*VLOOKUP('Données projet'!$B$13,Paramètres!$A$1:$I$89,5,0)</f>
        <v>7.3748544239242699</v>
      </c>
      <c r="CV9" s="13">
        <f t="shared" si="41"/>
        <v>2.6933885840659002</v>
      </c>
      <c r="CW9" s="20">
        <f t="shared" si="13"/>
        <v>17.535523238916209</v>
      </c>
      <c r="CX9" s="59">
        <f t="shared" si="14"/>
        <v>281.5355232389162</v>
      </c>
      <c r="CY9" s="59">
        <f ca="1">AVERAGE(OFFSET($CX$3,0,0,'Données projet'!$E$13+1,1))-AVERAGE(OFFSET($H$3,0,0,'Données projet'!$E$13+1,1))</f>
        <v>381.72225529388083</v>
      </c>
      <c r="CZ9" s="59">
        <f t="shared" si="42"/>
        <v>360.05900046417361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4.0628205128205126</v>
      </c>
      <c r="DO9" s="12">
        <f>IF('Données projet'!$A$166&gt;35,DO8+DN9-DW8,IF(A9&lt;'Données projet'!$A$166,$DL$205^A9,IF(A9='Données projet'!$A$166,'Données projet'!$B$166,DO8+DN9-DW8)))</f>
        <v>2.6133030675536255</v>
      </c>
      <c r="DP9" s="17">
        <f>DO9*VLOOKUP('Données projet'!$B$14,Paramètres!$A$1:$I$89,3,0)*VLOOKUP('Données projet'!$B$14,Paramètres!$A$1:$I$89,5,0)</f>
        <v>2.5275867269378667</v>
      </c>
      <c r="DQ9" s="13">
        <f t="shared" si="43"/>
        <v>1.0456423028109039</v>
      </c>
      <c r="DR9" s="20">
        <f t="shared" si="16"/>
        <v>6.223373893479109</v>
      </c>
      <c r="DS9" s="59">
        <f t="shared" si="17"/>
        <v>270.22337389347911</v>
      </c>
      <c r="DT9" s="59">
        <f ca="1">AVERAGE(OFFSET($DS$3,0,0,'Données projet'!$E$14+1,1))-AVERAGE(OFFSET($H$3,0,0,'Données projet'!$E$14+1,1))</f>
        <v>407.73540492005355</v>
      </c>
      <c r="DU9" s="59">
        <f t="shared" si="44"/>
        <v>296.29416764204774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2.6666666666666665</v>
      </c>
      <c r="EJ9" s="12">
        <f>IF('Données projet'!$A$192&gt;35,EJ8+EI9-ER8,IF(A9&lt;'Données projet'!$A$192,$EG$205^A9,IF(A9='Données projet'!$A$192,'Données projet'!$B$192,EJ8+EI9-ER8)))</f>
        <v>4.3734482957731098</v>
      </c>
      <c r="EK9" s="17">
        <f>EJ9*VLOOKUP('Données projet'!$B$15,Paramètres!$A$1:$I$89,3,0)*VLOOKUP('Données projet'!$B$15,Paramètres!$A$1:$I$89,5,0)</f>
        <v>3.4112896707030256</v>
      </c>
      <c r="EL9" s="13">
        <f t="shared" si="45"/>
        <v>1.3628213830192535</v>
      </c>
      <c r="EM9" s="20">
        <f t="shared" si="19"/>
        <v>8.3149100852329703</v>
      </c>
      <c r="EN9" s="59">
        <f t="shared" si="20"/>
        <v>272.31491008523295</v>
      </c>
      <c r="EO9" s="59">
        <f ca="1">AVERAGE(OFFSET($EN$3,0,0,'Données projet'!$E$15+1,1))-AVERAGE(OFFSET($H$3,0,0,'Données projet'!$E$15+1,1))</f>
        <v>288.80569134263209</v>
      </c>
      <c r="EP9" s="59">
        <f t="shared" si="46"/>
        <v>283.48738729114024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272.03332278116835</v>
      </c>
      <c r="S10" s="59">
        <f ca="1">AVERAGE(OFFSET($R$3,0,0,'Données projet'!$E$9+1,1))-AVERAGE(OFFSET($H$3,0,0,'Données projet'!$E$9+1,1))</f>
        <v>384.05928630855732</v>
      </c>
      <c r="T10" s="59">
        <f t="shared" si="34"/>
        <v>279.93992813630513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3.9732905982905979</v>
      </c>
      <c r="AI10" s="13">
        <f>IF('Données projet'!$A$62&gt;35,AI9+AH10-AQ9,IF(A10&lt;'Données projet'!$A$62,$AF$205^A10,IF(A10='Données projet'!$A$62,'Données projet'!$B$62,AI9+AH10-AQ9)))</f>
        <v>3.0511486708922311</v>
      </c>
      <c r="AJ10" s="13">
        <f>AI10*VLOOKUP('Données projet'!$B$10,Paramètres!$A$1:$I$89,3,0)*VLOOKUP('Données projet'!$B$10,Paramètres!$A$1:$I$89,5,0)</f>
        <v>2.5702876403596155</v>
      </c>
      <c r="AK10" s="13">
        <f t="shared" si="35"/>
        <v>1.0612358670649857</v>
      </c>
      <c r="AL10" s="20">
        <f t="shared" si="4"/>
        <v>6.324903442097848</v>
      </c>
      <c r="AM10" s="59">
        <f t="shared" si="5"/>
        <v>271.54712566432005</v>
      </c>
      <c r="AN10" s="59">
        <f ca="1">AVERAGE(OFFSET($AM$3,0,0,'Données projet'!$E$10+1,1))-AVERAGE(OFFSET($H$3,0,0,'Données projet'!$E$10+1,1))</f>
        <v>312.48716825299158</v>
      </c>
      <c r="AO10" s="59">
        <f t="shared" si="36"/>
        <v>258.68277822755357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5.7590384349766044</v>
      </c>
      <c r="BF10" s="13">
        <f t="shared" si="37"/>
        <v>2.1646979432521807</v>
      </c>
      <c r="BG10" s="20">
        <f t="shared" si="7"/>
        <v>13.800507525415135</v>
      </c>
      <c r="BH10" s="59">
        <f t="shared" si="8"/>
        <v>279.02272974763736</v>
      </c>
      <c r="BI10" s="59">
        <f ca="1">AVERAGE(OFFSET($BH$3,0,0,'Données projet'!$E$11+1,1))-AVERAGE(OFFSET($H$3,0,0,'Données projet'!$E$11+1,1))</f>
        <v>376.58419691967526</v>
      </c>
      <c r="BJ10" s="59">
        <f t="shared" si="38"/>
        <v>365.76175372075869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6.2491693656129108</v>
      </c>
      <c r="CA10" s="13">
        <f t="shared" si="39"/>
        <v>2.326701366112224</v>
      </c>
      <c r="CB10" s="20">
        <f t="shared" si="10"/>
        <v>14.936308191087944</v>
      </c>
      <c r="CC10" s="59">
        <f t="shared" si="11"/>
        <v>280.15853041331019</v>
      </c>
      <c r="CD10" s="59">
        <f ca="1">AVERAGE(OFFSET($CC$3,0,0,'Données projet'!$E$12+1,1))-AVERAGE(OFFSET($H$3,0,0,'Données projet'!$E$12+1,1))</f>
        <v>405.40026823646758</v>
      </c>
      <c r="CE10" s="59">
        <f t="shared" si="40"/>
        <v>393.0787141050053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3.5</v>
      </c>
      <c r="CT10" s="12">
        <f>IF('Données projet'!$A$140&gt;35,CT9+CS10-DB9,IF(A10&lt;'Données projet'!$A$140,$CQ$205^A10,IF(A10='Données projet'!$A$140,'Données projet'!$B$140,CT9+CS10-DB9)))</f>
        <v>12.04613236724734</v>
      </c>
      <c r="CU10" s="17">
        <f>CT10*VLOOKUP('Données projet'!$B$13,Paramètres!$A$1:$I$89,3,0)*VLOOKUP('Données projet'!$B$13,Paramètres!$A$1:$I$89,5,0)</f>
        <v>10.523501236027279</v>
      </c>
      <c r="CV10" s="13">
        <f t="shared" si="41"/>
        <v>3.6875071190486755</v>
      </c>
      <c r="CW10" s="20">
        <f t="shared" si="13"/>
        <v>24.750839551757284</v>
      </c>
      <c r="CX10" s="59">
        <f t="shared" si="14"/>
        <v>289.97306177397951</v>
      </c>
      <c r="CY10" s="59">
        <f ca="1">AVERAGE(OFFSET($CX$3,0,0,'Données projet'!$E$13+1,1))-AVERAGE(OFFSET($H$3,0,0,'Données projet'!$E$13+1,1))</f>
        <v>381.72225529388083</v>
      </c>
      <c r="CZ10" s="59">
        <f t="shared" si="42"/>
        <v>360.05900046417361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4.0628205128205126</v>
      </c>
      <c r="DO10" s="12">
        <f>IF('Données projet'!$A$166&gt;35,DO9+DN10-DW9,IF(A10&lt;'Données projet'!$A$166,$DL$205^A10,IF(A10='Données projet'!$A$166,'Données projet'!$B$166,DO9+DN10-DW9)))</f>
        <v>3.067053897654088</v>
      </c>
      <c r="DP10" s="17">
        <f>DO10*VLOOKUP('Données projet'!$B$14,Paramètres!$A$1:$I$89,3,0)*VLOOKUP('Données projet'!$B$14,Paramètres!$A$1:$I$89,5,0)</f>
        <v>2.9664545298110339</v>
      </c>
      <c r="DQ10" s="13">
        <f t="shared" si="43"/>
        <v>1.2045401841316012</v>
      </c>
      <c r="DR10" s="20">
        <f t="shared" si="16"/>
        <v>7.2644824601167564</v>
      </c>
      <c r="DS10" s="59">
        <f t="shared" si="17"/>
        <v>272.486704682339</v>
      </c>
      <c r="DT10" s="59">
        <f ca="1">AVERAGE(OFFSET($DS$3,0,0,'Données projet'!$E$14+1,1))-AVERAGE(OFFSET($H$3,0,0,'Données projet'!$E$14+1,1))</f>
        <v>407.73540492005355</v>
      </c>
      <c r="DU10" s="59">
        <f t="shared" si="44"/>
        <v>296.29416764204774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2.6666666666666665</v>
      </c>
      <c r="EJ10" s="12">
        <f>IF('Données projet'!$A$192&gt;35,EJ9+EI10-ER9,IF(A10&lt;'Données projet'!$A$192,$EG$205^A10,IF(A10='Données projet'!$A$192,'Données projet'!$B$192,EJ9+EI10-ER9)))</f>
        <v>5.5927833467405659</v>
      </c>
      <c r="EK10" s="17">
        <f>EJ10*VLOOKUP('Données projet'!$B$15,Paramètres!$A$1:$I$89,3,0)*VLOOKUP('Données projet'!$B$15,Paramètres!$A$1:$I$89,5,0)</f>
        <v>4.3623710104576414</v>
      </c>
      <c r="EL10" s="13">
        <f t="shared" si="45"/>
        <v>1.6936004212396314</v>
      </c>
      <c r="EM10" s="20">
        <f t="shared" si="19"/>
        <v>10.54748357687275</v>
      </c>
      <c r="EN10" s="59">
        <f t="shared" si="20"/>
        <v>275.76970579909499</v>
      </c>
      <c r="EO10" s="59">
        <f ca="1">AVERAGE(OFFSET($EN$3,0,0,'Données projet'!$E$15+1,1))-AVERAGE(OFFSET($H$3,0,0,'Données projet'!$E$15+1,1))</f>
        <v>288.80569134263209</v>
      </c>
      <c r="EP10" s="59">
        <f t="shared" si="46"/>
        <v>283.48738729114024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274.39530583012299</v>
      </c>
      <c r="S11" s="59">
        <f ca="1">AVERAGE(OFFSET($R$3,0,0,'Données projet'!$E$9+1,1))-AVERAGE(OFFSET($H$3,0,0,'Données projet'!$E$9+1,1))</f>
        <v>384.05928630855732</v>
      </c>
      <c r="T11" s="59">
        <f t="shared" si="34"/>
        <v>279.93992813630513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3.9732905982905979</v>
      </c>
      <c r="AI11" s="13">
        <f>IF('Données projet'!$A$62&gt;35,AI10+AH11-AQ10,IF(A11&lt;'Données projet'!$A$62,$AF$205^A11,IF(A11='Données projet'!$A$62,'Données projet'!$B$62,AI10+AH11-AQ10)))</f>
        <v>3.5782643572096209</v>
      </c>
      <c r="AJ11" s="13">
        <f>AI11*VLOOKUP('Données projet'!$B$10,Paramètres!$A$1:$I$89,3,0)*VLOOKUP('Données projet'!$B$10,Paramètres!$A$1:$I$89,5,0)</f>
        <v>3.0143298945133852</v>
      </c>
      <c r="AK11" s="13">
        <f t="shared" si="35"/>
        <v>1.2217013074893581</v>
      </c>
      <c r="AL11" s="20">
        <f t="shared" si="4"/>
        <v>7.3777543434881103</v>
      </c>
      <c r="AM11" s="59">
        <f t="shared" si="5"/>
        <v>273.82219878793256</v>
      </c>
      <c r="AN11" s="59">
        <f ca="1">AVERAGE(OFFSET($AM$3,0,0,'Données projet'!$E$10+1,1))-AVERAGE(OFFSET($H$3,0,0,'Données projet'!$E$10+1,1))</f>
        <v>312.48716825299158</v>
      </c>
      <c r="AO11" s="59">
        <f t="shared" si="36"/>
        <v>258.68277822755357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7.730816004221241</v>
      </c>
      <c r="BF11" s="13">
        <f t="shared" si="37"/>
        <v>2.8079409641844508</v>
      </c>
      <c r="BG11" s="20">
        <f t="shared" si="7"/>
        <v>18.355001719973249</v>
      </c>
      <c r="BH11" s="59">
        <f t="shared" si="8"/>
        <v>284.7994461644177</v>
      </c>
      <c r="BI11" s="59">
        <f ca="1">AVERAGE(OFFSET($BH$3,0,0,'Données projet'!$E$11+1,1))-AVERAGE(OFFSET($H$3,0,0,'Données projet'!$E$11+1,1))</f>
        <v>376.58419691967526</v>
      </c>
      <c r="BJ11" s="59">
        <f t="shared" si="38"/>
        <v>365.76175372075869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8.3887577918145393</v>
      </c>
      <c r="CA11" s="13">
        <f t="shared" si="39"/>
        <v>3.0180839306915423</v>
      </c>
      <c r="CB11" s="20">
        <f t="shared" si="10"/>
        <v>19.866916000031427</v>
      </c>
      <c r="CC11" s="59">
        <f t="shared" si="11"/>
        <v>286.31136044447589</v>
      </c>
      <c r="CD11" s="59">
        <f ca="1">AVERAGE(OFFSET($CC$3,0,0,'Données projet'!$E$12+1,1))-AVERAGE(OFFSET($H$3,0,0,'Données projet'!$E$12+1,1))</f>
        <v>405.40026823646758</v>
      </c>
      <c r="CE11" s="59">
        <f t="shared" si="40"/>
        <v>393.0787141050053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3.5</v>
      </c>
      <c r="CT11" s="12">
        <f>IF('Données projet'!$A$140&gt;35,CT10+CS11-DB10,IF(A11&lt;'Données projet'!$A$140,$CQ$205^A11,IF(A11='Données projet'!$A$140,'Données projet'!$B$140,CT10+CS11-DB10)))</f>
        <v>17.189151347155779</v>
      </c>
      <c r="CU11" s="17">
        <f>CT11*VLOOKUP('Données projet'!$B$13,Paramètres!$A$1:$I$89,3,0)*VLOOKUP('Données projet'!$B$13,Paramètres!$A$1:$I$89,5,0)</f>
        <v>15.01644261687529</v>
      </c>
      <c r="CV11" s="13">
        <f t="shared" si="41"/>
        <v>5.0485506745958499</v>
      </c>
      <c r="CW11" s="20">
        <f t="shared" si="13"/>
        <v>34.946529982645565</v>
      </c>
      <c r="CX11" s="59">
        <f t="shared" si="14"/>
        <v>301.39097442709004</v>
      </c>
      <c r="CY11" s="59">
        <f ca="1">AVERAGE(OFFSET($CX$3,0,0,'Données projet'!$E$13+1,1))-AVERAGE(OFFSET($H$3,0,0,'Données projet'!$E$13+1,1))</f>
        <v>381.72225529388083</v>
      </c>
      <c r="CZ11" s="59">
        <f t="shared" si="42"/>
        <v>360.05900046417361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4.0628205128205126</v>
      </c>
      <c r="DO11" s="12">
        <f>IF('Données projet'!$A$166&gt;35,DO10+DN11-DW10,IF(A11&lt;'Données projet'!$A$166,$DL$205^A11,IF(A11='Données projet'!$A$166,'Données projet'!$B$166,DO10+DN11-DW10)))</f>
        <v>3.5995900084872572</v>
      </c>
      <c r="DP11" s="17">
        <f>DO11*VLOOKUP('Données projet'!$B$14,Paramètres!$A$1:$I$89,3,0)*VLOOKUP('Données projet'!$B$14,Paramètres!$A$1:$I$89,5,0)</f>
        <v>3.4815234562088753</v>
      </c>
      <c r="DQ11" s="13">
        <f t="shared" si="43"/>
        <v>1.3875845031206417</v>
      </c>
      <c r="DR11" s="20">
        <f t="shared" si="16"/>
        <v>8.4803630291655754</v>
      </c>
      <c r="DS11" s="59">
        <f t="shared" si="17"/>
        <v>274.92480747361003</v>
      </c>
      <c r="DT11" s="59">
        <f ca="1">AVERAGE(OFFSET($DS$3,0,0,'Données projet'!$E$14+1,1))-AVERAGE(OFFSET($H$3,0,0,'Données projet'!$E$14+1,1))</f>
        <v>407.73540492005355</v>
      </c>
      <c r="DU11" s="59">
        <f t="shared" si="44"/>
        <v>296.29416764204774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2.6666666666666665</v>
      </c>
      <c r="EJ11" s="12">
        <f>IF('Données projet'!$A$192&gt;35,EJ10+EI11-ER10,IF(A11&lt;'Données projet'!$A$192,$EG$205^A11,IF(A11='Données projet'!$A$192,'Données projet'!$B$192,EJ10+EI11-ER10)))</f>
        <v>7.1520739352994367</v>
      </c>
      <c r="EK11" s="17">
        <f>EJ11*VLOOKUP('Données projet'!$B$15,Paramètres!$A$1:$I$89,3,0)*VLOOKUP('Données projet'!$B$15,Paramètres!$A$1:$I$89,5,0)</f>
        <v>5.5786176695335605</v>
      </c>
      <c r="EL11" s="13">
        <f t="shared" si="45"/>
        <v>2.1046649418345189</v>
      </c>
      <c r="EM11" s="20">
        <f t="shared" si="19"/>
        <v>13.381717214799407</v>
      </c>
      <c r="EN11" s="59">
        <f t="shared" si="20"/>
        <v>279.82616165924384</v>
      </c>
      <c r="EO11" s="59">
        <f ca="1">AVERAGE(OFFSET($EN$3,0,0,'Données projet'!$E$15+1,1))-AVERAGE(OFFSET($H$3,0,0,'Données projet'!$E$15+1,1))</f>
        <v>288.80569134263209</v>
      </c>
      <c r="EP11" s="59">
        <f t="shared" si="46"/>
        <v>283.48738729114024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276.94867401567694</v>
      </c>
      <c r="S12" s="59">
        <f ca="1">AVERAGE(OFFSET($R$3,0,0,'Données projet'!$E$9+1,1))-AVERAGE(OFFSET($H$3,0,0,'Données projet'!$E$9+1,1))</f>
        <v>384.05928630855732</v>
      </c>
      <c r="T12" s="59">
        <f t="shared" si="34"/>
        <v>279.93992813630513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3.9732905982905979</v>
      </c>
      <c r="AI12" s="13">
        <f>IF('Données projet'!$A$62&gt;35,AI11+AH12-AQ11,IF(A12&lt;'Données projet'!$A$62,$AF$205^A12,IF(A12='Données projet'!$A$62,'Données projet'!$B$62,AI11+AH12-AQ11)))</f>
        <v>4.1964444185319181</v>
      </c>
      <c r="AJ12" s="13">
        <f>AI12*VLOOKUP('Données projet'!$B$10,Paramètres!$A$1:$I$89,3,0)*VLOOKUP('Données projet'!$B$10,Paramètres!$A$1:$I$89,5,0)</f>
        <v>3.5350847781712882</v>
      </c>
      <c r="AK12" s="13">
        <f t="shared" si="35"/>
        <v>1.4064301170380715</v>
      </c>
      <c r="AL12" s="20">
        <f t="shared" si="4"/>
        <v>8.6064717758229676</v>
      </c>
      <c r="AM12" s="59">
        <f t="shared" si="5"/>
        <v>276.27313844248965</v>
      </c>
      <c r="AN12" s="59">
        <f ca="1">AVERAGE(OFFSET($AM$3,0,0,'Données projet'!$E$10+1,1))-AVERAGE(OFFSET($H$3,0,0,'Données projet'!$E$10+1,1))</f>
        <v>312.48716825299158</v>
      </c>
      <c r="AO12" s="59">
        <f t="shared" si="36"/>
        <v>258.68277822755357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10.377690089398765</v>
      </c>
      <c r="BF12" s="13">
        <f t="shared" si="37"/>
        <v>3.6423245482922235</v>
      </c>
      <c r="BG12" s="20">
        <f t="shared" si="7"/>
        <v>24.418192160645134</v>
      </c>
      <c r="BH12" s="59">
        <f t="shared" si="8"/>
        <v>292.08485882731179</v>
      </c>
      <c r="BI12" s="59">
        <f ca="1">AVERAGE(OFFSET($BH$3,0,0,'Données projet'!$E$11+1,1))-AVERAGE(OFFSET($H$3,0,0,'Données projet'!$E$11+1,1))</f>
        <v>376.58419691967526</v>
      </c>
      <c r="BJ12" s="59">
        <f t="shared" si="38"/>
        <v>365.76175372075869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11.260897756581638</v>
      </c>
      <c r="CA12" s="13">
        <f t="shared" si="39"/>
        <v>3.9149117911590028</v>
      </c>
      <c r="CB12" s="20">
        <f t="shared" si="10"/>
        <v>26.431201628981615</v>
      </c>
      <c r="CC12" s="59">
        <f t="shared" si="11"/>
        <v>294.09786829564831</v>
      </c>
      <c r="CD12" s="59">
        <f ca="1">AVERAGE(OFFSET($CC$3,0,0,'Données projet'!$E$12+1,1))-AVERAGE(OFFSET($H$3,0,0,'Données projet'!$E$12+1,1))</f>
        <v>405.40026823646758</v>
      </c>
      <c r="CE12" s="59">
        <f t="shared" si="40"/>
        <v>393.0787141050053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3.5</v>
      </c>
      <c r="CT12" s="12">
        <f>IF('Données projet'!$A$140&gt;35,CT11+CS12-DB11,IF(A12&lt;'Données projet'!$A$140,$CQ$205^A12,IF(A12='Données projet'!$A$140,'Données projet'!$B$140,CT11+CS12-DB11)))</f>
        <v>24.527949305852133</v>
      </c>
      <c r="CU12" s="17">
        <f>CT12*VLOOKUP('Données projet'!$B$13,Paramètres!$A$1:$I$89,3,0)*VLOOKUP('Données projet'!$B$13,Paramètres!$A$1:$I$89,5,0)</f>
        <v>21.427616513592426</v>
      </c>
      <c r="CV12" s="13">
        <f t="shared" si="41"/>
        <v>6.9119497511743733</v>
      </c>
      <c r="CW12" s="20">
        <f t="shared" si="13"/>
        <v>49.358077911135503</v>
      </c>
      <c r="CX12" s="59">
        <f t="shared" si="14"/>
        <v>317.02474457780221</v>
      </c>
      <c r="CY12" s="59">
        <f ca="1">AVERAGE(OFFSET($CX$3,0,0,'Données projet'!$E$13+1,1))-AVERAGE(OFFSET($H$3,0,0,'Données projet'!$E$13+1,1))</f>
        <v>381.72225529388083</v>
      </c>
      <c r="CZ12" s="59">
        <f t="shared" si="42"/>
        <v>360.05900046417361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4.0628205128205126</v>
      </c>
      <c r="DO12" s="12">
        <f>IF('Données projet'!$A$166&gt;35,DO11+DN12-DW11,IF(A12&lt;'Données projet'!$A$166,$DL$205^A12,IF(A12='Données projet'!$A$166,'Données projet'!$B$166,DO11+DN12-DW11)))</f>
        <v>4.2245909793472531</v>
      </c>
      <c r="DP12" s="17">
        <f>DO12*VLOOKUP('Données projet'!$B$14,Paramètres!$A$1:$I$89,3,0)*VLOOKUP('Données projet'!$B$14,Paramètres!$A$1:$I$89,5,0)</f>
        <v>4.0860243952246638</v>
      </c>
      <c r="DQ12" s="13">
        <f t="shared" si="43"/>
        <v>1.598444600408782</v>
      </c>
      <c r="DR12" s="20">
        <f t="shared" si="16"/>
        <v>9.9004501673949186</v>
      </c>
      <c r="DS12" s="59">
        <f t="shared" si="17"/>
        <v>277.56711683406161</v>
      </c>
      <c r="DT12" s="59">
        <f ca="1">AVERAGE(OFFSET($DS$3,0,0,'Données projet'!$E$14+1,1))-AVERAGE(OFFSET($H$3,0,0,'Données projet'!$E$14+1,1))</f>
        <v>407.73540492005355</v>
      </c>
      <c r="DU12" s="59">
        <f t="shared" si="44"/>
        <v>296.29416764204774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2.6666666666666665</v>
      </c>
      <c r="EJ12" s="12">
        <f>IF('Données projet'!$A$192&gt;35,EJ11+EI12-ER11,IF(A12&lt;'Données projet'!$A$192,$EG$205^A12,IF(A12='Données projet'!$A$192,'Données projet'!$B$192,EJ11+EI12-ER11)))</f>
        <v>9.1461010385465205</v>
      </c>
      <c r="EK12" s="17">
        <f>EJ12*VLOOKUP('Données projet'!$B$15,Paramètres!$A$1:$I$89,3,0)*VLOOKUP('Données projet'!$B$15,Paramètres!$A$1:$I$89,5,0)</f>
        <v>7.1339588100662858</v>
      </c>
      <c r="EL12" s="13">
        <f t="shared" si="45"/>
        <v>2.6155015444227643</v>
      </c>
      <c r="EM12" s="20">
        <f t="shared" si="19"/>
        <v>16.980310117401761</v>
      </c>
      <c r="EN12" s="59">
        <f t="shared" si="20"/>
        <v>284.64697678406844</v>
      </c>
      <c r="EO12" s="59">
        <f ca="1">AVERAGE(OFFSET($EN$3,0,0,'Données projet'!$E$15+1,1))-AVERAGE(OFFSET($H$3,0,0,'Données projet'!$E$15+1,1))</f>
        <v>288.80569134263209</v>
      </c>
      <c r="EP12" s="59">
        <f t="shared" si="46"/>
        <v>283.48738729114024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279.72566805419609</v>
      </c>
      <c r="S13" s="59">
        <f ca="1">AVERAGE(OFFSET($R$3,0,0,'Données projet'!$E$9+1,1))-AVERAGE(OFFSET($H$3,0,0,'Données projet'!$E$9+1,1))</f>
        <v>384.05928630855732</v>
      </c>
      <c r="T13" s="59">
        <f t="shared" si="34"/>
        <v>279.93992813630513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3.9732905982905979</v>
      </c>
      <c r="AI13" s="13">
        <f>IF('Données projet'!$A$62&gt;35,AI12+AH13-AQ12,IF(A13&lt;'Données projet'!$A$62,$AF$205^A13,IF(A13='Données projet'!$A$62,'Données projet'!$B$62,AI12+AH13-AQ12)))</f>
        <v>4.9214211136597843</v>
      </c>
      <c r="AJ13" s="13">
        <f>AI13*VLOOKUP('Données projet'!$B$10,Paramètres!$A$1:$I$89,3,0)*VLOOKUP('Données projet'!$B$10,Paramètres!$A$1:$I$89,5,0)</f>
        <v>4.1458051461470022</v>
      </c>
      <c r="AK13" s="13">
        <f t="shared" si="35"/>
        <v>1.619091067502155</v>
      </c>
      <c r="AL13" s="20">
        <f t="shared" si="4"/>
        <v>10.040527572105615</v>
      </c>
      <c r="AM13" s="59">
        <f t="shared" si="5"/>
        <v>278.92941646099445</v>
      </c>
      <c r="AN13" s="59">
        <f ca="1">AVERAGE(OFFSET($AM$3,0,0,'Données projet'!$E$10+1,1))-AVERAGE(OFFSET($H$3,0,0,'Données projet'!$E$10+1,1))</f>
        <v>312.48716825299158</v>
      </c>
      <c r="AO13" s="59">
        <f t="shared" si="36"/>
        <v>258.68277822755357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13.9308</v>
      </c>
      <c r="BF13" s="13">
        <f t="shared" si="37"/>
        <v>4.7246463812124082</v>
      </c>
      <c r="BG13" s="20">
        <f t="shared" si="7"/>
        <v>32.491569113944941</v>
      </c>
      <c r="BH13" s="59">
        <f t="shared" si="8"/>
        <v>301.38045800283379</v>
      </c>
      <c r="BI13" s="59">
        <f ca="1">AVERAGE(OFFSET($BH$3,0,0,'Données projet'!$E$11+1,1))-AVERAGE(OFFSET($H$3,0,0,'Données projet'!$E$11+1,1))</f>
        <v>376.58419691967526</v>
      </c>
      <c r="BJ13" s="59">
        <f t="shared" si="38"/>
        <v>365.76175372075869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15.116400000000001</v>
      </c>
      <c r="CA13" s="13">
        <f t="shared" si="39"/>
        <v>5.0782333044806913</v>
      </c>
      <c r="CB13" s="20">
        <f t="shared" si="10"/>
        <v>35.172319671970541</v>
      </c>
      <c r="CC13" s="59">
        <f t="shared" si="11"/>
        <v>304.06120856085943</v>
      </c>
      <c r="CD13" s="59">
        <f ca="1">AVERAGE(OFFSET($CC$3,0,0,'Données projet'!$E$12+1,1))-AVERAGE(OFFSET($H$3,0,0,'Données projet'!$E$12+1,1))</f>
        <v>405.40026823646758</v>
      </c>
      <c r="CE13" s="59">
        <f t="shared" si="40"/>
        <v>393.0787141050053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35</v>
      </c>
      <c r="CR13" s="12">
        <f>VLOOKUP(A13,'Données projet'!$A$139:$I$159,9,0)</f>
        <v>3.5</v>
      </c>
      <c r="CS13" s="12">
        <f t="array" ref="CS13">INDEX(CR:CR,MIN(IF(ISNUMBER(CR13:CR209),ROW(CR13:CR209),"")))</f>
        <v>3.5</v>
      </c>
      <c r="CT13" s="12">
        <f>IF('Données projet'!$A$140&gt;35,CT12+CS13-DB12,IF(A13&lt;'Données projet'!$A$140,$CQ$205^A13,IF(A13='Données projet'!$A$140,'Données projet'!$B$140,CT12+CS13-DB12)))</f>
        <v>35</v>
      </c>
      <c r="CU13" s="17">
        <f>CT13*VLOOKUP('Données projet'!$B$13,Paramètres!$A$1:$I$89,3,0)*VLOOKUP('Données projet'!$B$13,Paramètres!$A$1:$I$89,5,0)</f>
        <v>30.576000000000004</v>
      </c>
      <c r="CV13" s="13">
        <f t="shared" si="41"/>
        <v>9.4631216842413863</v>
      </c>
      <c r="CW13" s="20">
        <f t="shared" si="13"/>
        <v>69.734803600053766</v>
      </c>
      <c r="CX13" s="59">
        <f t="shared" si="14"/>
        <v>338.62369248894265</v>
      </c>
      <c r="CY13" s="59">
        <f ca="1">AVERAGE(OFFSET($CX$3,0,0,'Données projet'!$E$13+1,1))-AVERAGE(OFFSET($H$3,0,0,'Données projet'!$E$13+1,1))</f>
        <v>381.72225529388083</v>
      </c>
      <c r="CZ13" s="59">
        <f t="shared" si="42"/>
        <v>360.05900046417361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4.0628205128205126</v>
      </c>
      <c r="DO13" s="12">
        <f>IF('Données projet'!$A$166&gt;35,DO12+DN13-DW12,IF(A13&lt;'Données projet'!$A$166,$DL$205^A13,IF(A13='Données projet'!$A$166,'Données projet'!$B$166,DO12+DN13-DW12)))</f>
        <v>4.9581115906815549</v>
      </c>
      <c r="DP13" s="17">
        <f>DO13*VLOOKUP('Données projet'!$B$14,Paramètres!$A$1:$I$89,3,0)*VLOOKUP('Données projet'!$B$14,Paramètres!$A$1:$I$89,5,0)</f>
        <v>4.7954855305072002</v>
      </c>
      <c r="DQ13" s="13">
        <f t="shared" si="43"/>
        <v>1.8413474169175326</v>
      </c>
      <c r="DR13" s="20">
        <f t="shared" si="16"/>
        <v>11.559150716764741</v>
      </c>
      <c r="DS13" s="59">
        <f t="shared" si="17"/>
        <v>280.44803960565361</v>
      </c>
      <c r="DT13" s="59">
        <f ca="1">AVERAGE(OFFSET($DS$3,0,0,'Données projet'!$E$14+1,1))-AVERAGE(OFFSET($H$3,0,0,'Données projet'!$E$14+1,1))</f>
        <v>407.73540492005355</v>
      </c>
      <c r="DU13" s="59">
        <f t="shared" si="44"/>
        <v>296.29416764204774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2.6666666666666665</v>
      </c>
      <c r="EJ13" s="12">
        <f>IF('Données projet'!$A$192&gt;35,EJ12+EI13-ER12,IF(A13&lt;'Données projet'!$A$192,$EG$205^A13,IF(A13='Données projet'!$A$192,'Données projet'!$B$192,EJ12+EI13-ER12)))</f>
        <v>11.696070952851455</v>
      </c>
      <c r="EK13" s="17">
        <f>EJ13*VLOOKUP('Données projet'!$B$15,Paramètres!$A$1:$I$89,3,0)*VLOOKUP('Données projet'!$B$15,Paramètres!$A$1:$I$89,5,0)</f>
        <v>9.1229353432241354</v>
      </c>
      <c r="EL13" s="13">
        <f t="shared" si="45"/>
        <v>3.2503265450485803</v>
      </c>
      <c r="EM13" s="20">
        <f t="shared" si="19"/>
        <v>21.550097788741649</v>
      </c>
      <c r="EN13" s="59">
        <f t="shared" si="20"/>
        <v>290.43898667763051</v>
      </c>
      <c r="EO13" s="59">
        <f ca="1">AVERAGE(OFFSET($EN$3,0,0,'Données projet'!$E$15+1,1))-AVERAGE(OFFSET($H$3,0,0,'Données projet'!$E$15+1,1))</f>
        <v>288.80569134263209</v>
      </c>
      <c r="EP13" s="59">
        <f t="shared" si="46"/>
        <v>283.48738729114024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282.76397625718522</v>
      </c>
      <c r="S14" s="59">
        <f ca="1">AVERAGE(OFFSET($R$3,0,0,'Données projet'!$E$9+1,1))-AVERAGE(OFFSET($H$3,0,0,'Données projet'!$E$9+1,1))</f>
        <v>384.05928630855732</v>
      </c>
      <c r="T14" s="59">
        <f t="shared" si="34"/>
        <v>279.93992813630513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3.9732905982905979</v>
      </c>
      <c r="AI14" s="13">
        <f>IF('Données projet'!$A$62&gt;35,AI13+AH14-AQ13,IF(A14&lt;'Données projet'!$A$62,$AF$205^A14,IF(A14='Données projet'!$A$62,'Données projet'!$B$62,AI13+AH14-AQ13)))</f>
        <v>5.7716446025155648</v>
      </c>
      <c r="AJ14" s="13">
        <f>AI14*VLOOKUP('Données projet'!$B$10,Paramètres!$A$1:$I$89,3,0)*VLOOKUP('Données projet'!$B$10,Paramètres!$A$1:$I$89,5,0)</f>
        <v>4.8620334131591125</v>
      </c>
      <c r="AK14" s="13">
        <f t="shared" si="35"/>
        <v>1.8639076717057437</v>
      </c>
      <c r="AL14" s="20">
        <f t="shared" si="4"/>
        <v>11.714347389472957</v>
      </c>
      <c r="AM14" s="59">
        <f t="shared" si="5"/>
        <v>281.82545850058409</v>
      </c>
      <c r="AN14" s="59">
        <f ca="1">AVERAGE(OFFSET($AM$3,0,0,'Données projet'!$E$10+1,1))-AVERAGE(OFFSET($H$3,0,0,'Données projet'!$E$10+1,1))</f>
        <v>312.48716825299158</v>
      </c>
      <c r="AO14" s="59">
        <f t="shared" si="36"/>
        <v>258.68277822755357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19.503120000000003</v>
      </c>
      <c r="BF14" s="13">
        <f t="shared" si="37"/>
        <v>6.3604529061061674</v>
      </c>
      <c r="BG14" s="20">
        <f t="shared" si="7"/>
        <v>45.045722811468245</v>
      </c>
      <c r="BH14" s="59">
        <f t="shared" si="8"/>
        <v>315.15683392257938</v>
      </c>
      <c r="BI14" s="59">
        <f ca="1">AVERAGE(OFFSET($BH$3,0,0,'Données projet'!$E$11+1,1))-AVERAGE(OFFSET($H$3,0,0,'Données projet'!$E$11+1,1))</f>
        <v>376.58419691967526</v>
      </c>
      <c r="BJ14" s="59">
        <f t="shared" si="38"/>
        <v>365.76175372075869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21.162960000000002</v>
      </c>
      <c r="CA14" s="13">
        <f t="shared" si="39"/>
        <v>6.8364616466980515</v>
      </c>
      <c r="CB14" s="20">
        <f t="shared" si="10"/>
        <v>48.765659367999113</v>
      </c>
      <c r="CC14" s="59">
        <f t="shared" si="11"/>
        <v>318.87677047911023</v>
      </c>
      <c r="CD14" s="59">
        <f ca="1">AVERAGE(OFFSET($CC$3,0,0,'Données projet'!$E$12+1,1))-AVERAGE(OFFSET($H$3,0,0,'Données projet'!$E$12+1,1))</f>
        <v>405.40026823646758</v>
      </c>
      <c r="CE14" s="59">
        <f t="shared" si="40"/>
        <v>393.0787141050053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10.6</v>
      </c>
      <c r="CT14" s="12">
        <f>IF('Données projet'!$A$140&gt;35,CT13+CS14-DB13,IF(A14&lt;'Données projet'!$A$140,$CQ$205^A14,IF(A14='Données projet'!$A$140,'Données projet'!$B$140,CT13+CS14-DB13)))</f>
        <v>45.6</v>
      </c>
      <c r="CU14" s="17">
        <f>CT14*VLOOKUP('Données projet'!$B$13,Paramètres!$A$1:$I$89,3,0)*VLOOKUP('Données projet'!$B$13,Paramètres!$A$1:$I$89,5,0)</f>
        <v>39.836160000000007</v>
      </c>
      <c r="CV14" s="13">
        <f t="shared" si="41"/>
        <v>11.955210728675533</v>
      </c>
      <c r="CW14" s="20">
        <f t="shared" si="13"/>
        <v>90.203304019109893</v>
      </c>
      <c r="CX14" s="59">
        <f t="shared" si="14"/>
        <v>360.31441513022105</v>
      </c>
      <c r="CY14" s="59">
        <f ca="1">AVERAGE(OFFSET($CX$3,0,0,'Données projet'!$E$13+1,1))-AVERAGE(OFFSET($H$3,0,0,'Données projet'!$E$13+1,1))</f>
        <v>381.72225529388083</v>
      </c>
      <c r="CZ14" s="59">
        <f t="shared" si="42"/>
        <v>360.05900046417361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4.0628205128205126</v>
      </c>
      <c r="DO14" s="12">
        <f>IF('Données projet'!$A$166&gt;35,DO13+DN14-DW13,IF(A14&lt;'Données projet'!$A$166,$DL$205^A14,IF(A14='Données projet'!$A$166,'Données projet'!$B$166,DO13+DN14-DW13)))</f>
        <v>5.8189942330107201</v>
      </c>
      <c r="DP14" s="17">
        <f>DO14*VLOOKUP('Données projet'!$B$14,Paramètres!$A$1:$I$89,3,0)*VLOOKUP('Données projet'!$B$14,Paramètres!$A$1:$I$89,5,0)</f>
        <v>5.6281312221679691</v>
      </c>
      <c r="DQ14" s="13">
        <f t="shared" si="43"/>
        <v>2.1211622279069138</v>
      </c>
      <c r="DR14" s="20">
        <f t="shared" si="16"/>
        <v>13.496686092213752</v>
      </c>
      <c r="DS14" s="59">
        <f t="shared" si="17"/>
        <v>283.60779720332488</v>
      </c>
      <c r="DT14" s="59">
        <f ca="1">AVERAGE(OFFSET($DS$3,0,0,'Données projet'!$E$14+1,1))-AVERAGE(OFFSET($H$3,0,0,'Données projet'!$E$14+1,1))</f>
        <v>407.73540492005355</v>
      </c>
      <c r="DU14" s="59">
        <f t="shared" si="44"/>
        <v>296.29416764204774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2.6666666666666665</v>
      </c>
      <c r="EJ14" s="12">
        <f>IF('Données projet'!$A$192&gt;35,EJ13+EI14-ER13,IF(A14&lt;'Données projet'!$A$192,$EG$205^A14,IF(A14='Données projet'!$A$192,'Données projet'!$B$192,EJ13+EI14-ER13)))</f>
        <v>14.956982779612416</v>
      </c>
      <c r="EK14" s="17">
        <f>EJ14*VLOOKUP('Données projet'!$B$15,Paramètres!$A$1:$I$89,3,0)*VLOOKUP('Données projet'!$B$15,Paramètres!$A$1:$I$89,5,0)</f>
        <v>11.666446568097685</v>
      </c>
      <c r="EL14" s="13">
        <f t="shared" si="45"/>
        <v>4.0392339557111736</v>
      </c>
      <c r="EM14" s="20">
        <f t="shared" si="19"/>
        <v>27.354060245633761</v>
      </c>
      <c r="EN14" s="59">
        <f t="shared" si="20"/>
        <v>297.46517135674492</v>
      </c>
      <c r="EO14" s="59">
        <f ca="1">AVERAGE(OFFSET($EN$3,0,0,'Données projet'!$E$15+1,1))-AVERAGE(OFFSET($H$3,0,0,'Données projet'!$E$15+1,1))</f>
        <v>288.80569134263209</v>
      </c>
      <c r="EP14" s="59">
        <f t="shared" si="46"/>
        <v>283.48738729114024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286.10765754879242</v>
      </c>
      <c r="S15" s="59">
        <f ca="1">AVERAGE(OFFSET($R$3,0,0,'Données projet'!$E$9+1,1))-AVERAGE(OFFSET($H$3,0,0,'Données projet'!$E$9+1,1))</f>
        <v>384.05928630855732</v>
      </c>
      <c r="T15" s="59">
        <f t="shared" si="34"/>
        <v>279.93992813630513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3.9732905982905979</v>
      </c>
      <c r="AI15" s="13">
        <f>IF('Données projet'!$A$62&gt;35,AI14+AH15-AQ14,IF(A15&lt;'Données projet'!$A$62,$AF$205^A15,IF(A15='Données projet'!$A$62,'Données projet'!$B$62,AI14+AH15-AQ14)))</f>
        <v>6.7687524900657969</v>
      </c>
      <c r="AJ15" s="13">
        <f>AI15*VLOOKUP('Données projet'!$B$10,Paramètres!$A$1:$I$89,3,0)*VLOOKUP('Données projet'!$B$10,Paramètres!$A$1:$I$89,5,0)</f>
        <v>5.7019970976314278</v>
      </c>
      <c r="AK15" s="13">
        <f t="shared" si="35"/>
        <v>2.1457420637884543</v>
      </c>
      <c r="AL15" s="20">
        <f t="shared" si="4"/>
        <v>13.668145706139628</v>
      </c>
      <c r="AM15" s="59">
        <f t="shared" si="5"/>
        <v>285.00147903947294</v>
      </c>
      <c r="AN15" s="59">
        <f ca="1">AVERAGE(OFFSET($AM$3,0,0,'Données projet'!$E$10+1,1))-AVERAGE(OFFSET($H$3,0,0,'Données projet'!$E$10+1,1))</f>
        <v>312.48716825299158</v>
      </c>
      <c r="AO15" s="59">
        <f t="shared" si="36"/>
        <v>258.68277822755357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30.207840000000001</v>
      </c>
      <c r="BF15" s="13">
        <f t="shared" si="37"/>
        <v>9.3623701493068516</v>
      </c>
      <c r="BG15" s="20">
        <f t="shared" si="7"/>
        <v>68.918116010042766</v>
      </c>
      <c r="BH15" s="59">
        <f t="shared" si="8"/>
        <v>340.25144934337607</v>
      </c>
      <c r="BI15" s="59">
        <f ca="1">AVERAGE(OFFSET($BH$3,0,0,'Données projet'!$E$11+1,1))-AVERAGE(OFFSET($H$3,0,0,'Données projet'!$E$11+1,1))</f>
        <v>376.58419691967526</v>
      </c>
      <c r="BJ15" s="59">
        <f t="shared" si="38"/>
        <v>365.76175372075869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32.77872</v>
      </c>
      <c r="CA15" s="13">
        <f t="shared" si="39"/>
        <v>10.063038810723747</v>
      </c>
      <c r="CB15" s="20">
        <f t="shared" si="10"/>
        <v>74.616063262010528</v>
      </c>
      <c r="CC15" s="59">
        <f t="shared" si="11"/>
        <v>345.94939659534384</v>
      </c>
      <c r="CD15" s="59">
        <f ca="1">AVERAGE(OFFSET($CC$3,0,0,'Données projet'!$E$12+1,1))-AVERAGE(OFFSET($H$3,0,0,'Données projet'!$E$12+1,1))</f>
        <v>405.40026823646758</v>
      </c>
      <c r="CE15" s="59">
        <f t="shared" si="40"/>
        <v>393.0787141050053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10.6</v>
      </c>
      <c r="CT15" s="12">
        <f>IF('Données projet'!$A$140&gt;35,CT14+CS15-DB14,IF(A15&lt;'Données projet'!$A$140,$CQ$205^A15,IF(A15='Données projet'!$A$140,'Données projet'!$B$140,CT14+CS15-DB14)))</f>
        <v>56.2</v>
      </c>
      <c r="CU15" s="17">
        <f>CT15*VLOOKUP('Données projet'!$B$13,Paramètres!$A$1:$I$89,3,0)*VLOOKUP('Données projet'!$B$13,Paramètres!$A$1:$I$89,5,0)</f>
        <v>49.096320000000006</v>
      </c>
      <c r="CV15" s="13">
        <f t="shared" si="41"/>
        <v>14.380133207801931</v>
      </c>
      <c r="CW15" s="20">
        <f t="shared" si="13"/>
        <v>110.55482267025504</v>
      </c>
      <c r="CX15" s="59">
        <f t="shared" si="14"/>
        <v>381.88815600358834</v>
      </c>
      <c r="CY15" s="59">
        <f ca="1">AVERAGE(OFFSET($CX$3,0,0,'Données projet'!$E$13+1,1))-AVERAGE(OFFSET($H$3,0,0,'Données projet'!$E$13+1,1))</f>
        <v>381.72225529388083</v>
      </c>
      <c r="CZ15" s="59">
        <f t="shared" si="42"/>
        <v>360.05900046417361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4.0628205128205126</v>
      </c>
      <c r="DO15" s="12">
        <f>IF('Données projet'!$A$166&gt;35,DO14+DN15-DW14,IF(A15&lt;'Données projet'!$A$166,$DL$205^A15,IF(A15='Données projet'!$A$166,'Données projet'!$B$166,DO14+DN15-DW14)))</f>
        <v>6.8293529228851897</v>
      </c>
      <c r="DP15" s="17">
        <f>DO15*VLOOKUP('Données projet'!$B$14,Paramètres!$A$1:$I$89,3,0)*VLOOKUP('Données projet'!$B$14,Paramètres!$A$1:$I$89,5,0)</f>
        <v>6.6053501470145557</v>
      </c>
      <c r="DQ15" s="13">
        <f t="shared" si="43"/>
        <v>2.4434982533774234</v>
      </c>
      <c r="DR15" s="20">
        <f t="shared" si="16"/>
        <v>15.760077630682696</v>
      </c>
      <c r="DS15" s="59">
        <f t="shared" si="17"/>
        <v>287.09341096401602</v>
      </c>
      <c r="DT15" s="59">
        <f ca="1">AVERAGE(OFFSET($DS$3,0,0,'Données projet'!$E$14+1,1))-AVERAGE(OFFSET($H$3,0,0,'Données projet'!$E$14+1,1))</f>
        <v>407.73540492005355</v>
      </c>
      <c r="DU15" s="59">
        <f t="shared" si="44"/>
        <v>296.29416764204774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2.6666666666666665</v>
      </c>
      <c r="EJ15" s="12">
        <f>IF('Données projet'!$A$192&gt;35,EJ14+EI15-ER14,IF(A15&lt;'Données projet'!$A$192,$EG$205^A15,IF(A15='Données projet'!$A$192,'Données projet'!$B$192,EJ14+EI15-ER14)))</f>
        <v>19.127049995800721</v>
      </c>
      <c r="EK15" s="17">
        <f>EJ15*VLOOKUP('Données projet'!$B$15,Paramètres!$A$1:$I$89,3,0)*VLOOKUP('Données projet'!$B$15,Paramètres!$A$1:$I$89,5,0)</f>
        <v>14.919098996724562</v>
      </c>
      <c r="EL15" s="13">
        <f t="shared" si="45"/>
        <v>5.019622097301081</v>
      </c>
      <c r="EM15" s="20">
        <f t="shared" si="19"/>
        <v>34.726605905427995</v>
      </c>
      <c r="EN15" s="59">
        <f t="shared" si="20"/>
        <v>306.05993923876133</v>
      </c>
      <c r="EO15" s="59">
        <f ca="1">AVERAGE(OFFSET($EN$3,0,0,'Données projet'!$E$15+1,1))-AVERAGE(OFFSET($H$3,0,0,'Données projet'!$E$15+1,1))</f>
        <v>288.80569134263209</v>
      </c>
      <c r="EP15" s="59">
        <f t="shared" si="46"/>
        <v>283.48738729114024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289.8082212748609</v>
      </c>
      <c r="S16" s="59">
        <f ca="1">AVERAGE(OFFSET($R$3,0,0,'Données projet'!$E$9+1,1))-AVERAGE(OFFSET($H$3,0,0,'Données projet'!$E$9+1,1))</f>
        <v>384.05928630855732</v>
      </c>
      <c r="T16" s="59">
        <f t="shared" si="34"/>
        <v>279.93992813630513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3.9732905982905979</v>
      </c>
      <c r="AI16" s="13">
        <f>IF('Données projet'!$A$62&gt;35,AI15+AH16-AQ15,IF(A16&lt;'Données projet'!$A$62,$AF$205^A16,IF(A16='Données projet'!$A$62,'Données projet'!$B$62,AI15+AH16-AQ15)))</f>
        <v>7.9381204885351178</v>
      </c>
      <c r="AJ16" s="13">
        <f>AI16*VLOOKUP('Données projet'!$B$10,Paramètres!$A$1:$I$89,3,0)*VLOOKUP('Données projet'!$B$10,Paramètres!$A$1:$I$89,5,0)</f>
        <v>6.687072699541984</v>
      </c>
      <c r="AK16" s="13">
        <f t="shared" si="35"/>
        <v>2.4701915627063342</v>
      </c>
      <c r="AL16" s="20">
        <f t="shared" si="4"/>
        <v>15.94890192341582</v>
      </c>
      <c r="AM16" s="59">
        <f t="shared" si="5"/>
        <v>288.50445747897135</v>
      </c>
      <c r="AN16" s="59">
        <f ca="1">AVERAGE(OFFSET($AM$3,0,0,'Données projet'!$E$10+1,1))-AVERAGE(OFFSET($H$3,0,0,'Données projet'!$E$10+1,1))</f>
        <v>312.48716825299158</v>
      </c>
      <c r="AO16" s="59">
        <f t="shared" si="36"/>
        <v>258.68277822755357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40.912559999999999</v>
      </c>
      <c r="BF16" s="13">
        <f t="shared" si="37"/>
        <v>12.240202574960914</v>
      </c>
      <c r="BG16" s="20">
        <f t="shared" si="7"/>
        <v>92.57439481805693</v>
      </c>
      <c r="BH16" s="59">
        <f t="shared" si="8"/>
        <v>365.12995037361247</v>
      </c>
      <c r="BI16" s="59">
        <f ca="1">AVERAGE(OFFSET($BH$3,0,0,'Données projet'!$E$11+1,1))-AVERAGE(OFFSET($H$3,0,0,'Données projet'!$E$11+1,1))</f>
        <v>376.58419691967526</v>
      </c>
      <c r="BJ16" s="59">
        <f t="shared" si="38"/>
        <v>365.76175372075869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44.394480000000001</v>
      </c>
      <c r="CA16" s="13">
        <f t="shared" si="39"/>
        <v>13.1562447968447</v>
      </c>
      <c r="CB16" s="20">
        <f t="shared" si="10"/>
        <v>100.2341790211712</v>
      </c>
      <c r="CC16" s="59">
        <f t="shared" si="11"/>
        <v>372.78973457672674</v>
      </c>
      <c r="CD16" s="59">
        <f ca="1">AVERAGE(OFFSET($CC$3,0,0,'Données projet'!$E$12+1,1))-AVERAGE(OFFSET($H$3,0,0,'Données projet'!$E$12+1,1))</f>
        <v>405.40026823646758</v>
      </c>
      <c r="CE16" s="59">
        <f t="shared" si="40"/>
        <v>393.0787141050053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10.6</v>
      </c>
      <c r="CT16" s="12">
        <f>IF('Données projet'!$A$140&gt;35,CT15+CS16-DB15,IF(A16&lt;'Données projet'!$A$140,$CQ$205^A16,IF(A16='Données projet'!$A$140,'Données projet'!$B$140,CT15+CS16-DB15)))</f>
        <v>66.8</v>
      </c>
      <c r="CU16" s="17">
        <f>CT16*VLOOKUP('Données projet'!$B$13,Paramètres!$A$1:$I$89,3,0)*VLOOKUP('Données projet'!$B$13,Paramètres!$A$1:$I$89,5,0)</f>
        <v>58.356480000000005</v>
      </c>
      <c r="CV16" s="13">
        <f t="shared" si="41"/>
        <v>16.75206628947662</v>
      </c>
      <c r="CW16" s="20">
        <f t="shared" si="13"/>
        <v>130.81405145417179</v>
      </c>
      <c r="CX16" s="59">
        <f t="shared" si="14"/>
        <v>403.36960700972736</v>
      </c>
      <c r="CY16" s="59">
        <f ca="1">AVERAGE(OFFSET($CX$3,0,0,'Données projet'!$E$13+1,1))-AVERAGE(OFFSET($H$3,0,0,'Données projet'!$E$13+1,1))</f>
        <v>381.72225529388083</v>
      </c>
      <c r="CZ16" s="59">
        <f t="shared" si="42"/>
        <v>360.05900046417361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4.0628205128205126</v>
      </c>
      <c r="DO16" s="12">
        <f>IF('Données projet'!$A$166&gt;35,DO15+DN16-DW15,IF(A16&lt;'Données projet'!$A$166,$DL$205^A16,IF(A16='Données projet'!$A$166,'Données projet'!$B$166,DO15+DN16-DW15)))</f>
        <v>8.0151413590917304</v>
      </c>
      <c r="DP16" s="17">
        <f>DO16*VLOOKUP('Données projet'!$B$14,Paramètres!$A$1:$I$89,3,0)*VLOOKUP('Données projet'!$B$14,Paramètres!$A$1:$I$89,5,0)</f>
        <v>7.752244722513522</v>
      </c>
      <c r="DQ16" s="13">
        <f t="shared" si="43"/>
        <v>2.8148171015425705</v>
      </c>
      <c r="DR16" s="20">
        <f t="shared" si="16"/>
        <v>18.404299343564364</v>
      </c>
      <c r="DS16" s="59">
        <f t="shared" si="17"/>
        <v>290.95985489911993</v>
      </c>
      <c r="DT16" s="59">
        <f ca="1">AVERAGE(OFFSET($DS$3,0,0,'Données projet'!$E$14+1,1))-AVERAGE(OFFSET($H$3,0,0,'Données projet'!$E$14+1,1))</f>
        <v>407.73540492005355</v>
      </c>
      <c r="DU16" s="59">
        <f t="shared" si="44"/>
        <v>296.29416764204774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2.6666666666666665</v>
      </c>
      <c r="EJ16" s="12">
        <f>IF('Données projet'!$A$192&gt;35,EJ15+EI16-ER15,IF(A16&lt;'Données projet'!$A$192,$EG$205^A16,IF(A16='Données projet'!$A$192,'Données projet'!$B$192,EJ15+EI16-ER15)))</f>
        <v>24.459748796430759</v>
      </c>
      <c r="EK16" s="17">
        <f>EJ16*VLOOKUP('Données projet'!$B$15,Paramètres!$A$1:$I$89,3,0)*VLOOKUP('Données projet'!$B$15,Paramètres!$A$1:$I$89,5,0)</f>
        <v>19.078604061215994</v>
      </c>
      <c r="EL16" s="13">
        <f t="shared" si="45"/>
        <v>6.2379664748280286</v>
      </c>
      <c r="EM16" s="20">
        <f t="shared" si="19"/>
        <v>44.093027016943331</v>
      </c>
      <c r="EN16" s="59">
        <f t="shared" si="20"/>
        <v>316.64858257249887</v>
      </c>
      <c r="EO16" s="59">
        <f ca="1">AVERAGE(OFFSET($EN$3,0,0,'Données projet'!$E$15+1,1))-AVERAGE(OFFSET($H$3,0,0,'Données projet'!$E$15+1,1))</f>
        <v>288.80569134263209</v>
      </c>
      <c r="EP16" s="59">
        <f t="shared" si="46"/>
        <v>283.48738729114024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293.9258904996496</v>
      </c>
      <c r="S17" s="59">
        <f ca="1">AVERAGE(OFFSET($R$3,0,0,'Données projet'!$E$9+1,1))-AVERAGE(OFFSET($H$3,0,0,'Données projet'!$E$9+1,1))</f>
        <v>384.05928630855732</v>
      </c>
      <c r="T17" s="59">
        <f t="shared" si="34"/>
        <v>279.93992813630513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3.9732905982905979</v>
      </c>
      <c r="AI17" s="13">
        <f>IF('Données projet'!$A$62&gt;35,AI16+AH17-AQ16,IF(A17&lt;'Données projet'!$A$62,$AF$205^A17,IF(A17='Données projet'!$A$62,'Données projet'!$B$62,AI16+AH17-AQ16)))</f>
        <v>9.3095082118874259</v>
      </c>
      <c r="AJ17" s="13">
        <f>AI17*VLOOKUP('Données projet'!$B$10,Paramètres!$A$1:$I$89,3,0)*VLOOKUP('Données projet'!$B$10,Paramètres!$A$1:$I$89,5,0)</f>
        <v>7.8423297176939677</v>
      </c>
      <c r="AK17" s="13">
        <f t="shared" si="35"/>
        <v>2.8436998367326272</v>
      </c>
      <c r="AL17" s="20">
        <f t="shared" si="4"/>
        <v>18.611501473959652</v>
      </c>
      <c r="AM17" s="59">
        <f t="shared" si="5"/>
        <v>292.38927925173743</v>
      </c>
      <c r="AN17" s="59">
        <f ca="1">AVERAGE(OFFSET($AM$3,0,0,'Données projet'!$E$10+1,1))-AVERAGE(OFFSET($H$3,0,0,'Données projet'!$E$10+1,1))</f>
        <v>312.48716825299158</v>
      </c>
      <c r="AO17" s="59">
        <f t="shared" si="36"/>
        <v>258.68277822755357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51.617280000000001</v>
      </c>
      <c r="BF17" s="13">
        <f t="shared" si="37"/>
        <v>15.030652312628483</v>
      </c>
      <c r="BG17" s="20">
        <f t="shared" si="7"/>
        <v>116.07848211116128</v>
      </c>
      <c r="BH17" s="59">
        <f t="shared" si="8"/>
        <v>389.85625988893906</v>
      </c>
      <c r="BI17" s="59">
        <f ca="1">AVERAGE(OFFSET($BH$3,0,0,'Données projet'!$E$11+1,1))-AVERAGE(OFFSET($H$3,0,0,'Données projet'!$E$11+1,1))</f>
        <v>376.58419691967526</v>
      </c>
      <c r="BJ17" s="59">
        <f t="shared" si="38"/>
        <v>365.76175372075869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56.01024000000001</v>
      </c>
      <c r="CA17" s="13">
        <f t="shared" si="39"/>
        <v>16.155528478402793</v>
      </c>
      <c r="CB17" s="20">
        <f t="shared" si="10"/>
        <v>125.68871343321821</v>
      </c>
      <c r="CC17" s="59">
        <f t="shared" si="11"/>
        <v>399.46649121099597</v>
      </c>
      <c r="CD17" s="59">
        <f ca="1">AVERAGE(OFFSET($CC$3,0,0,'Données projet'!$E$12+1,1))-AVERAGE(OFFSET($H$3,0,0,'Données projet'!$E$12+1,1))</f>
        <v>405.40026823646758</v>
      </c>
      <c r="CE17" s="59">
        <f t="shared" si="40"/>
        <v>393.0787141050053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10.6</v>
      </c>
      <c r="CT17" s="12">
        <f>IF('Données projet'!$A$140&gt;35,CT16+CS17-DB16,IF(A17&lt;'Données projet'!$A$140,$CQ$205^A17,IF(A17='Données projet'!$A$140,'Données projet'!$B$140,CT16+CS17-DB16)))</f>
        <v>77.399999999999991</v>
      </c>
      <c r="CU17" s="17">
        <f>CT17*VLOOKUP('Données projet'!$B$13,Paramètres!$A$1:$I$89,3,0)*VLOOKUP('Données projet'!$B$13,Paramètres!$A$1:$I$89,5,0)</f>
        <v>67.616640000000004</v>
      </c>
      <c r="CV17" s="13">
        <f t="shared" si="41"/>
        <v>19.080397298873443</v>
      </c>
      <c r="CW17" s="20">
        <f t="shared" si="13"/>
        <v>150.99733996220459</v>
      </c>
      <c r="CX17" s="59">
        <f t="shared" si="14"/>
        <v>424.77511773998236</v>
      </c>
      <c r="CY17" s="59">
        <f ca="1">AVERAGE(OFFSET($CX$3,0,0,'Données projet'!$E$13+1,1))-AVERAGE(OFFSET($H$3,0,0,'Données projet'!$E$13+1,1))</f>
        <v>381.72225529388083</v>
      </c>
      <c r="CZ17" s="59">
        <f t="shared" si="42"/>
        <v>360.05900046417361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4.0628205128205126</v>
      </c>
      <c r="DO17" s="12">
        <f>IF('Données projet'!$A$166&gt;35,DO16+DN17-DW16,IF(A17&lt;'Données projet'!$A$166,$DL$205^A17,IF(A17='Données projet'!$A$166,'Données projet'!$B$166,DO16+DN17-DW16)))</f>
        <v>9.4068196111151305</v>
      </c>
      <c r="DP17" s="17">
        <f>DO17*VLOOKUP('Données projet'!$B$14,Paramètres!$A$1:$I$89,3,0)*VLOOKUP('Données projet'!$B$14,Paramètres!$A$1:$I$89,5,0)</f>
        <v>9.0982759278705547</v>
      </c>
      <c r="DQ17" s="13">
        <f t="shared" si="43"/>
        <v>3.2425622994348409</v>
      </c>
      <c r="DR17" s="20">
        <f t="shared" si="16"/>
        <v>21.493626579223562</v>
      </c>
      <c r="DS17" s="59">
        <f t="shared" si="17"/>
        <v>295.27140435700136</v>
      </c>
      <c r="DT17" s="59">
        <f ca="1">AVERAGE(OFFSET($DS$3,0,0,'Données projet'!$E$14+1,1))-AVERAGE(OFFSET($H$3,0,0,'Données projet'!$E$14+1,1))</f>
        <v>407.73540492005355</v>
      </c>
      <c r="DU17" s="59">
        <f t="shared" si="44"/>
        <v>296.29416764204774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2.6666666666666665</v>
      </c>
      <c r="EJ17" s="12">
        <f>IF('Données projet'!$A$192&gt;35,EJ16+EI17-ER16,IF(A17&lt;'Données projet'!$A$192,$EG$205^A17,IF(A17='Données projet'!$A$192,'Données projet'!$B$192,EJ16+EI17-ER16)))</f>
        <v>31.279225563578599</v>
      </c>
      <c r="EK17" s="17">
        <f>EJ17*VLOOKUP('Données projet'!$B$15,Paramètres!$A$1:$I$89,3,0)*VLOOKUP('Données projet'!$B$15,Paramètres!$A$1:$I$89,5,0)</f>
        <v>24.397795939591308</v>
      </c>
      <c r="EL17" s="13">
        <f t="shared" si="45"/>
        <v>7.75202295846145</v>
      </c>
      <c r="EM17" s="20">
        <f t="shared" si="19"/>
        <v>55.994267914108548</v>
      </c>
      <c r="EN17" s="59">
        <f t="shared" si="20"/>
        <v>329.77204569188632</v>
      </c>
      <c r="EO17" s="59">
        <f ca="1">AVERAGE(OFFSET($EN$3,0,0,'Données projet'!$E$15+1,1))-AVERAGE(OFFSET($H$3,0,0,'Données projet'!$E$15+1,1))</f>
        <v>288.80569134263209</v>
      </c>
      <c r="EP17" s="59">
        <f t="shared" si="46"/>
        <v>283.48738729114024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298.53108004142928</v>
      </c>
      <c r="S18" s="59">
        <f ca="1">AVERAGE(OFFSET($R$3,0,0,'Données projet'!$E$9+1,1))-AVERAGE(OFFSET($H$3,0,0,'Données projet'!$E$9+1,1))</f>
        <v>384.05928630855732</v>
      </c>
      <c r="T18" s="59">
        <f t="shared" si="34"/>
        <v>279.93992813630513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3.9732905982905979</v>
      </c>
      <c r="AI18" s="13">
        <f>IF('Données projet'!$A$62&gt;35,AI17+AH18-AQ17,IF(A18&lt;'Données projet'!$A$62,$AF$205^A18,IF(A18='Données projet'!$A$62,'Données projet'!$B$62,AI17+AH18-AQ17)))</f>
        <v>10.917816537601178</v>
      </c>
      <c r="AJ18" s="13">
        <f>AI18*VLOOKUP('Données projet'!$B$10,Paramètres!$A$1:$I$89,3,0)*VLOOKUP('Données projet'!$B$10,Paramètres!$A$1:$I$89,5,0)</f>
        <v>9.1971686512752324</v>
      </c>
      <c r="AK18" s="13">
        <f t="shared" si="35"/>
        <v>3.2736848767200426</v>
      </c>
      <c r="AL18" s="20">
        <f t="shared" si="4"/>
        <v>21.720069894591763</v>
      </c>
      <c r="AM18" s="59">
        <f t="shared" si="5"/>
        <v>296.72006989459175</v>
      </c>
      <c r="AN18" s="59">
        <f ca="1">AVERAGE(OFFSET($AM$3,0,0,'Données projet'!$E$10+1,1))-AVERAGE(OFFSET($H$3,0,0,'Données projet'!$E$10+1,1))</f>
        <v>312.48716825299158</v>
      </c>
      <c r="AO18" s="59">
        <f t="shared" si="36"/>
        <v>258.68277822755357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62.321999999999996</v>
      </c>
      <c r="BF18" s="13">
        <f t="shared" si="37"/>
        <v>17.754039836243702</v>
      </c>
      <c r="BG18" s="20">
        <f t="shared" si="7"/>
        <v>139.46576938145776</v>
      </c>
      <c r="BH18" s="59">
        <f t="shared" si="8"/>
        <v>414.46576938145779</v>
      </c>
      <c r="BI18" s="59">
        <f ca="1">AVERAGE(OFFSET($BH$3,0,0,'Données projet'!$E$11+1,1))-AVERAGE(OFFSET($H$3,0,0,'Données projet'!$E$11+1,1))</f>
        <v>376.58419691967526</v>
      </c>
      <c r="BJ18" s="59">
        <f t="shared" si="38"/>
        <v>365.76175372075869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67.626000000000005</v>
      </c>
      <c r="CA18" s="13">
        <f t="shared" si="39"/>
        <v>19.082731089464875</v>
      </c>
      <c r="CB18" s="20">
        <f t="shared" si="10"/>
        <v>151.01770664748466</v>
      </c>
      <c r="CC18" s="59">
        <f t="shared" si="11"/>
        <v>426.01770664748466</v>
      </c>
      <c r="CD18" s="59">
        <f ca="1">AVERAGE(OFFSET($CC$3,0,0,'Données projet'!$E$12+1,1))-AVERAGE(OFFSET($H$3,0,0,'Données projet'!$E$12+1,1))</f>
        <v>405.40026823646758</v>
      </c>
      <c r="CE18" s="59">
        <f t="shared" si="40"/>
        <v>393.0787141050053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88</v>
      </c>
      <c r="CR18" s="12">
        <f>VLOOKUP(A18,'Données projet'!$A$139:$I$159,9,0)</f>
        <v>10.6</v>
      </c>
      <c r="CS18" s="12">
        <f t="array" ref="CS18">INDEX(CR:CR,MIN(IF(ISNUMBER(CR18:CR214),ROW(CR18:CR214),"")))</f>
        <v>10.6</v>
      </c>
      <c r="CT18" s="12">
        <f>IF('Données projet'!$A$140&gt;35,CT17+CS18-DB17,IF(A18&lt;'Données projet'!$A$140,$CQ$205^A18,IF(A18='Données projet'!$A$140,'Données projet'!$B$140,CT17+CS18-DB17)))</f>
        <v>87.999999999999986</v>
      </c>
      <c r="CU18" s="17">
        <f>CT18*VLOOKUP('Données projet'!$B$13,Paramètres!$A$1:$I$89,3,0)*VLOOKUP('Données projet'!$B$13,Paramètres!$A$1:$I$89,5,0)</f>
        <v>76.876799999999989</v>
      </c>
      <c r="CV18" s="13">
        <f t="shared" si="41"/>
        <v>21.371784666185118</v>
      </c>
      <c r="CW18" s="20">
        <f t="shared" si="13"/>
        <v>171.1162849602724</v>
      </c>
      <c r="CX18" s="59">
        <f t="shared" si="14"/>
        <v>446.11628496027242</v>
      </c>
      <c r="CY18" s="59">
        <f ca="1">AVERAGE(OFFSET($CX$3,0,0,'Données projet'!$E$13+1,1))-AVERAGE(OFFSET($H$3,0,0,'Données projet'!$E$13+1,1))</f>
        <v>381.72225529388083</v>
      </c>
      <c r="CZ18" s="59">
        <f t="shared" si="42"/>
        <v>360.05900046417361</v>
      </c>
      <c r="DA18" s="15">
        <f>IF(ISNA(VLOOKUP(A18,'Données projet'!$A$139:$I$159,3,0)),0,VLOOKUP(A18,'Données projet'!$A$139:$I$159,3,0))</f>
        <v>0</v>
      </c>
      <c r="DB18" s="15" t="str">
        <f>IF(ISNA(VLOOKUP(A18,'Données projet'!$A$139:$I$159,4,0)),0,VLOOKUP(A18,'Données projet'!$A$139:$I$159,4,0))</f>
        <v>30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4.0628205128205126</v>
      </c>
      <c r="DO18" s="12">
        <f>IF('Données projet'!$A$166&gt;35,DO17+DN18-DW17,IF(A18&lt;'Données projet'!$A$166,$DL$205^A18,IF(A18='Données projet'!$A$166,'Données projet'!$B$166,DO17+DN18-DW17)))</f>
        <v>11.040136565487554</v>
      </c>
      <c r="DP18" s="17">
        <f>DO18*VLOOKUP('Données projet'!$B$14,Paramètres!$A$1:$I$89,3,0)*VLOOKUP('Données projet'!$B$14,Paramètres!$A$1:$I$89,5,0)</f>
        <v>10.678020086139563</v>
      </c>
      <c r="DQ18" s="13">
        <f t="shared" si="43"/>
        <v>3.7353085072398455</v>
      </c>
      <c r="DR18" s="20">
        <f t="shared" si="16"/>
        <v>25.103213966802468</v>
      </c>
      <c r="DS18" s="59">
        <f t="shared" si="17"/>
        <v>300.10321396680246</v>
      </c>
      <c r="DT18" s="59">
        <f ca="1">AVERAGE(OFFSET($DS$3,0,0,'Données projet'!$E$14+1,1))-AVERAGE(OFFSET($H$3,0,0,'Données projet'!$E$14+1,1))</f>
        <v>407.73540492005355</v>
      </c>
      <c r="DU18" s="59">
        <f t="shared" si="44"/>
        <v>296.29416764204774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40</v>
      </c>
      <c r="EH18" s="12">
        <f>VLOOKUP(A18,'Données projet'!$A$191:$I$211,9,0)</f>
        <v>2.6666666666666665</v>
      </c>
      <c r="EI18" s="12">
        <f t="array" ref="EI18">INDEX(EH:EH,MIN(IF(ISNUMBER(EH18:EH214),ROW(EH18:EH214),"")))</f>
        <v>2.6666666666666665</v>
      </c>
      <c r="EJ18" s="12">
        <f>IF('Données projet'!$A$192&gt;35,EJ17+EI18-ER17,IF(A18&lt;'Données projet'!$A$192,$EG$205^A18,IF(A18='Données projet'!$A$192,'Données projet'!$B$192,EJ17+EI18-ER17)))</f>
        <v>40</v>
      </c>
      <c r="EK18" s="17">
        <f>EJ18*VLOOKUP('Données projet'!$B$15,Paramètres!$A$1:$I$89,3,0)*VLOOKUP('Données projet'!$B$15,Paramètres!$A$1:$I$89,5,0)</f>
        <v>31.200000000000003</v>
      </c>
      <c r="EL18" s="13">
        <f t="shared" si="45"/>
        <v>9.6335657126419925</v>
      </c>
      <c r="EM18" s="20">
        <f t="shared" si="19"/>
        <v>71.118460282851473</v>
      </c>
      <c r="EN18" s="59">
        <f t="shared" si="20"/>
        <v>346.11846028285146</v>
      </c>
      <c r="EO18" s="59">
        <f ca="1">AVERAGE(OFFSET($EN$3,0,0,'Données projet'!$E$15+1,1))-AVERAGE(OFFSET($H$3,0,0,'Données projet'!$E$15+1,1))</f>
        <v>288.80569134263209</v>
      </c>
      <c r="EP18" s="59">
        <f t="shared" si="46"/>
        <v>283.48738729114024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303.70612583194941</v>
      </c>
      <c r="S19" s="59">
        <f ca="1">AVERAGE(OFFSET($R$3,0,0,'Données projet'!$E$9+1,1))-AVERAGE(OFFSET($H$3,0,0,'Données projet'!$E$9+1,1))</f>
        <v>384.05928630855732</v>
      </c>
      <c r="T19" s="59">
        <f t="shared" si="34"/>
        <v>279.93992813630513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3.9732905982905979</v>
      </c>
      <c r="AI19" s="13">
        <f>IF('Données projet'!$A$62&gt;35,AI18+AH19-AQ18,IF(A19&lt;'Données projet'!$A$62,$AF$205^A19,IF(A19='Données projet'!$A$62,'Données projet'!$B$62,AI18+AH19-AQ18)))</f>
        <v>12.803975810076782</v>
      </c>
      <c r="AJ19" s="13">
        <f>AI19*VLOOKUP('Données projet'!$B$10,Paramètres!$A$1:$I$89,3,0)*VLOOKUP('Données projet'!$B$10,Paramètres!$A$1:$I$89,5,0)</f>
        <v>10.786069222408683</v>
      </c>
      <c r="AK19" s="13">
        <f t="shared" si="35"/>
        <v>3.7686863197134151</v>
      </c>
      <c r="AL19" s="20">
        <f t="shared" si="4"/>
        <v>25.349532569195986</v>
      </c>
      <c r="AM19" s="59">
        <f t="shared" si="5"/>
        <v>301.57175479141824</v>
      </c>
      <c r="AN19" s="59">
        <f ca="1">AVERAGE(OFFSET($AM$3,0,0,'Données projet'!$E$10+1,1))-AVERAGE(OFFSET($H$3,0,0,'Données projet'!$E$10+1,1))</f>
        <v>312.48716825299158</v>
      </c>
      <c r="AO19" s="59">
        <f t="shared" si="36"/>
        <v>258.68277822755357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43.258799999999994</v>
      </c>
      <c r="BF19" s="13">
        <f t="shared" si="37"/>
        <v>12.858415781906348</v>
      </c>
      <c r="BG19" s="20">
        <f t="shared" si="7"/>
        <v>97.737484153486875</v>
      </c>
      <c r="BH19" s="59">
        <f t="shared" si="8"/>
        <v>373.95970637570912</v>
      </c>
      <c r="BI19" s="59">
        <f ca="1">AVERAGE(OFFSET($BH$3,0,0,'Données projet'!$E$11+1,1))-AVERAGE(OFFSET($H$3,0,0,'Données projet'!$E$11+1,1))</f>
        <v>376.58419691967526</v>
      </c>
      <c r="BJ19" s="59">
        <f t="shared" si="38"/>
        <v>365.76175372075869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46.940400000000004</v>
      </c>
      <c r="CA19" s="13">
        <f t="shared" si="39"/>
        <v>13.82072434588865</v>
      </c>
      <c r="CB19" s="20">
        <f t="shared" si="10"/>
        <v>105.82562490242275</v>
      </c>
      <c r="CC19" s="59">
        <f t="shared" si="11"/>
        <v>382.04784712464499</v>
      </c>
      <c r="CD19" s="59">
        <f ca="1">AVERAGE(OFFSET($CC$3,0,0,'Données projet'!$E$12+1,1))-AVERAGE(OFFSET($H$3,0,0,'Données projet'!$E$12+1,1))</f>
        <v>405.40026823646758</v>
      </c>
      <c r="CE19" s="59">
        <f t="shared" si="40"/>
        <v>393.0787141050053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11.8</v>
      </c>
      <c r="CT19" s="12">
        <f>IF('Données projet'!$A$140&gt;35,CT18+CS19-DB18,IF(A19&lt;'Données projet'!$A$140,$CQ$205^A19,IF(A19='Données projet'!$A$140,'Données projet'!$B$140,CT18+CS19-DB18)))</f>
        <v>69.799999999999983</v>
      </c>
      <c r="CU19" s="17">
        <f>CT19*VLOOKUP('Données projet'!$B$13,Paramètres!$A$1:$I$89,3,0)*VLOOKUP('Données projet'!$B$13,Paramètres!$A$1:$I$89,5,0)</f>
        <v>60.977279999999993</v>
      </c>
      <c r="CV19" s="13">
        <f t="shared" si="41"/>
        <v>17.415123237238468</v>
      </c>
      <c r="CW19" s="20">
        <f t="shared" si="13"/>
        <v>136.5334356381903</v>
      </c>
      <c r="CX19" s="59">
        <f t="shared" si="14"/>
        <v>412.7556578604125</v>
      </c>
      <c r="CY19" s="59">
        <f ca="1">AVERAGE(OFFSET($CX$3,0,0,'Données projet'!$E$13+1,1))-AVERAGE(OFFSET($H$3,0,0,'Données projet'!$E$13+1,1))</f>
        <v>381.72225529388083</v>
      </c>
      <c r="CZ19" s="59">
        <f t="shared" si="42"/>
        <v>360.05900046417361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4.0628205128205126</v>
      </c>
      <c r="DO19" s="12">
        <f>IF('Données projet'!$A$166&gt;35,DO18+DN19-DW18,IF(A19&lt;'Données projet'!$A$166,$DL$205^A19,IF(A19='Données projet'!$A$166,'Données projet'!$B$166,DO18+DN19-DW18)))</f>
        <v>12.957048229201293</v>
      </c>
      <c r="DP19" s="17">
        <f>DO19*VLOOKUP('Données projet'!$B$14,Paramètres!$A$1:$I$89,3,0)*VLOOKUP('Données projet'!$B$14,Paramètres!$A$1:$I$89,5,0)</f>
        <v>12.532057047283491</v>
      </c>
      <c r="DQ19" s="13">
        <f t="shared" si="43"/>
        <v>4.3029334075370569</v>
      </c>
      <c r="DR19" s="20">
        <f t="shared" si="16"/>
        <v>29.320941708812455</v>
      </c>
      <c r="DS19" s="59">
        <f t="shared" si="17"/>
        <v>305.54316393103466</v>
      </c>
      <c r="DT19" s="59">
        <f ca="1">AVERAGE(OFFSET($DS$3,0,0,'Données projet'!$E$14+1,1))-AVERAGE(OFFSET($H$3,0,0,'Données projet'!$E$14+1,1))</f>
        <v>407.73540492005355</v>
      </c>
      <c r="DU19" s="59">
        <f t="shared" si="44"/>
        <v>296.29416764204774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9.6</v>
      </c>
      <c r="EJ19" s="12">
        <f>IF('Données projet'!$A$192&gt;35,EJ18+EI19-ER18,IF(A19&lt;'Données projet'!$A$192,$EG$205^A19,IF(A19='Données projet'!$A$192,'Données projet'!$B$192,EJ18+EI19-ER18)))</f>
        <v>46.6</v>
      </c>
      <c r="EK19" s="17">
        <f>EJ19*VLOOKUP('Données projet'!$B$15,Paramètres!$A$1:$I$89,3,0)*VLOOKUP('Données projet'!$B$15,Paramètres!$A$1:$I$89,5,0)</f>
        <v>36.347999999999999</v>
      </c>
      <c r="EL19" s="13">
        <f t="shared" si="45"/>
        <v>11.025356771848859</v>
      </c>
      <c r="EM19" s="20">
        <f t="shared" si="19"/>
        <v>82.508596377636763</v>
      </c>
      <c r="EN19" s="59">
        <f t="shared" si="20"/>
        <v>358.73081859985899</v>
      </c>
      <c r="EO19" s="59">
        <f ca="1">AVERAGE(OFFSET($EN$3,0,0,'Données projet'!$E$15+1,1))-AVERAGE(OFFSET($H$3,0,0,'Données projet'!$E$15+1,1))</f>
        <v>288.80569134263209</v>
      </c>
      <c r="EP19" s="59">
        <f t="shared" si="46"/>
        <v>283.48738729114024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309.54730843064073</v>
      </c>
      <c r="S20" s="59">
        <f ca="1">AVERAGE(OFFSET($R$3,0,0,'Données projet'!$E$9+1,1))-AVERAGE(OFFSET($H$3,0,0,'Données projet'!$E$9+1,1))</f>
        <v>384.05928630855732</v>
      </c>
      <c r="T20" s="59">
        <f t="shared" si="34"/>
        <v>279.93992813630513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3.9732905982905979</v>
      </c>
      <c r="AI20" s="13">
        <f>IF('Données projet'!$A$62&gt;35,AI19+AH20-AQ19,IF(A20&lt;'Données projet'!$A$62,$AF$205^A20,IF(A20='Données projet'!$A$62,'Données projet'!$B$62,AI19+AH20-AQ19)))</f>
        <v>15.015987489844015</v>
      </c>
      <c r="AJ20" s="13">
        <f>AI20*VLOOKUP('Données projet'!$B$10,Paramètres!$A$1:$I$89,3,0)*VLOOKUP('Données projet'!$B$10,Paramètres!$A$1:$I$89,5,0)</f>
        <v>12.649467861444599</v>
      </c>
      <c r="AK20" s="13">
        <f t="shared" si="35"/>
        <v>4.3385350488056895</v>
      </c>
      <c r="AL20" s="20">
        <f t="shared" si="4"/>
        <v>29.587438402019249</v>
      </c>
      <c r="AM20" s="59">
        <f t="shared" si="5"/>
        <v>307.0318828464637</v>
      </c>
      <c r="AN20" s="59">
        <f ca="1">AVERAGE(OFFSET($AM$3,0,0,'Données projet'!$E$10+1,1))-AVERAGE(OFFSET($H$3,0,0,'Données projet'!$E$10+1,1))</f>
        <v>312.48716825299158</v>
      </c>
      <c r="AO20" s="59">
        <f t="shared" si="36"/>
        <v>258.68277822755357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54.99</v>
      </c>
      <c r="BF20" s="13">
        <f t="shared" si="37"/>
        <v>15.895227919347008</v>
      </c>
      <c r="BG20" s="20">
        <f t="shared" si="7"/>
        <v>123.45843862619604</v>
      </c>
      <c r="BH20" s="59">
        <f t="shared" si="8"/>
        <v>400.90288307064048</v>
      </c>
      <c r="BI20" s="59">
        <f ca="1">AVERAGE(OFFSET($BH$3,0,0,'Données projet'!$E$11+1,1))-AVERAGE(OFFSET($H$3,0,0,'Données projet'!$E$11+1,1))</f>
        <v>376.58419691967526</v>
      </c>
      <c r="BJ20" s="59">
        <f t="shared" si="38"/>
        <v>365.76175372075869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59.67</v>
      </c>
      <c r="CA20" s="13">
        <f t="shared" si="39"/>
        <v>17.084807896591332</v>
      </c>
      <c r="CB20" s="20">
        <f t="shared" si="10"/>
        <v>133.68129041989656</v>
      </c>
      <c r="CC20" s="59">
        <f t="shared" si="11"/>
        <v>411.12573486434098</v>
      </c>
      <c r="CD20" s="59">
        <f ca="1">AVERAGE(OFFSET($CC$3,0,0,'Données projet'!$E$12+1,1))-AVERAGE(OFFSET($H$3,0,0,'Données projet'!$E$12+1,1))</f>
        <v>405.40026823646758</v>
      </c>
      <c r="CE20" s="59">
        <f t="shared" si="40"/>
        <v>393.0787141050053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11.8</v>
      </c>
      <c r="CT20" s="12">
        <f>IF('Données projet'!$A$140&gt;35,CT19+CS20-DB19,IF(A20&lt;'Données projet'!$A$140,$CQ$205^A20,IF(A20='Données projet'!$A$140,'Données projet'!$B$140,CT19+CS20-DB19)))</f>
        <v>81.59999999999998</v>
      </c>
      <c r="CU20" s="17">
        <f>CT20*VLOOKUP('Données projet'!$B$13,Paramètres!$A$1:$I$89,3,0)*VLOOKUP('Données projet'!$B$13,Paramètres!$A$1:$I$89,5,0)</f>
        <v>71.285759999999982</v>
      </c>
      <c r="CV20" s="13">
        <f t="shared" si="41"/>
        <v>19.992418069182566</v>
      </c>
      <c r="CW20" s="20">
        <f t="shared" si="13"/>
        <v>158.97616013715958</v>
      </c>
      <c r="CX20" s="59">
        <f t="shared" si="14"/>
        <v>436.42060458160404</v>
      </c>
      <c r="CY20" s="59">
        <f ca="1">AVERAGE(OFFSET($CX$3,0,0,'Données projet'!$E$13+1,1))-AVERAGE(OFFSET($H$3,0,0,'Données projet'!$E$13+1,1))</f>
        <v>381.72225529388083</v>
      </c>
      <c r="CZ20" s="59">
        <f t="shared" si="42"/>
        <v>360.05900046417361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4.0628205128205126</v>
      </c>
      <c r="DO20" s="12">
        <f>IF('Données projet'!$A$166&gt;35,DO19+DN20-DW19,IF(A20&lt;'Données projet'!$A$166,$DL$205^A20,IF(A20='Données projet'!$A$166,'Données projet'!$B$166,DO19+DN20-DW19)))</f>
        <v>15.206795479203771</v>
      </c>
      <c r="DP20" s="17">
        <f>DO20*VLOOKUP('Données projet'!$B$14,Paramètres!$A$1:$I$89,3,0)*VLOOKUP('Données projet'!$B$14,Paramètres!$A$1:$I$89,5,0)</f>
        <v>14.708012587485888</v>
      </c>
      <c r="DQ20" s="13">
        <f t="shared" si="43"/>
        <v>4.9568157151710226</v>
      </c>
      <c r="DR20" s="20">
        <f t="shared" si="16"/>
        <v>34.249575960460788</v>
      </c>
      <c r="DS20" s="59">
        <f t="shared" si="17"/>
        <v>311.69402040490525</v>
      </c>
      <c r="DT20" s="59">
        <f ca="1">AVERAGE(OFFSET($DS$3,0,0,'Données projet'!$E$14+1,1))-AVERAGE(OFFSET($H$3,0,0,'Données projet'!$E$14+1,1))</f>
        <v>407.73540492005355</v>
      </c>
      <c r="DU20" s="59">
        <f t="shared" si="44"/>
        <v>296.29416764204774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9.6</v>
      </c>
      <c r="EJ20" s="12">
        <f>IF('Données projet'!$A$192&gt;35,EJ19+EI20-ER19,IF(A20&lt;'Données projet'!$A$192,$EG$205^A20,IF(A20='Données projet'!$A$192,'Données projet'!$B$192,EJ19+EI20-ER19)))</f>
        <v>56.2</v>
      </c>
      <c r="EK20" s="17">
        <f>EJ20*VLOOKUP('Données projet'!$B$15,Paramètres!$A$1:$I$89,3,0)*VLOOKUP('Données projet'!$B$15,Paramètres!$A$1:$I$89,5,0)</f>
        <v>43.836000000000006</v>
      </c>
      <c r="EL20" s="13">
        <f t="shared" si="45"/>
        <v>13.009897179721728</v>
      </c>
      <c r="EM20" s="20">
        <f t="shared" si="19"/>
        <v>99.006604254682017</v>
      </c>
      <c r="EN20" s="59">
        <f t="shared" si="20"/>
        <v>376.45104869912649</v>
      </c>
      <c r="EO20" s="59">
        <f ca="1">AVERAGE(OFFSET($EN$3,0,0,'Données projet'!$E$15+1,1))-AVERAGE(OFFSET($H$3,0,0,'Données projet'!$E$15+1,1))</f>
        <v>288.80569134263209</v>
      </c>
      <c r="EP20" s="59">
        <f t="shared" si="46"/>
        <v>283.48738729114024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316.16722083858792</v>
      </c>
      <c r="S21" s="59">
        <f ca="1">AVERAGE(OFFSET($R$3,0,0,'Données projet'!$E$9+1,1))-AVERAGE(OFFSET($H$3,0,0,'Données projet'!$E$9+1,1))</f>
        <v>384.05928630855732</v>
      </c>
      <c r="T21" s="59">
        <f t="shared" si="34"/>
        <v>279.93992813630513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3.9732905982905979</v>
      </c>
      <c r="AI21" s="13">
        <f>IF('Données projet'!$A$62&gt;35,AI20+AH21-AQ20,IF(A21&lt;'Données projet'!$A$62,$AF$205^A21,IF(A21='Données projet'!$A$62,'Données projet'!$B$62,AI20+AH21-AQ20)))</f>
        <v>17.610145757827684</v>
      </c>
      <c r="AJ21" s="13">
        <f>AI21*VLOOKUP('Données projet'!$B$10,Paramètres!$A$1:$I$89,3,0)*VLOOKUP('Données projet'!$B$10,Paramètres!$A$1:$I$89,5,0)</f>
        <v>14.834786786394043</v>
      </c>
      <c r="AK21" s="13">
        <f t="shared" si="35"/>
        <v>4.9945484375432834</v>
      </c>
      <c r="AL21" s="20">
        <f t="shared" si="4"/>
        <v>34.53609218169084</v>
      </c>
      <c r="AM21" s="59">
        <f t="shared" si="5"/>
        <v>313.20275884835752</v>
      </c>
      <c r="AN21" s="59">
        <f ca="1">AVERAGE(OFFSET($AM$3,0,0,'Données projet'!$E$10+1,1))-AVERAGE(OFFSET($H$3,0,0,'Données projet'!$E$10+1,1))</f>
        <v>312.48716825299158</v>
      </c>
      <c r="AO21" s="59">
        <f t="shared" si="36"/>
        <v>258.68277822755357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66.721199999999996</v>
      </c>
      <c r="BF21" s="13">
        <f t="shared" si="37"/>
        <v>18.856956599005905</v>
      </c>
      <c r="BG21" s="20">
        <f t="shared" si="7"/>
        <v>149.0486227432686</v>
      </c>
      <c r="BH21" s="59">
        <f t="shared" si="8"/>
        <v>427.71528940993528</v>
      </c>
      <c r="BI21" s="59">
        <f ca="1">AVERAGE(OFFSET($BH$3,0,0,'Données projet'!$E$11+1,1))-AVERAGE(OFFSET($H$3,0,0,'Données projet'!$E$11+1,1))</f>
        <v>376.58419691967526</v>
      </c>
      <c r="BJ21" s="59">
        <f t="shared" si="38"/>
        <v>365.76175372075869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72.399600000000007</v>
      </c>
      <c r="CA21" s="13">
        <f t="shared" si="39"/>
        <v>20.268188832715463</v>
      </c>
      <c r="CB21" s="20">
        <f t="shared" si="10"/>
        <v>161.39639888364613</v>
      </c>
      <c r="CC21" s="59">
        <f t="shared" si="11"/>
        <v>440.06306555031279</v>
      </c>
      <c r="CD21" s="59">
        <f ca="1">AVERAGE(OFFSET($CC$3,0,0,'Données projet'!$E$12+1,1))-AVERAGE(OFFSET($H$3,0,0,'Données projet'!$E$12+1,1))</f>
        <v>405.40026823646758</v>
      </c>
      <c r="CE21" s="59">
        <f t="shared" si="40"/>
        <v>393.0787141050053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11.8</v>
      </c>
      <c r="CT21" s="12">
        <f>IF('Données projet'!$A$140&gt;35,CT20+CS21-DB20,IF(A21&lt;'Données projet'!$A$140,$CQ$205^A21,IF(A21='Données projet'!$A$140,'Données projet'!$B$140,CT20+CS21-DB20)))</f>
        <v>93.399999999999977</v>
      </c>
      <c r="CU21" s="17">
        <f>CT21*VLOOKUP('Données projet'!$B$13,Paramètres!$A$1:$I$89,3,0)*VLOOKUP('Données projet'!$B$13,Paramètres!$A$1:$I$89,5,0)</f>
        <v>81.594239999999999</v>
      </c>
      <c r="CV21" s="13">
        <f t="shared" si="41"/>
        <v>22.526535320646335</v>
      </c>
      <c r="CW21" s="20">
        <f t="shared" si="13"/>
        <v>181.34368368345903</v>
      </c>
      <c r="CX21" s="59">
        <f t="shared" si="14"/>
        <v>460.01035035012569</v>
      </c>
      <c r="CY21" s="59">
        <f ca="1">AVERAGE(OFFSET($CX$3,0,0,'Données projet'!$E$13+1,1))-AVERAGE(OFFSET($H$3,0,0,'Données projet'!$E$13+1,1))</f>
        <v>381.72225529388083</v>
      </c>
      <c r="CZ21" s="59">
        <f t="shared" si="42"/>
        <v>360.05900046417361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4.0628205128205126</v>
      </c>
      <c r="DO21" s="12">
        <f>IF('Données projet'!$A$166&gt;35,DO20+DN21-DW20,IF(A21&lt;'Données projet'!$A$166,$DL$205^A21,IF(A21='Données projet'!$A$166,'Données projet'!$B$166,DO20+DN21-DW20)))</f>
        <v>17.847168942782186</v>
      </c>
      <c r="DP21" s="17">
        <f>DO21*VLOOKUP('Données projet'!$B$14,Paramètres!$A$1:$I$89,3,0)*VLOOKUP('Données projet'!$B$14,Paramètres!$A$1:$I$89,5,0)</f>
        <v>17.26178180145893</v>
      </c>
      <c r="DQ21" s="13">
        <f t="shared" si="43"/>
        <v>5.710063277095883</v>
      </c>
      <c r="DR21" s="20">
        <f t="shared" si="16"/>
        <v>40.009296845149635</v>
      </c>
      <c r="DS21" s="59">
        <f t="shared" si="17"/>
        <v>318.67596351181635</v>
      </c>
      <c r="DT21" s="59">
        <f ca="1">AVERAGE(OFFSET($DS$3,0,0,'Données projet'!$E$14+1,1))-AVERAGE(OFFSET($H$3,0,0,'Données projet'!$E$14+1,1))</f>
        <v>407.73540492005355</v>
      </c>
      <c r="DU21" s="59">
        <f t="shared" si="44"/>
        <v>296.29416764204774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9.6</v>
      </c>
      <c r="EJ21" s="12">
        <f>IF('Données projet'!$A$192&gt;35,EJ20+EI21-ER20,IF(A21&lt;'Données projet'!$A$192,$EG$205^A21,IF(A21='Données projet'!$A$192,'Données projet'!$B$192,EJ20+EI21-ER20)))</f>
        <v>65.8</v>
      </c>
      <c r="EK21" s="17">
        <f>EJ21*VLOOKUP('Données projet'!$B$15,Paramètres!$A$1:$I$89,3,0)*VLOOKUP('Données projet'!$B$15,Paramètres!$A$1:$I$89,5,0)</f>
        <v>51.323999999999998</v>
      </c>
      <c r="EL21" s="13">
        <f t="shared" si="45"/>
        <v>14.95516659950003</v>
      </c>
      <c r="EM21" s="20">
        <f t="shared" si="19"/>
        <v>115.43621516079588</v>
      </c>
      <c r="EN21" s="59">
        <f t="shared" si="20"/>
        <v>394.10288182746257</v>
      </c>
      <c r="EO21" s="59">
        <f ca="1">AVERAGE(OFFSET($EN$3,0,0,'Données projet'!$E$15+1,1))-AVERAGE(OFFSET($H$3,0,0,'Données projet'!$E$15+1,1))</f>
        <v>288.80569134263209</v>
      </c>
      <c r="EP21" s="59">
        <f t="shared" si="46"/>
        <v>283.48738729114024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323.69753932281691</v>
      </c>
      <c r="S22" s="59">
        <f ca="1">AVERAGE(OFFSET($R$3,0,0,'Données projet'!$E$9+1,1))-AVERAGE(OFFSET($H$3,0,0,'Données projet'!$E$9+1,1))</f>
        <v>384.05928630855732</v>
      </c>
      <c r="T22" s="59">
        <f t="shared" si="34"/>
        <v>279.93992813630513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3.9732905982905979</v>
      </c>
      <c r="AI22" s="13">
        <f>IF('Données projet'!$A$62&gt;35,AI21+AH22-AQ21,IF(A22&lt;'Données projet'!$A$62,$AF$205^A22,IF(A22='Données projet'!$A$62,'Données projet'!$B$62,AI21+AH22-AQ21)))</f>
        <v>20.652470163662738</v>
      </c>
      <c r="AJ22" s="13">
        <f>AI22*VLOOKUP('Données projet'!$B$10,Paramètres!$A$1:$I$89,3,0)*VLOOKUP('Données projet'!$B$10,Paramètres!$A$1:$I$89,5,0)</f>
        <v>17.397640865869491</v>
      </c>
      <c r="AK22" s="13">
        <f t="shared" si="35"/>
        <v>5.7497551164956144</v>
      </c>
      <c r="AL22" s="20">
        <f t="shared" si="4"/>
        <v>40.315048002619221</v>
      </c>
      <c r="AM22" s="59">
        <f t="shared" si="5"/>
        <v>320.20393689150808</v>
      </c>
      <c r="AN22" s="59">
        <f ca="1">AVERAGE(OFFSET($AM$3,0,0,'Données projet'!$E$10+1,1))-AVERAGE(OFFSET($H$3,0,0,'Données projet'!$E$10+1,1))</f>
        <v>312.48716825299158</v>
      </c>
      <c r="AO22" s="59">
        <f t="shared" si="36"/>
        <v>258.68277822755357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78.452399999999997</v>
      </c>
      <c r="BF22" s="13">
        <f t="shared" si="37"/>
        <v>21.75835875604599</v>
      </c>
      <c r="BG22" s="20">
        <f t="shared" si="7"/>
        <v>174.53373816678013</v>
      </c>
      <c r="BH22" s="59">
        <f t="shared" si="8"/>
        <v>454.42262705566895</v>
      </c>
      <c r="BI22" s="59">
        <f ca="1">AVERAGE(OFFSET($BH$3,0,0,'Données projet'!$E$11+1,1))-AVERAGE(OFFSET($H$3,0,0,'Données projet'!$E$11+1,1))</f>
        <v>376.58419691967526</v>
      </c>
      <c r="BJ22" s="59">
        <f t="shared" si="38"/>
        <v>365.76175372075869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85.129199999999997</v>
      </c>
      <c r="CA22" s="13">
        <f t="shared" si="39"/>
        <v>23.386728480923388</v>
      </c>
      <c r="CB22" s="20">
        <f t="shared" si="10"/>
        <v>188.99857543760822</v>
      </c>
      <c r="CC22" s="59">
        <f t="shared" si="11"/>
        <v>468.88746432649708</v>
      </c>
      <c r="CD22" s="59">
        <f ca="1">AVERAGE(OFFSET($CC$3,0,0,'Données projet'!$E$12+1,1))-AVERAGE(OFFSET($H$3,0,0,'Données projet'!$E$12+1,1))</f>
        <v>405.40026823646758</v>
      </c>
      <c r="CE22" s="59">
        <f t="shared" si="40"/>
        <v>393.0787141050053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11.8</v>
      </c>
      <c r="CT22" s="12">
        <f>IF('Données projet'!$A$140&gt;35,CT21+CS22-DB21,IF(A22&lt;'Données projet'!$A$140,$CQ$205^A22,IF(A22='Données projet'!$A$140,'Données projet'!$B$140,CT21+CS22-DB21)))</f>
        <v>105.19999999999997</v>
      </c>
      <c r="CU22" s="17">
        <f>CT22*VLOOKUP('Données projet'!$B$13,Paramètres!$A$1:$I$89,3,0)*VLOOKUP('Données projet'!$B$13,Paramètres!$A$1:$I$89,5,0)</f>
        <v>91.902719999999988</v>
      </c>
      <c r="CV22" s="13">
        <f t="shared" si="41"/>
        <v>25.023555003327861</v>
      </c>
      <c r="CW22" s="20">
        <f t="shared" si="13"/>
        <v>203.64659563079599</v>
      </c>
      <c r="CX22" s="59">
        <f t="shared" si="14"/>
        <v>483.53548451968481</v>
      </c>
      <c r="CY22" s="59">
        <f ca="1">AVERAGE(OFFSET($CX$3,0,0,'Données projet'!$E$13+1,1))-AVERAGE(OFFSET($H$3,0,0,'Données projet'!$E$13+1,1))</f>
        <v>381.72225529388083</v>
      </c>
      <c r="CZ22" s="59">
        <f t="shared" si="42"/>
        <v>360.05900046417361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4.0628205128205126</v>
      </c>
      <c r="DO22" s="12">
        <f>IF('Données projet'!$A$166&gt;35,DO21+DN22-DW21,IF(A22&lt;'Données projet'!$A$166,$DL$205^A22,IF(A22='Données projet'!$A$166,'Données projet'!$B$166,DO21+DN22-DW21)))</f>
        <v>20.945993500590358</v>
      </c>
      <c r="DP22" s="17">
        <f>DO22*VLOOKUP('Données projet'!$B$14,Paramètres!$A$1:$I$89,3,0)*VLOOKUP('Données projet'!$B$14,Paramètres!$A$1:$I$89,5,0)</f>
        <v>20.258964913770992</v>
      </c>
      <c r="DQ22" s="13">
        <f t="shared" si="43"/>
        <v>6.5777758347253874</v>
      </c>
      <c r="DR22" s="20">
        <f t="shared" si="16"/>
        <v>46.74065680363119</v>
      </c>
      <c r="DS22" s="59">
        <f t="shared" si="17"/>
        <v>326.62954569252003</v>
      </c>
      <c r="DT22" s="59">
        <f ca="1">AVERAGE(OFFSET($DS$3,0,0,'Données projet'!$E$14+1,1))-AVERAGE(OFFSET($H$3,0,0,'Données projet'!$E$14+1,1))</f>
        <v>407.73540492005355</v>
      </c>
      <c r="DU22" s="59">
        <f t="shared" si="44"/>
        <v>296.29416764204774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9.6</v>
      </c>
      <c r="EJ22" s="12">
        <f>IF('Données projet'!$A$192&gt;35,EJ21+EI22-ER21,IF(A22&lt;'Données projet'!$A$192,$EG$205^A22,IF(A22='Données projet'!$A$192,'Données projet'!$B$192,EJ21+EI22-ER21)))</f>
        <v>75.399999999999991</v>
      </c>
      <c r="EK22" s="17">
        <f>EJ22*VLOOKUP('Données projet'!$B$15,Paramètres!$A$1:$I$89,3,0)*VLOOKUP('Données projet'!$B$15,Paramètres!$A$1:$I$89,5,0)</f>
        <v>58.811999999999998</v>
      </c>
      <c r="EL22" s="13">
        <f t="shared" si="45"/>
        <v>16.86755663452599</v>
      </c>
      <c r="EM22" s="20">
        <f t="shared" si="19"/>
        <v>131.8085611384661</v>
      </c>
      <c r="EN22" s="59">
        <f t="shared" si="20"/>
        <v>411.69745002735499</v>
      </c>
      <c r="EO22" s="59">
        <f ca="1">AVERAGE(OFFSET($EN$3,0,0,'Données projet'!$E$15+1,1))-AVERAGE(OFFSET($H$3,0,0,'Données projet'!$E$15+1,1))</f>
        <v>288.80569134263209</v>
      </c>
      <c r="EP22" s="59">
        <f t="shared" si="46"/>
        <v>283.48738729114024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332.29226599272459</v>
      </c>
      <c r="S23" s="59">
        <f ca="1">AVERAGE(OFFSET($R$3,0,0,'Données projet'!$E$9+1,1))-AVERAGE(OFFSET($H$3,0,0,'Données projet'!$E$9+1,1))</f>
        <v>384.05928630855732</v>
      </c>
      <c r="T23" s="59">
        <f t="shared" si="34"/>
        <v>279.93992813630513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3.9732905982905979</v>
      </c>
      <c r="AI23" s="13">
        <f>IF('Données projet'!$A$62&gt;35,AI22+AH23-AQ22,IF(A23&lt;'Données projet'!$A$62,$AF$205^A23,IF(A23='Données projet'!$A$62,'Données projet'!$B$62,AI22+AH23-AQ22)))</f>
        <v>24.220385777976311</v>
      </c>
      <c r="AJ23" s="13">
        <f>AI23*VLOOKUP('Données projet'!$B$10,Paramètres!$A$1:$I$89,3,0)*VLOOKUP('Données projet'!$B$10,Paramètres!$A$1:$I$89,5,0)</f>
        <v>20.403252979367245</v>
      </c>
      <c r="AK23" s="13">
        <f t="shared" si="35"/>
        <v>6.6191537259229927</v>
      </c>
      <c r="AL23" s="20">
        <f t="shared" si="4"/>
        <v>47.064025011713824</v>
      </c>
      <c r="AM23" s="59">
        <f t="shared" si="5"/>
        <v>328.17513612282494</v>
      </c>
      <c r="AN23" s="59">
        <f ca="1">AVERAGE(OFFSET($AM$3,0,0,'Données projet'!$E$10+1,1))-AVERAGE(OFFSET($H$3,0,0,'Données projet'!$E$10+1,1))</f>
        <v>312.48716825299158</v>
      </c>
      <c r="AO23" s="59">
        <f t="shared" si="36"/>
        <v>258.68277822755357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90.183599999999998</v>
      </c>
      <c r="BF23" s="13">
        <f t="shared" si="37"/>
        <v>24.609499639553789</v>
      </c>
      <c r="BG23" s="20">
        <f t="shared" si="7"/>
        <v>199.93131520555619</v>
      </c>
      <c r="BH23" s="59">
        <f t="shared" si="8"/>
        <v>481.04242631666733</v>
      </c>
      <c r="BI23" s="59">
        <f ca="1">AVERAGE(OFFSET($BH$3,0,0,'Données projet'!$E$11+1,1))-AVERAGE(OFFSET($H$3,0,0,'Données projet'!$E$11+1,1))</f>
        <v>376.58419691967526</v>
      </c>
      <c r="BJ23" s="59">
        <f t="shared" si="38"/>
        <v>365.76175372075869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5.16E-2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1.7496661933398556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1.7496661933398556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97.858800000000016</v>
      </c>
      <c r="CA23" s="13">
        <f t="shared" si="39"/>
        <v>26.45124536158788</v>
      </c>
      <c r="CB23" s="20">
        <f t="shared" si="10"/>
        <v>216.50666233809889</v>
      </c>
      <c r="CC23" s="59">
        <f t="shared" si="11"/>
        <v>497.61777344921006</v>
      </c>
      <c r="CD23" s="59">
        <f ca="1">AVERAGE(OFFSET($CC$3,0,0,'Données projet'!$E$12+1,1))-AVERAGE(OFFSET($H$3,0,0,'Données projet'!$E$12+1,1))</f>
        <v>405.40026823646758</v>
      </c>
      <c r="CE23" s="59">
        <f t="shared" si="40"/>
        <v>393.0787141050053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6.3600000000000004E-2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2.3401027810972939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2.3401027810972939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117</v>
      </c>
      <c r="CR23" s="12">
        <f>VLOOKUP(A23,'Données projet'!$A$139:$I$159,9,0)</f>
        <v>11.8</v>
      </c>
      <c r="CS23" s="12">
        <f t="array" ref="CS23">INDEX(CR:CR,MIN(IF(ISNUMBER(CR23:CR219),ROW(CR23:CR219),"")))</f>
        <v>11.8</v>
      </c>
      <c r="CT23" s="12">
        <f>IF('Données projet'!$A$140&gt;35,CT22+CS23-DB22,IF(A23&lt;'Données projet'!$A$140,$CQ$205^A23,IF(A23='Données projet'!$A$140,'Données projet'!$B$140,CT22+CS23-DB22)))</f>
        <v>116.99999999999997</v>
      </c>
      <c r="CU23" s="17">
        <f>CT23*VLOOKUP('Données projet'!$B$13,Paramètres!$A$1:$I$89,3,0)*VLOOKUP('Données projet'!$B$13,Paramètres!$A$1:$I$89,5,0)</f>
        <v>102.21119999999999</v>
      </c>
      <c r="CV23" s="13">
        <f t="shared" si="41"/>
        <v>27.488113037666018</v>
      </c>
      <c r="CW23" s="20">
        <f t="shared" si="13"/>
        <v>225.89297020726829</v>
      </c>
      <c r="CX23" s="59">
        <f t="shared" si="14"/>
        <v>507.00408131837946</v>
      </c>
      <c r="CY23" s="59">
        <f ca="1">AVERAGE(OFFSET($CX$3,0,0,'Données projet'!$E$13+1,1))-AVERAGE(OFFSET($H$3,0,0,'Données projet'!$E$13+1,1))</f>
        <v>381.72225529388083</v>
      </c>
      <c r="CZ23" s="59">
        <f t="shared" si="42"/>
        <v>360.05900046417361</v>
      </c>
      <c r="DA23" s="15">
        <f>IF(ISNA(VLOOKUP(A23,'Données projet'!$A$139:$I$159,3,0)),0,VLOOKUP(A23,'Données projet'!$A$139:$I$159,3,0))</f>
        <v>1</v>
      </c>
      <c r="DB23" s="15" t="str">
        <f>IF(ISNA(VLOOKUP(A23,'Données projet'!$A$139:$I$159,4,0)),0,VLOOKUP(A23,'Données projet'!$A$139:$I$159,4,0))</f>
        <v>29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4.0628205128205126</v>
      </c>
      <c r="DO23" s="12">
        <f>IF('Données projet'!$A$166&gt;35,DO22+DN23-DW22,IF(A23&lt;'Données projet'!$A$166,$DL$205^A23,IF(A23='Données projet'!$A$166,'Données projet'!$B$166,DO22+DN23-DW22)))</f>
        <v>24.582870545650774</v>
      </c>
      <c r="DP23" s="17">
        <f>DO23*VLOOKUP('Données projet'!$B$14,Paramètres!$A$1:$I$89,3,0)*VLOOKUP('Données projet'!$B$14,Paramètres!$A$1:$I$89,5,0)</f>
        <v>23.776552391753427</v>
      </c>
      <c r="DQ23" s="13">
        <f t="shared" si="43"/>
        <v>7.5773477161715004</v>
      </c>
      <c r="DR23" s="20">
        <f t="shared" si="16"/>
        <v>54.608042687969252</v>
      </c>
      <c r="DS23" s="59">
        <f t="shared" si="17"/>
        <v>335.7191537990804</v>
      </c>
      <c r="DT23" s="59">
        <f ca="1">AVERAGE(OFFSET($DS$3,0,0,'Données projet'!$E$14+1,1))-AVERAGE(OFFSET($H$3,0,0,'Données projet'!$E$14+1,1))</f>
        <v>407.73540492005355</v>
      </c>
      <c r="DU23" s="59">
        <f t="shared" si="44"/>
        <v>296.29416764204774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85</v>
      </c>
      <c r="EH23" s="12">
        <f>VLOOKUP(A23,'Données projet'!$A$191:$I$211,9,0)</f>
        <v>9.6</v>
      </c>
      <c r="EI23" s="12">
        <f t="array" ref="EI23">INDEX(EH:EH,MIN(IF(ISNUMBER(EH23:EH219),ROW(EH23:EH219),"")))</f>
        <v>9.6</v>
      </c>
      <c r="EJ23" s="12">
        <f>IF('Données projet'!$A$192&gt;35,EJ22+EI23-ER22,IF(A23&lt;'Données projet'!$A$192,$EG$205^A23,IF(A23='Données projet'!$A$192,'Données projet'!$B$192,EJ22+EI23-ER22)))</f>
        <v>84.999999999999986</v>
      </c>
      <c r="EK23" s="17">
        <f>EJ23*VLOOKUP('Données projet'!$B$15,Paramètres!$A$1:$I$89,3,0)*VLOOKUP('Données projet'!$B$15,Paramètres!$A$1:$I$89,5,0)</f>
        <v>66.3</v>
      </c>
      <c r="EL23" s="13">
        <f t="shared" si="45"/>
        <v>18.751733344032118</v>
      </c>
      <c r="EM23" s="20">
        <f t="shared" si="19"/>
        <v>148.13176890752257</v>
      </c>
      <c r="EN23" s="59">
        <f t="shared" si="20"/>
        <v>429.24288001863374</v>
      </c>
      <c r="EO23" s="59">
        <f ca="1">AVERAGE(OFFSET($EN$3,0,0,'Données projet'!$E$15+1,1))-AVERAGE(OFFSET($H$3,0,0,'Données projet'!$E$15+1,1))</f>
        <v>288.80569134263209</v>
      </c>
      <c r="EP23" s="59">
        <f t="shared" si="46"/>
        <v>283.48738729114024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0.215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4.6164360471015273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4.6164360471015273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342.13152361878485</v>
      </c>
      <c r="S24" s="59">
        <f ca="1">AVERAGE(OFFSET($R$3,0,0,'Données projet'!$E$9+1,1))-AVERAGE(OFFSET($H$3,0,0,'Données projet'!$E$9+1,1))</f>
        <v>384.05928630855732</v>
      </c>
      <c r="T24" s="59">
        <f t="shared" si="34"/>
        <v>279.93992813630513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3.9732905982905979</v>
      </c>
      <c r="AI24" s="13">
        <f>IF('Données projet'!$A$62&gt;35,AI23+AH24-AQ23,IF(A24&lt;'Données projet'!$A$62,$AF$205^A24,IF(A24='Données projet'!$A$62,'Données projet'!$B$62,AI23+AH24-AQ23)))</f>
        <v>28.404693607360635</v>
      </c>
      <c r="AJ24" s="13">
        <f>AI24*VLOOKUP('Données projet'!$B$10,Paramètres!$A$1:$I$89,3,0)*VLOOKUP('Données projet'!$B$10,Paramètres!$A$1:$I$89,5,0)</f>
        <v>23.9281138948406</v>
      </c>
      <c r="AK24" s="13">
        <f t="shared" si="35"/>
        <v>7.6200107934516144</v>
      </c>
      <c r="AL24" s="20">
        <f t="shared" si="4"/>
        <v>54.946317165442274</v>
      </c>
      <c r="AM24" s="59">
        <f t="shared" si="5"/>
        <v>337.2796504987756</v>
      </c>
      <c r="AN24" s="59">
        <f ca="1">AVERAGE(OFFSET($AM$3,0,0,'Données projet'!$E$10+1,1))-AVERAGE(OFFSET($H$3,0,0,'Données projet'!$E$10+1,1))</f>
        <v>312.48716825299158</v>
      </c>
      <c r="AO24" s="59">
        <f t="shared" si="36"/>
        <v>258.68277822755357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71.706960000000009</v>
      </c>
      <c r="BF24" s="13">
        <f t="shared" si="37"/>
        <v>20.096759687088312</v>
      </c>
      <c r="BG24" s="20">
        <f t="shared" si="7"/>
        <v>159.89147845501216</v>
      </c>
      <c r="BH24" s="59">
        <f t="shared" si="8"/>
        <v>442.22481178834551</v>
      </c>
      <c r="BI24" s="59">
        <f ca="1">AVERAGE(OFFSET($BH$3,0,0,'Données projet'!$E$11+1,1))-AVERAGE(OFFSET($H$3,0,0,'Données projet'!$E$11+1,1))</f>
        <v>376.58419691967526</v>
      </c>
      <c r="BJ24" s="59">
        <f t="shared" si="38"/>
        <v>365.76175372075869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1.701821479272031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1.701821479272031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77.809680000000014</v>
      </c>
      <c r="CA24" s="13">
        <f t="shared" si="39"/>
        <v>21.600777311280577</v>
      </c>
      <c r="CB24" s="20">
        <f t="shared" si="10"/>
        <v>173.13987981714703</v>
      </c>
      <c r="CC24" s="59">
        <f t="shared" si="11"/>
        <v>455.47321315048032</v>
      </c>
      <c r="CD24" s="59">
        <f ca="1">AVERAGE(OFFSET($CC$3,0,0,'Données projet'!$E$12+1,1))-AVERAGE(OFFSET($H$3,0,0,'Données projet'!$E$12+1,1))</f>
        <v>405.40026823646758</v>
      </c>
      <c r="CE24" s="59">
        <f t="shared" si="40"/>
        <v>393.0787141050053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2.2761125474875317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2.2761125474875317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11.4</v>
      </c>
      <c r="CT24" s="12">
        <f>IF('Données projet'!$A$140&gt;35,CT23+CS24-DB23,IF(A24&lt;'Données projet'!$A$140,$CQ$205^A24,IF(A24='Données projet'!$A$140,'Données projet'!$B$140,CT23+CS24-DB23)))</f>
        <v>99.399999999999977</v>
      </c>
      <c r="CU24" s="17">
        <f>CT24*VLOOKUP('Données projet'!$B$13,Paramètres!$A$1:$I$89,3,0)*VLOOKUP('Données projet'!$B$13,Paramètres!$A$1:$I$89,5,0)</f>
        <v>86.83583999999999</v>
      </c>
      <c r="CV24" s="13">
        <f t="shared" si="41"/>
        <v>23.800523515695954</v>
      </c>
      <c r="CW24" s="20">
        <f t="shared" si="13"/>
        <v>192.69166645650375</v>
      </c>
      <c r="CX24" s="59">
        <f t="shared" si="14"/>
        <v>475.02499978983707</v>
      </c>
      <c r="CY24" s="59">
        <f ca="1">AVERAGE(OFFSET($CX$3,0,0,'Données projet'!$E$13+1,1))-AVERAGE(OFFSET($H$3,0,0,'Données projet'!$E$13+1,1))</f>
        <v>381.72225529388083</v>
      </c>
      <c r="CZ24" s="59">
        <f t="shared" si="42"/>
        <v>360.05900046417361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4.0628205128205126</v>
      </c>
      <c r="DO24" s="12">
        <f>IF('Données projet'!$A$166&gt;35,DO23+DN24-DW23,IF(A24&lt;'Données projet'!$A$166,$DL$205^A24,IF(A24='Données projet'!$A$166,'Données projet'!$B$166,DO23+DN24-DW23)))</f>
        <v>28.851222752799568</v>
      </c>
      <c r="DP24" s="17">
        <f>DO24*VLOOKUP('Données projet'!$B$14,Paramètres!$A$1:$I$89,3,0)*VLOOKUP('Données projet'!$B$14,Paramètres!$A$1:$I$89,5,0)</f>
        <v>27.904902646507743</v>
      </c>
      <c r="DQ24" s="13">
        <f t="shared" si="43"/>
        <v>8.7288165261968871</v>
      </c>
      <c r="DR24" s="20">
        <f t="shared" si="16"/>
        <v>63.803727559127225</v>
      </c>
      <c r="DS24" s="59">
        <f t="shared" si="17"/>
        <v>346.13706089246057</v>
      </c>
      <c r="DT24" s="59">
        <f ca="1">AVERAGE(OFFSET($DS$3,0,0,'Données projet'!$E$14+1,1))-AVERAGE(OFFSET($H$3,0,0,'Données projet'!$E$14+1,1))</f>
        <v>407.73540492005355</v>
      </c>
      <c r="DU24" s="59">
        <f t="shared" si="44"/>
        <v>296.29416764204774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10.6</v>
      </c>
      <c r="EJ24" s="12">
        <f>IF('Données projet'!$A$192&gt;35,EJ23+EI24-ER23,IF(A24&lt;'Données projet'!$A$192,$EG$205^A24,IF(A24='Données projet'!$A$192,'Données projet'!$B$192,EJ23+EI24-ER23)))</f>
        <v>70.59999999999998</v>
      </c>
      <c r="EK24" s="17">
        <f>EJ24*VLOOKUP('Données projet'!$B$15,Paramètres!$A$1:$I$89,3,0)*VLOOKUP('Données projet'!$B$15,Paramètres!$A$1:$I$89,5,0)</f>
        <v>55.067999999999984</v>
      </c>
      <c r="EL24" s="13">
        <f t="shared" si="45"/>
        <v>15.915148294580479</v>
      </c>
      <c r="EM24" s="20">
        <f t="shared" si="19"/>
        <v>123.62898327972762</v>
      </c>
      <c r="EN24" s="59">
        <f t="shared" si="20"/>
        <v>405.96231661306092</v>
      </c>
      <c r="EO24" s="59">
        <f ca="1">AVERAGE(OFFSET($EN$3,0,0,'Données projet'!$E$15+1,1))-AVERAGE(OFFSET($H$3,0,0,'Données projet'!$E$15+1,1))</f>
        <v>288.80569134263209</v>
      </c>
      <c r="EP24" s="59">
        <f t="shared" si="46"/>
        <v>283.48738729114024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4.4901993606257156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4.4901993606257156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353.42599694336508</v>
      </c>
      <c r="S25" s="59">
        <f ca="1">AVERAGE(OFFSET($R$3,0,0,'Données projet'!$E$9+1,1))-AVERAGE(OFFSET($H$3,0,0,'Données projet'!$E$9+1,1))</f>
        <v>384.05928630855732</v>
      </c>
      <c r="T25" s="59">
        <f t="shared" si="34"/>
        <v>279.93992813630513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3.9732905982905979</v>
      </c>
      <c r="AI25" s="13">
        <f>IF('Données projet'!$A$62&gt;35,AI24+AH25-AQ24,IF(A25&lt;'Données projet'!$A$62,$AF$205^A25,IF(A25='Données projet'!$A$62,'Données projet'!$B$62,AI24+AH25-AQ24)))</f>
        <v>33.311881417747053</v>
      </c>
      <c r="AJ25" s="13">
        <f>AI25*VLOOKUP('Données projet'!$B$10,Paramètres!$A$1:$I$89,3,0)*VLOOKUP('Données projet'!$B$10,Paramètres!$A$1:$I$89,5,0)</f>
        <v>28.061928906310122</v>
      </c>
      <c r="AK25" s="13">
        <f t="shared" si="35"/>
        <v>8.77220365269919</v>
      </c>
      <c r="AL25" s="20">
        <f t="shared" si="4"/>
        <v>64.152780873607881</v>
      </c>
      <c r="AM25" s="59">
        <f t="shared" si="5"/>
        <v>347.70833642916341</v>
      </c>
      <c r="AN25" s="59">
        <f ca="1">AVERAGE(OFFSET($AM$3,0,0,'Données projet'!$E$10+1,1))-AVERAGE(OFFSET($H$3,0,0,'Données projet'!$E$10+1,1))</f>
        <v>312.48716825299158</v>
      </c>
      <c r="AO25" s="59">
        <f t="shared" si="36"/>
        <v>258.68277822755357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84.024720000000002</v>
      </c>
      <c r="BF25" s="13">
        <f t="shared" si="37"/>
        <v>23.11842031654454</v>
      </c>
      <c r="BG25" s="20">
        <f t="shared" si="7"/>
        <v>186.6076360513151</v>
      </c>
      <c r="BH25" s="59">
        <f t="shared" si="8"/>
        <v>470.16319160687067</v>
      </c>
      <c r="BI25" s="59">
        <f ca="1">AVERAGE(OFFSET($BH$3,0,0,'Données projet'!$E$11+1,1))-AVERAGE(OFFSET($H$3,0,0,'Données projet'!$E$11+1,1))</f>
        <v>376.58419691967526</v>
      </c>
      <c r="BJ25" s="59">
        <f t="shared" si="38"/>
        <v>365.76175372075869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1.6552850814264353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1.6552850814264353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91.175760000000011</v>
      </c>
      <c r="CA25" s="13">
        <f t="shared" si="39"/>
        <v>24.848575433138123</v>
      </c>
      <c r="CB25" s="20">
        <f t="shared" si="10"/>
        <v>202.07571754604893</v>
      </c>
      <c r="CC25" s="59">
        <f t="shared" si="11"/>
        <v>485.63127310160451</v>
      </c>
      <c r="CD25" s="59">
        <f ca="1">AVERAGE(OFFSET($CC$3,0,0,'Données projet'!$E$12+1,1))-AVERAGE(OFFSET($H$3,0,0,'Données projet'!$E$12+1,1))</f>
        <v>405.40026823646758</v>
      </c>
      <c r="CE25" s="59">
        <f t="shared" si="40"/>
        <v>393.0787141050053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2.2138721301809285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2.2138721301809285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11.4</v>
      </c>
      <c r="CT25" s="12">
        <f>IF('Données projet'!$A$140&gt;35,CT24+CS25-DB24,IF(A25&lt;'Données projet'!$A$140,$CQ$205^A25,IF(A25='Données projet'!$A$140,'Données projet'!$B$140,CT24+CS25-DB24)))</f>
        <v>110.79999999999998</v>
      </c>
      <c r="CU25" s="17">
        <f>CT25*VLOOKUP('Données projet'!$B$13,Paramètres!$A$1:$I$89,3,0)*VLOOKUP('Données projet'!$B$13,Paramètres!$A$1:$I$89,5,0)</f>
        <v>96.794879999999992</v>
      </c>
      <c r="CV25" s="13">
        <f t="shared" si="41"/>
        <v>26.196980264498734</v>
      </c>
      <c r="CW25" s="20">
        <f t="shared" si="13"/>
        <v>214.21082329400193</v>
      </c>
      <c r="CX25" s="59">
        <f t="shared" si="14"/>
        <v>497.76637884955744</v>
      </c>
      <c r="CY25" s="59">
        <f ca="1">AVERAGE(OFFSET($CX$3,0,0,'Données projet'!$E$13+1,1))-AVERAGE(OFFSET($H$3,0,0,'Données projet'!$E$13+1,1))</f>
        <v>381.72225529388083</v>
      </c>
      <c r="CZ25" s="59">
        <f t="shared" si="42"/>
        <v>360.05900046417361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4.0628205128205126</v>
      </c>
      <c r="DO25" s="12">
        <f>IF('Données projet'!$A$166&gt;35,DO24+DN25-DW24,IF(A25&lt;'Données projet'!$A$166,$DL$205^A25,IF(A25='Données projet'!$A$166,'Données projet'!$B$166,DO24+DN25-DW24)))</f>
        <v>33.860693883812012</v>
      </c>
      <c r="DP25" s="17">
        <f>DO25*VLOOKUP('Données projet'!$B$14,Paramètres!$A$1:$I$89,3,0)*VLOOKUP('Données projet'!$B$14,Paramètres!$A$1:$I$89,5,0)</f>
        <v>32.750063124422979</v>
      </c>
      <c r="DQ25" s="13">
        <f t="shared" si="43"/>
        <v>10.055264823785132</v>
      </c>
      <c r="DR25" s="20">
        <f t="shared" si="16"/>
        <v>74.552612843129126</v>
      </c>
      <c r="DS25" s="59">
        <f t="shared" si="17"/>
        <v>358.10816839868465</v>
      </c>
      <c r="DT25" s="59">
        <f ca="1">AVERAGE(OFFSET($DS$3,0,0,'Données projet'!$E$14+1,1))-AVERAGE(OFFSET($H$3,0,0,'Données projet'!$E$14+1,1))</f>
        <v>407.73540492005355</v>
      </c>
      <c r="DU25" s="59">
        <f t="shared" si="44"/>
        <v>296.29416764204774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10.6</v>
      </c>
      <c r="EJ25" s="12">
        <f>IF('Données projet'!$A$192&gt;35,EJ24+EI25-ER24,IF(A25&lt;'Données projet'!$A$192,$EG$205^A25,IF(A25='Données projet'!$A$192,'Données projet'!$B$192,EJ24+EI25-ER24)))</f>
        <v>81.199999999999974</v>
      </c>
      <c r="EK25" s="17">
        <f>EJ25*VLOOKUP('Données projet'!$B$15,Paramètres!$A$1:$I$89,3,0)*VLOOKUP('Données projet'!$B$15,Paramètres!$A$1:$I$89,5,0)</f>
        <v>63.335999999999984</v>
      </c>
      <c r="EL25" s="13">
        <f t="shared" si="45"/>
        <v>18.009040022946227</v>
      </c>
      <c r="EM25" s="20">
        <f t="shared" si="19"/>
        <v>141.67594470663133</v>
      </c>
      <c r="EN25" s="59">
        <f t="shared" si="20"/>
        <v>425.23150026218684</v>
      </c>
      <c r="EO25" s="59">
        <f ca="1">AVERAGE(OFFSET($EN$3,0,0,'Données projet'!$E$15+1,1))-AVERAGE(OFFSET($H$3,0,0,'Données projet'!$E$15+1,1))</f>
        <v>288.80569134263209</v>
      </c>
      <c r="EP25" s="59">
        <f t="shared" si="46"/>
        <v>283.48738729114024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4.3674146229800836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4.3674146229800836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366.42213084948315</v>
      </c>
      <c r="S26" s="59">
        <f ca="1">AVERAGE(OFFSET($R$3,0,0,'Données projet'!$E$9+1,1))-AVERAGE(OFFSET($H$3,0,0,'Données projet'!$E$9+1,1))</f>
        <v>384.05928630855732</v>
      </c>
      <c r="T26" s="59">
        <f t="shared" si="34"/>
        <v>279.93992813630513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3.9732905982905979</v>
      </c>
      <c r="AI26" s="13">
        <f>IF('Données projet'!$A$62&gt;35,AI25+AH26-AQ25,IF(A26&lt;'Données projet'!$A$62,$AF$205^A26,IF(A26='Données projet'!$A$62,'Données projet'!$B$62,AI25+AH26-AQ25)))</f>
        <v>39.066833775052054</v>
      </c>
      <c r="AJ26" s="13">
        <f>AI26*VLOOKUP('Données projet'!$B$10,Paramètres!$A$1:$I$89,3,0)*VLOOKUP('Données projet'!$B$10,Paramètres!$A$1:$I$89,5,0)</f>
        <v>32.909900772103853</v>
      </c>
      <c r="AK26" s="13">
        <f t="shared" si="35"/>
        <v>10.098615213322089</v>
      </c>
      <c r="AL26" s="20">
        <f t="shared" si="4"/>
        <v>74.906498674616856</v>
      </c>
      <c r="AM26" s="59">
        <f t="shared" si="5"/>
        <v>359.68427645239461</v>
      </c>
      <c r="AN26" s="59">
        <f ca="1">AVERAGE(OFFSET($AM$3,0,0,'Données projet'!$E$10+1,1))-AVERAGE(OFFSET($H$3,0,0,'Données projet'!$E$10+1,1))</f>
        <v>312.48716825299158</v>
      </c>
      <c r="AO26" s="59">
        <f t="shared" si="36"/>
        <v>258.68277822755357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96.342480000000009</v>
      </c>
      <c r="BF26" s="13">
        <f t="shared" si="37"/>
        <v>26.088763268244669</v>
      </c>
      <c r="BG26" s="20">
        <f t="shared" si="7"/>
        <v>213.23441535885948</v>
      </c>
      <c r="BH26" s="59">
        <f t="shared" si="8"/>
        <v>498.01219313663728</v>
      </c>
      <c r="BI26" s="59">
        <f ca="1">AVERAGE(OFFSET($BH$3,0,0,'Données projet'!$E$11+1,1))-AVERAGE(OFFSET($H$3,0,0,'Données projet'!$E$11+1,1))</f>
        <v>376.58419691967526</v>
      </c>
      <c r="BJ26" s="59">
        <f t="shared" si="38"/>
        <v>365.76175372075869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1.6100212238271703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1.6100212238271703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104.54184000000002</v>
      </c>
      <c r="CA26" s="13">
        <f t="shared" si="39"/>
        <v>28.041215323191079</v>
      </c>
      <c r="CB26" s="20">
        <f t="shared" si="10"/>
        <v>230.91548802122449</v>
      </c>
      <c r="CC26" s="59">
        <f t="shared" si="11"/>
        <v>515.69326579900223</v>
      </c>
      <c r="CD26" s="59">
        <f ca="1">AVERAGE(OFFSET($CC$3,0,0,'Données projet'!$E$12+1,1))-AVERAGE(OFFSET($H$3,0,0,'Données projet'!$E$12+1,1))</f>
        <v>405.40026823646758</v>
      </c>
      <c r="CE26" s="59">
        <f t="shared" si="40"/>
        <v>393.0787141050053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2.1533336803586556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2.1533336803586556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11.4</v>
      </c>
      <c r="CT26" s="12">
        <f>IF('Données projet'!$A$140&gt;35,CT25+CS26-DB25,IF(A26&lt;'Données projet'!$A$140,$CQ$205^A26,IF(A26='Données projet'!$A$140,'Données projet'!$B$140,CT25+CS26-DB25)))</f>
        <v>122.19999999999999</v>
      </c>
      <c r="CU26" s="17">
        <f>CT26*VLOOKUP('Données projet'!$B$13,Paramètres!$A$1:$I$89,3,0)*VLOOKUP('Données projet'!$B$13,Paramètres!$A$1:$I$89,5,0)</f>
        <v>106.75392000000001</v>
      </c>
      <c r="CV26" s="13">
        <f t="shared" si="41"/>
        <v>28.564854626855976</v>
      </c>
      <c r="CW26" s="20">
        <f t="shared" si="13"/>
        <v>235.68019914177421</v>
      </c>
      <c r="CX26" s="59">
        <f t="shared" si="14"/>
        <v>520.45797691955204</v>
      </c>
      <c r="CY26" s="59">
        <f ca="1">AVERAGE(OFFSET($CX$3,0,0,'Données projet'!$E$13+1,1))-AVERAGE(OFFSET($H$3,0,0,'Données projet'!$E$13+1,1))</f>
        <v>381.72225529388083</v>
      </c>
      <c r="CZ26" s="59">
        <f t="shared" si="42"/>
        <v>360.05900046417361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4.0628205128205126</v>
      </c>
      <c r="DO26" s="12">
        <f>IF('Données projet'!$A$166&gt;35,DO25+DN26-DW25,IF(A26&lt;'Données projet'!$A$166,$DL$205^A26,IF(A26='Données projet'!$A$166,'Données projet'!$B$166,DO25+DN26-DW25)))</f>
        <v>39.739965273463824</v>
      </c>
      <c r="DP26" s="17">
        <f>DO26*VLOOKUP('Données projet'!$B$14,Paramètres!$A$1:$I$89,3,0)*VLOOKUP('Données projet'!$B$14,Paramètres!$A$1:$I$89,5,0)</f>
        <v>38.436494412494213</v>
      </c>
      <c r="DQ26" s="13">
        <f t="shared" si="43"/>
        <v>11.583282839432428</v>
      </c>
      <c r="DR26" s="20">
        <f t="shared" si="16"/>
        <v>87.117778713772225</v>
      </c>
      <c r="DS26" s="59">
        <f t="shared" si="17"/>
        <v>371.89555649155</v>
      </c>
      <c r="DT26" s="59">
        <f ca="1">AVERAGE(OFFSET($DS$3,0,0,'Données projet'!$E$14+1,1))-AVERAGE(OFFSET($H$3,0,0,'Données projet'!$E$14+1,1))</f>
        <v>407.73540492005355</v>
      </c>
      <c r="DU26" s="59">
        <f t="shared" si="44"/>
        <v>296.29416764204774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10.6</v>
      </c>
      <c r="EJ26" s="12">
        <f>IF('Données projet'!$A$192&gt;35,EJ25+EI26-ER25,IF(A26&lt;'Données projet'!$A$192,$EG$205^A26,IF(A26='Données projet'!$A$192,'Données projet'!$B$192,EJ25+EI26-ER25)))</f>
        <v>91.799999999999969</v>
      </c>
      <c r="EK26" s="17">
        <f>EJ26*VLOOKUP('Données projet'!$B$15,Paramètres!$A$1:$I$89,3,0)*VLOOKUP('Données projet'!$B$15,Paramètres!$A$1:$I$89,5,0)</f>
        <v>71.603999999999985</v>
      </c>
      <c r="EL26" s="13">
        <f t="shared" si="45"/>
        <v>20.071260561992585</v>
      </c>
      <c r="EM26" s="20">
        <f t="shared" si="19"/>
        <v>159.66774547880371</v>
      </c>
      <c r="EN26" s="59">
        <f t="shared" si="20"/>
        <v>444.44552325658151</v>
      </c>
      <c r="EO26" s="59">
        <f ca="1">AVERAGE(OFFSET($EN$3,0,0,'Données projet'!$E$15+1,1))-AVERAGE(OFFSET($H$3,0,0,'Données projet'!$E$15+1,1))</f>
        <v>288.80569134263209</v>
      </c>
      <c r="EP26" s="59">
        <f t="shared" si="46"/>
        <v>283.48738729114024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4.2479874404423397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4.2479874404423397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381.40821462978687</v>
      </c>
      <c r="S27" s="59">
        <f ca="1">AVERAGE(OFFSET($R$3,0,0,'Données projet'!$E$9+1,1))-AVERAGE(OFFSET($H$3,0,0,'Données projet'!$E$9+1,1))</f>
        <v>384.05928630855732</v>
      </c>
      <c r="T27" s="59">
        <f t="shared" si="34"/>
        <v>279.93992813630513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3.9732905982905979</v>
      </c>
      <c r="AI27" s="13">
        <f>IF('Données projet'!$A$62&gt;35,AI26+AH27-AQ26,IF(A27&lt;'Données projet'!$A$62,$AF$205^A27,IF(A27='Données projet'!$A$62,'Données projet'!$B$62,AI26+AH27-AQ26)))</f>
        <v>45.81601027177193</v>
      </c>
      <c r="AJ27" s="13">
        <f>AI27*VLOOKUP('Données projet'!$B$10,Paramètres!$A$1:$I$89,3,0)*VLOOKUP('Données projet'!$B$10,Paramètres!$A$1:$I$89,5,0)</f>
        <v>38.595407052940679</v>
      </c>
      <c r="AK27" s="13">
        <f t="shared" si="35"/>
        <v>11.625588422740357</v>
      </c>
      <c r="AL27" s="20">
        <f t="shared" si="4"/>
        <v>87.46823378681114</v>
      </c>
      <c r="AM27" s="59">
        <f t="shared" si="5"/>
        <v>373.46823378681114</v>
      </c>
      <c r="AN27" s="59">
        <f ca="1">AVERAGE(OFFSET($AM$3,0,0,'Données projet'!$E$10+1,1))-AVERAGE(OFFSET($H$3,0,0,'Données projet'!$E$10+1,1))</f>
        <v>312.48716825299158</v>
      </c>
      <c r="AO27" s="59">
        <f t="shared" si="36"/>
        <v>258.68277822755357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108.66024000000002</v>
      </c>
      <c r="BF27" s="13">
        <f t="shared" si="37"/>
        <v>29.015101890437414</v>
      </c>
      <c r="BG27" s="20">
        <f t="shared" si="7"/>
        <v>239.78455379251184</v>
      </c>
      <c r="BH27" s="59">
        <f t="shared" si="8"/>
        <v>525.78455379251182</v>
      </c>
      <c r="BI27" s="59">
        <f ca="1">AVERAGE(OFFSET($BH$3,0,0,'Données projet'!$E$11+1,1))-AVERAGE(OFFSET($H$3,0,0,'Données projet'!$E$11+1,1))</f>
        <v>376.58419691967526</v>
      </c>
      <c r="BJ27" s="59">
        <f t="shared" si="38"/>
        <v>365.76175372075869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1.5659951087942798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1.5659951087942798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117.90792000000002</v>
      </c>
      <c r="CA27" s="13">
        <f t="shared" si="39"/>
        <v>31.186557651984323</v>
      </c>
      <c r="CB27" s="20">
        <f t="shared" si="10"/>
        <v>259.67288191053939</v>
      </c>
      <c r="CC27" s="59">
        <f t="shared" si="11"/>
        <v>545.67288191053945</v>
      </c>
      <c r="CD27" s="59">
        <f ca="1">AVERAGE(OFFSET($CC$3,0,0,'Données projet'!$E$12+1,1))-AVERAGE(OFFSET($H$3,0,0,'Données projet'!$E$12+1,1))</f>
        <v>405.40026823646758</v>
      </c>
      <c r="CE27" s="59">
        <f t="shared" si="40"/>
        <v>393.0787141050053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2.0944506576303512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2.0944506576303512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11.4</v>
      </c>
      <c r="CT27" s="12">
        <f>IF('Données projet'!$A$140&gt;35,CT26+CS27-DB26,IF(A27&lt;'Données projet'!$A$140,$CQ$205^A27,IF(A27='Données projet'!$A$140,'Données projet'!$B$140,CT26+CS27-DB26)))</f>
        <v>133.6</v>
      </c>
      <c r="CU27" s="17">
        <f>CT27*VLOOKUP('Données projet'!$B$13,Paramètres!$A$1:$I$89,3,0)*VLOOKUP('Données projet'!$B$13,Paramètres!$A$1:$I$89,5,0)</f>
        <v>116.71296000000001</v>
      </c>
      <c r="CV27" s="13">
        <f t="shared" si="41"/>
        <v>30.90711634982064</v>
      </c>
      <c r="CW27" s="20">
        <f t="shared" si="13"/>
        <v>257.10496630927094</v>
      </c>
      <c r="CX27" s="59">
        <f t="shared" si="14"/>
        <v>543.10496630927094</v>
      </c>
      <c r="CY27" s="59">
        <f ca="1">AVERAGE(OFFSET($CX$3,0,0,'Données projet'!$E$13+1,1))-AVERAGE(OFFSET($H$3,0,0,'Données projet'!$E$13+1,1))</f>
        <v>381.72225529388083</v>
      </c>
      <c r="CZ27" s="59">
        <f t="shared" si="42"/>
        <v>360.05900046417361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4.0628205128205126</v>
      </c>
      <c r="DO27" s="12">
        <f>IF('Données projet'!$A$166&gt;35,DO26+DN27-DW26,IF(A27&lt;'Données projet'!$A$166,$DL$205^A27,IF(A27='Données projet'!$A$166,'Données projet'!$B$166,DO26+DN27-DW26)))</f>
        <v>46.640061345320483</v>
      </c>
      <c r="DP27" s="17">
        <f>DO27*VLOOKUP('Données projet'!$B$14,Paramètres!$A$1:$I$89,3,0)*VLOOKUP('Données projet'!$B$14,Paramètres!$A$1:$I$89,5,0)</f>
        <v>45.110267333193974</v>
      </c>
      <c r="DQ27" s="13">
        <f t="shared" si="43"/>
        <v>13.343501507878033</v>
      </c>
      <c r="DR27" s="20">
        <f t="shared" si="16"/>
        <v>101.80698073153373</v>
      </c>
      <c r="DS27" s="59">
        <f t="shared" si="17"/>
        <v>387.80698073153371</v>
      </c>
      <c r="DT27" s="59">
        <f ca="1">AVERAGE(OFFSET($DS$3,0,0,'Données projet'!$E$14+1,1))-AVERAGE(OFFSET($H$3,0,0,'Données projet'!$E$14+1,1))</f>
        <v>407.73540492005355</v>
      </c>
      <c r="DU27" s="59">
        <f t="shared" si="44"/>
        <v>296.29416764204774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10.6</v>
      </c>
      <c r="EJ27" s="12">
        <f>IF('Données projet'!$A$192&gt;35,EJ26+EI27-ER26,IF(A27&lt;'Données projet'!$A$192,$EG$205^A27,IF(A27='Données projet'!$A$192,'Données projet'!$B$192,EJ26+EI27-ER26)))</f>
        <v>102.39999999999996</v>
      </c>
      <c r="EK27" s="17">
        <f>EJ27*VLOOKUP('Données projet'!$B$15,Paramètres!$A$1:$I$89,3,0)*VLOOKUP('Données projet'!$B$15,Paramètres!$A$1:$I$89,5,0)</f>
        <v>79.871999999999971</v>
      </c>
      <c r="EL27" s="13">
        <f t="shared" si="45"/>
        <v>22.105884547145401</v>
      </c>
      <c r="EM27" s="20">
        <f t="shared" si="19"/>
        <v>177.61148225294485</v>
      </c>
      <c r="EN27" s="59">
        <f t="shared" si="20"/>
        <v>463.61148225294482</v>
      </c>
      <c r="EO27" s="59">
        <f ca="1">AVERAGE(OFFSET($EN$3,0,0,'Données projet'!$E$15+1,1))-AVERAGE(OFFSET($H$3,0,0,'Données projet'!$E$15+1,1))</f>
        <v>288.80569134263209</v>
      </c>
      <c r="EP27" s="59">
        <f t="shared" si="46"/>
        <v>283.48738729114024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4.1318260004914933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4.1318260004914933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398.72150370848578</v>
      </c>
      <c r="S28" s="59">
        <f ca="1">AVERAGE(OFFSET($R$3,0,0,'Données projet'!$E$9+1,1))-AVERAGE(OFFSET($H$3,0,0,'Données projet'!$E$9+1,1))</f>
        <v>384.05928630855732</v>
      </c>
      <c r="T28" s="59">
        <f t="shared" si="34"/>
        <v>279.93992813630513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3.9732905982905979</v>
      </c>
      <c r="AI28" s="13">
        <f>IF('Données projet'!$A$62&gt;35,AI27+AH28-AQ27,IF(A28&lt;'Données projet'!$A$62,$AF$205^A28,IF(A28='Données projet'!$A$62,'Données projet'!$B$62,AI27+AH28-AQ27)))</f>
        <v>53.731172823214408</v>
      </c>
      <c r="AJ28" s="13">
        <f>AI28*VLOOKUP('Données projet'!$B$10,Paramètres!$A$1:$I$89,3,0)*VLOOKUP('Données projet'!$B$10,Paramètres!$A$1:$I$89,5,0)</f>
        <v>45.263139986275824</v>
      </c>
      <c r="AK28" s="13">
        <f t="shared" si="35"/>
        <v>13.383449445292175</v>
      </c>
      <c r="AL28" s="20">
        <f t="shared" si="4"/>
        <v>102.1428099266476</v>
      </c>
      <c r="AM28" s="59">
        <f t="shared" si="5"/>
        <v>389.36503214886983</v>
      </c>
      <c r="AN28" s="59">
        <f ca="1">AVERAGE(OFFSET($AM$3,0,0,'Données projet'!$E$10+1,1))-AVERAGE(OFFSET($H$3,0,0,'Données projet'!$E$10+1,1))</f>
        <v>312.48716825299158</v>
      </c>
      <c r="AO28" s="59">
        <f t="shared" si="36"/>
        <v>258.68277822755357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120.97800000000002</v>
      </c>
      <c r="BF28" s="13">
        <f t="shared" si="37"/>
        <v>31.902993864447531</v>
      </c>
      <c r="BG28" s="20">
        <f t="shared" si="7"/>
        <v>266.26773098057953</v>
      </c>
      <c r="BH28" s="59">
        <f t="shared" si="8"/>
        <v>553.48995320280176</v>
      </c>
      <c r="BI28" s="59">
        <f ca="1">AVERAGE(OFFSET($BH$3,0,0,'Données projet'!$E$11+1,1))-AVERAGE(OFFSET($H$3,0,0,'Données projet'!$E$11+1,1))</f>
        <v>376.58419691967526</v>
      </c>
      <c r="BJ28" s="59">
        <f t="shared" si="38"/>
        <v>365.76175372075869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6.0200000000000004E-2</v>
      </c>
      <c r="BN28" s="16">
        <f>IF(ISNA(VLOOKUP(A28,'Données projet'!$A$87:$I$107,6,0)),0%,VLOOKUP(A28,'Données projet'!$A$87:$I$107,6,0)*VLOOKUP('Données projet'!$B$11,Paramètres!$A$1:$I$89,7,0))</f>
        <v>0.18489999999999998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2.0493462827404669</v>
      </c>
      <c r="BQ28" s="21">
        <f>EXP(-LN(2)/25)*BQ27+(1-EXP(-LN(2)/25))/(LN(2)/25)*Calculateur!BL28*Calculateur!BN28*VLOOKUP('Données projet'!$B$11,Paramètres!$A$1:$I$89,3,0)*0.475*44/12</f>
        <v>7.7928100829933467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9.842156365733814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131.27400000000003</v>
      </c>
      <c r="CA28" s="13">
        <f t="shared" si="39"/>
        <v>34.290576031111669</v>
      </c>
      <c r="CB28" s="20">
        <f t="shared" si="10"/>
        <v>288.35830325418618</v>
      </c>
      <c r="CC28" s="59">
        <f t="shared" si="11"/>
        <v>575.58052547640841</v>
      </c>
      <c r="CD28" s="59">
        <f ca="1">AVERAGE(OFFSET($CC$3,0,0,'Données projet'!$E$12+1,1))-AVERAGE(OFFSET($H$3,0,0,'Données projet'!$E$12+1,1))</f>
        <v>405.40026823646758</v>
      </c>
      <c r="CE28" s="59">
        <f t="shared" si="40"/>
        <v>393.0787141050053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7.4200000000000016E-2</v>
      </c>
      <c r="CI28" s="16">
        <f>IF(ISNA(VLOOKUP(A28,'Données projet'!$A$113:$I$133,6,0)),0%,VLOOKUP(A28,'Données projet'!$A$113:$I$133,6,0)*VLOOKUP('Données projet'!$B$12,Paramètres!$A$1:$I$89,7,0))</f>
        <v>0.22790000000000002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2.7409119259017731</v>
      </c>
      <c r="CL28" s="21">
        <f>EXP(-LN(2)/25)*CL27+(1-EXP(-LN(2)/25))/(LN(2)/25)*Calculateur!CG28*Calculateur!CI28*VLOOKUP('Données projet'!$B$12,Paramètres!$A$1:$I$89,3,0)*0.475*44/12</f>
        <v>10.422546093187046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13.16345801908882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145</v>
      </c>
      <c r="CR28" s="12">
        <f>VLOOKUP(A28,'Données projet'!$A$139:$I$159,9,0)</f>
        <v>11.4</v>
      </c>
      <c r="CS28" s="12">
        <f t="array" ref="CS28">INDEX(CR:CR,MIN(IF(ISNUMBER(CR28:CR224),ROW(CR28:CR224),"")))</f>
        <v>11.4</v>
      </c>
      <c r="CT28" s="12">
        <f>IF('Données projet'!$A$140&gt;35,CT27+CS28-DB27,IF(A28&lt;'Données projet'!$A$140,$CQ$205^A28,IF(A28='Données projet'!$A$140,'Données projet'!$B$140,CT27+CS28-DB27)))</f>
        <v>145</v>
      </c>
      <c r="CU28" s="17">
        <f>CT28*VLOOKUP('Données projet'!$B$13,Paramètres!$A$1:$I$89,3,0)*VLOOKUP('Données projet'!$B$13,Paramètres!$A$1:$I$89,5,0)</f>
        <v>126.67200000000001</v>
      </c>
      <c r="CV28" s="13">
        <f t="shared" si="41"/>
        <v>33.226199426361347</v>
      </c>
      <c r="CW28" s="20">
        <f t="shared" si="13"/>
        <v>278.48936400091276</v>
      </c>
      <c r="CX28" s="59">
        <f t="shared" si="14"/>
        <v>565.71158622313499</v>
      </c>
      <c r="CY28" s="59">
        <f ca="1">AVERAGE(OFFSET($CX$3,0,0,'Données projet'!$E$13+1,1))-AVERAGE(OFFSET($H$3,0,0,'Données projet'!$E$13+1,1))</f>
        <v>381.72225529388083</v>
      </c>
      <c r="CZ28" s="59">
        <f t="shared" si="42"/>
        <v>360.05900046417361</v>
      </c>
      <c r="DA28" s="15">
        <f>IF(ISNA(VLOOKUP(A28,'Données projet'!$A$139:$I$159,3,0)),0,VLOOKUP(A28,'Données projet'!$A$139:$I$159,3,0))</f>
        <v>2</v>
      </c>
      <c r="DB28" s="15" t="str">
        <f>IF(ISNA(VLOOKUP(A28,'Données projet'!$A$139:$I$159,4,0)),0,VLOOKUP(A28,'Données projet'!$A$139:$I$159,4,0))</f>
        <v>31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4.0628205128205126</v>
      </c>
      <c r="DO28" s="12">
        <f>IF('Données projet'!$A$166&gt;35,DO27+DN28-DW27,IF(A28&lt;'Données projet'!$A$166,$DL$205^A28,IF(A28='Données projet'!$A$166,'Données projet'!$B$166,DO27+DN28-DW27)))</f>
        <v>54.738229068051083</v>
      </c>
      <c r="DP28" s="17">
        <f>DO28*VLOOKUP('Données projet'!$B$14,Paramètres!$A$1:$I$89,3,0)*VLOOKUP('Données projet'!$B$14,Paramètres!$A$1:$I$89,5,0)</f>
        <v>52.942815154619012</v>
      </c>
      <c r="DQ28" s="13">
        <f t="shared" si="43"/>
        <v>15.371206501547148</v>
      </c>
      <c r="DR28" s="20">
        <f t="shared" si="16"/>
        <v>118.9802543844894</v>
      </c>
      <c r="DS28" s="59">
        <f t="shared" si="17"/>
        <v>406.20247660671163</v>
      </c>
      <c r="DT28" s="59">
        <f ca="1">AVERAGE(OFFSET($DS$3,0,0,'Données projet'!$E$14+1,1))-AVERAGE(OFFSET($H$3,0,0,'Données projet'!$E$14+1,1))</f>
        <v>407.73540492005355</v>
      </c>
      <c r="DU28" s="59">
        <f t="shared" si="44"/>
        <v>296.29416764204774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113</v>
      </c>
      <c r="EH28" s="12">
        <f>VLOOKUP(A28,'Données projet'!$A$191:$I$211,9,0)</f>
        <v>10.6</v>
      </c>
      <c r="EI28" s="12">
        <f t="array" ref="EI28">INDEX(EH:EH,MIN(IF(ISNUMBER(EH28:EH224),ROW(EH28:EH224),"")))</f>
        <v>10.6</v>
      </c>
      <c r="EJ28" s="12">
        <f>IF('Données projet'!$A$192&gt;35,EJ27+EI28-ER27,IF(A28&lt;'Données projet'!$A$192,$EG$205^A28,IF(A28='Données projet'!$A$192,'Données projet'!$B$192,EJ27+EI28-ER27)))</f>
        <v>112.99999999999996</v>
      </c>
      <c r="EK28" s="17">
        <f>EJ28*VLOOKUP('Données projet'!$B$15,Paramètres!$A$1:$I$89,3,0)*VLOOKUP('Données projet'!$B$15,Paramètres!$A$1:$I$89,5,0)</f>
        <v>88.139999999999972</v>
      </c>
      <c r="EL28" s="13">
        <f t="shared" si="45"/>
        <v>24.116094026318823</v>
      </c>
      <c r="EM28" s="20">
        <f t="shared" si="19"/>
        <v>195.51269709583855</v>
      </c>
      <c r="EN28" s="59">
        <f t="shared" si="20"/>
        <v>482.73491931806075</v>
      </c>
      <c r="EO28" s="59">
        <f ca="1">AVERAGE(OFFSET($EN$3,0,0,'Données projet'!$E$15+1,1))-AVERAGE(OFFSET($H$3,0,0,'Données projet'!$E$15+1,1))</f>
        <v>288.80569134263209</v>
      </c>
      <c r="EP28" s="59">
        <f t="shared" si="46"/>
        <v>283.48738729114024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9.0045919320944172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9.0045919320944172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418.75655606832322</v>
      </c>
      <c r="S29" s="59">
        <f ca="1">AVERAGE(OFFSET($R$3,0,0,'Données projet'!$E$9+1,1))-AVERAGE(OFFSET($H$3,0,0,'Données projet'!$E$9+1,1))</f>
        <v>384.05928630855732</v>
      </c>
      <c r="T29" s="59">
        <f t="shared" si="34"/>
        <v>279.93992813630513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3.9732905982905979</v>
      </c>
      <c r="AI29" s="13">
        <f>IF('Données projet'!$A$62&gt;35,AI28+AH29-AQ28,IF(A29&lt;'Données projet'!$A$62,$AF$205^A29,IF(A29='Données projet'!$A$62,'Données projet'!$B$62,AI28+AH29-AQ28)))</f>
        <v>63.013756890501014</v>
      </c>
      <c r="AJ29" s="13">
        <f>AI29*VLOOKUP('Données projet'!$B$10,Paramètres!$A$1:$I$89,3,0)*VLOOKUP('Données projet'!$B$10,Paramètres!$A$1:$I$89,5,0)</f>
        <v>53.082788804558064</v>
      </c>
      <c r="AK29" s="13">
        <f t="shared" si="35"/>
        <v>15.407109949319045</v>
      </c>
      <c r="AL29" s="20">
        <f t="shared" si="4"/>
        <v>119.28657366300263</v>
      </c>
      <c r="AM29" s="59">
        <f t="shared" si="5"/>
        <v>407.73101810744708</v>
      </c>
      <c r="AN29" s="59">
        <f ca="1">AVERAGE(OFFSET($AM$3,0,0,'Données projet'!$E$10+1,1))-AVERAGE(OFFSET($H$3,0,0,'Données projet'!$E$10+1,1))</f>
        <v>312.48716825299158</v>
      </c>
      <c r="AO29" s="59">
        <f t="shared" si="36"/>
        <v>258.68277822755357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102.20808000000002</v>
      </c>
      <c r="BF29" s="13">
        <f t="shared" si="37"/>
        <v>27.487371629246301</v>
      </c>
      <c r="BG29" s="20">
        <f t="shared" si="7"/>
        <v>225.88624492093732</v>
      </c>
      <c r="BH29" s="59">
        <f t="shared" si="8"/>
        <v>514.33068936538177</v>
      </c>
      <c r="BI29" s="59">
        <f ca="1">AVERAGE(OFFSET($BH$3,0,0,'Données projet'!$E$11+1,1))-AVERAGE(OFFSET($H$3,0,0,'Données projet'!$E$11+1,1))</f>
        <v>376.58419691967526</v>
      </c>
      <c r="BJ29" s="59">
        <f t="shared" si="38"/>
        <v>365.76175372075869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2.0091598521137337</v>
      </c>
      <c r="BQ29" s="21">
        <f>EXP(-LN(2)/25)*BQ28+(1-EXP(-LN(2)/25))/(LN(2)/25)*Calculateur!BL29*Calculateur!BN29*VLOOKUP('Données projet'!$B$11,Paramètres!$A$1:$I$89,3,0)*0.475*44/12</f>
        <v>7.5797152814678217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9.5888751335815563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110.90664000000004</v>
      </c>
      <c r="CA29" s="13">
        <f t="shared" si="39"/>
        <v>29.544493872672952</v>
      </c>
      <c r="CB29" s="20">
        <f t="shared" si="10"/>
        <v>244.6190581615721</v>
      </c>
      <c r="CC29" s="59">
        <f t="shared" si="11"/>
        <v>533.06350260601653</v>
      </c>
      <c r="CD29" s="59">
        <f ca="1">AVERAGE(OFFSET($CC$3,0,0,'Données projet'!$E$12+1,1))-AVERAGE(OFFSET($H$3,0,0,'Données projet'!$E$12+1,1))</f>
        <v>405.40026823646758</v>
      </c>
      <c r="CE29" s="59">
        <f t="shared" si="40"/>
        <v>393.0787141050053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2.6871643148260387</v>
      </c>
      <c r="CL29" s="21">
        <f>EXP(-LN(2)/25)*CL28+(1-EXP(-LN(2)/25))/(LN(2)/25)*Calculateur!CG29*Calculateur!CI29*VLOOKUP('Données projet'!$B$12,Paramètres!$A$1:$I$89,3,0)*0.475*44/12</f>
        <v>10.137541022170968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12.824705336997006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</v>
      </c>
      <c r="CT29" s="12">
        <f>IF('Données projet'!$A$140&gt;35,CT28+CS29-DB28,IF(A29&lt;'Données projet'!$A$140,$CQ$205^A29,IF(A29='Données projet'!$A$140,'Données projet'!$B$140,CT28+CS29-DB28)))</f>
        <v>125</v>
      </c>
      <c r="CU29" s="17">
        <f>CT29*VLOOKUP('Données projet'!$B$13,Paramètres!$A$1:$I$89,3,0)*VLOOKUP('Données projet'!$B$13,Paramètres!$A$1:$I$89,5,0)</f>
        <v>109.2</v>
      </c>
      <c r="CV29" s="13">
        <f t="shared" si="41"/>
        <v>29.142418334948612</v>
      </c>
      <c r="CW29" s="20">
        <f t="shared" si="13"/>
        <v>240.94637860003544</v>
      </c>
      <c r="CX29" s="59">
        <f t="shared" si="14"/>
        <v>529.39082304447993</v>
      </c>
      <c r="CY29" s="59">
        <f ca="1">AVERAGE(OFFSET($CX$3,0,0,'Données projet'!$E$13+1,1))-AVERAGE(OFFSET($H$3,0,0,'Données projet'!$E$13+1,1))</f>
        <v>381.72225529388083</v>
      </c>
      <c r="CZ29" s="59">
        <f t="shared" si="42"/>
        <v>360.05900046417361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4.0628205128205126</v>
      </c>
      <c r="DO29" s="12">
        <f>IF('Données projet'!$A$166&gt;35,DO28+DN29-DW28,IF(A29&lt;'Données projet'!$A$166,$DL$205^A29,IF(A29='Données projet'!$A$166,'Données projet'!$B$166,DO28+DN29-DW28)))</f>
        <v>64.242491006222849</v>
      </c>
      <c r="DP29" s="17">
        <f>DO29*VLOOKUP('Données projet'!$B$14,Paramètres!$A$1:$I$89,3,0)*VLOOKUP('Données projet'!$B$14,Paramètres!$A$1:$I$89,5,0)</f>
        <v>62.13533730121874</v>
      </c>
      <c r="DQ29" s="13">
        <f t="shared" si="43"/>
        <v>17.707045573735556</v>
      </c>
      <c r="DR29" s="20">
        <f t="shared" si="16"/>
        <v>139.0588168405454</v>
      </c>
      <c r="DS29" s="59">
        <f t="shared" si="17"/>
        <v>427.50326128498989</v>
      </c>
      <c r="DT29" s="59">
        <f ca="1">AVERAGE(OFFSET($DS$3,0,0,'Données projet'!$E$14+1,1))-AVERAGE(OFFSET($H$3,0,0,'Données projet'!$E$14+1,1))</f>
        <v>407.73540492005355</v>
      </c>
      <c r="DU29" s="59">
        <f t="shared" si="44"/>
        <v>296.29416764204774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11.5</v>
      </c>
      <c r="EJ29" s="12">
        <f>IF('Données projet'!$A$192&gt;35,EJ28+EI29-ER28,IF(A29&lt;'Données projet'!$A$192,$EG$205^A29,IF(A29='Données projet'!$A$192,'Données projet'!$B$192,EJ28+EI29-ER28)))</f>
        <v>97.499999999999957</v>
      </c>
      <c r="EK29" s="17">
        <f>EJ29*VLOOKUP('Données projet'!$B$15,Paramètres!$A$1:$I$89,3,0)*VLOOKUP('Données projet'!$B$15,Paramètres!$A$1:$I$89,5,0)</f>
        <v>76.049999999999969</v>
      </c>
      <c r="EL29" s="13">
        <f t="shared" si="45"/>
        <v>21.168560890749262</v>
      </c>
      <c r="EM29" s="20">
        <f t="shared" si="19"/>
        <v>169.32232688472158</v>
      </c>
      <c r="EN29" s="59">
        <f t="shared" si="20"/>
        <v>457.76677132916603</v>
      </c>
      <c r="EO29" s="59">
        <f ca="1">AVERAGE(OFFSET($EN$3,0,0,'Données projet'!$E$15+1,1))-AVERAGE(OFFSET($H$3,0,0,'Données projet'!$E$15+1,1))</f>
        <v>288.80569134263209</v>
      </c>
      <c r="EP29" s="59">
        <f t="shared" si="46"/>
        <v>283.48738729114024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8.7583608921803862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8.7583608921803862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441.97499097319923</v>
      </c>
      <c r="S30" s="59">
        <f ca="1">AVERAGE(OFFSET($R$3,0,0,'Données projet'!$E$9+1,1))-AVERAGE(OFFSET($H$3,0,0,'Données projet'!$E$9+1,1))</f>
        <v>384.05928630855732</v>
      </c>
      <c r="T30" s="59">
        <f t="shared" si="34"/>
        <v>279.93992813630513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3.9732905982905979</v>
      </c>
      <c r="AI30" s="13">
        <f>IF('Données projet'!$A$62&gt;35,AI29+AH30-AQ29,IF(A30&lt;'Données projet'!$A$62,$AF$205^A30,IF(A30='Données projet'!$A$62,'Données projet'!$B$62,AI29+AH30-AQ29)))</f>
        <v>73.899997874969515</v>
      </c>
      <c r="AJ30" s="13">
        <f>AI30*VLOOKUP('Données projet'!$B$10,Paramètres!$A$1:$I$89,3,0)*VLOOKUP('Données projet'!$B$10,Paramètres!$A$1:$I$89,5,0)</f>
        <v>62.253358209874328</v>
      </c>
      <c r="AK30" s="13">
        <f t="shared" si="35"/>
        <v>17.736760463791171</v>
      </c>
      <c r="AL30" s="20">
        <f t="shared" si="4"/>
        <v>139.31612335663408</v>
      </c>
      <c r="AM30" s="59">
        <f t="shared" si="5"/>
        <v>428.98279002330077</v>
      </c>
      <c r="AN30" s="59">
        <f ca="1">AVERAGE(OFFSET($AM$3,0,0,'Données projet'!$E$10+1,1))-AVERAGE(OFFSET($H$3,0,0,'Données projet'!$E$10+1,1))</f>
        <v>312.48716825299158</v>
      </c>
      <c r="AO30" s="59">
        <f t="shared" si="36"/>
        <v>258.68277822755357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114.23256000000002</v>
      </c>
      <c r="BF30" s="13">
        <f t="shared" si="37"/>
        <v>30.326006869580301</v>
      </c>
      <c r="BG30" s="20">
        <f t="shared" si="7"/>
        <v>251.77283729785236</v>
      </c>
      <c r="BH30" s="59">
        <f t="shared" si="8"/>
        <v>541.43950396451908</v>
      </c>
      <c r="BI30" s="59">
        <f ca="1">AVERAGE(OFFSET($BH$3,0,0,'Données projet'!$E$11+1,1))-AVERAGE(OFFSET($H$3,0,0,'Données projet'!$E$11+1,1))</f>
        <v>376.58419691967526</v>
      </c>
      <c r="BJ30" s="59">
        <f t="shared" si="38"/>
        <v>365.76175372075869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1.9697614528802885</v>
      </c>
      <c r="BQ30" s="21">
        <f>EXP(-LN(2)/25)*BQ29+(1-EXP(-LN(2)/25))/(LN(2)/25)*Calculateur!BL30*Calculateur!BN30*VLOOKUP('Données projet'!$B$11,Paramètres!$A$1:$I$89,3,0)*0.475*44/12</f>
        <v>7.372447568496181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9.342209021376469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123.95448000000005</v>
      </c>
      <c r="CA30" s="13">
        <f t="shared" si="39"/>
        <v>32.595569202682604</v>
      </c>
      <c r="CB30" s="20">
        <f t="shared" si="10"/>
        <v>272.65800236133896</v>
      </c>
      <c r="CC30" s="59">
        <f t="shared" si="11"/>
        <v>562.3246690280057</v>
      </c>
      <c r="CD30" s="59">
        <f ca="1">AVERAGE(OFFSET($CC$3,0,0,'Données projet'!$E$12+1,1))-AVERAGE(OFFSET($H$3,0,0,'Données projet'!$E$12+1,1))</f>
        <v>405.40026823646758</v>
      </c>
      <c r="CE30" s="59">
        <f t="shared" si="40"/>
        <v>393.0787141050053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2.6344706616206937</v>
      </c>
      <c r="CL30" s="21">
        <f>EXP(-LN(2)/25)*CL29+(1-EXP(-LN(2)/25))/(LN(2)/25)*Calculateur!CG30*Calculateur!CI30*VLOOKUP('Données projet'!$B$12,Paramètres!$A$1:$I$89,3,0)*0.475*44/12</f>
        <v>9.8603294298095907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12.494800091430285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</v>
      </c>
      <c r="CT30" s="12">
        <f>IF('Données projet'!$A$140&gt;35,CT29+CS30-DB29,IF(A30&lt;'Données projet'!$A$140,$CQ$205^A30,IF(A30='Données projet'!$A$140,'Données projet'!$B$140,CT29+CS30-DB29)))</f>
        <v>136</v>
      </c>
      <c r="CU30" s="17">
        <f>CT30*VLOOKUP('Données projet'!$B$13,Paramètres!$A$1:$I$89,3,0)*VLOOKUP('Données projet'!$B$13,Paramètres!$A$1:$I$89,5,0)</f>
        <v>118.80960000000002</v>
      </c>
      <c r="CV30" s="13">
        <f t="shared" si="41"/>
        <v>31.39719715333722</v>
      </c>
      <c r="CW30" s="20">
        <f t="shared" si="13"/>
        <v>261.61017170872901</v>
      </c>
      <c r="CX30" s="59">
        <f t="shared" si="14"/>
        <v>551.27683837539576</v>
      </c>
      <c r="CY30" s="59">
        <f ca="1">AVERAGE(OFFSET($CX$3,0,0,'Données projet'!$E$13+1,1))-AVERAGE(OFFSET($H$3,0,0,'Données projet'!$E$13+1,1))</f>
        <v>381.72225529388083</v>
      </c>
      <c r="CZ30" s="59">
        <f t="shared" si="42"/>
        <v>360.05900046417361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4.0628205128205126</v>
      </c>
      <c r="DO30" s="12">
        <f>IF('Données projet'!$A$166&gt;35,DO29+DN30-DW29,IF(A30&lt;'Données projet'!$A$166,$DL$205^A30,IF(A30='Données projet'!$A$166,'Données projet'!$B$166,DO29+DN30-DW29)))</f>
        <v>75.396988922564091</v>
      </c>
      <c r="DP30" s="17">
        <f>DO30*VLOOKUP('Données projet'!$B$14,Paramètres!$A$1:$I$89,3,0)*VLOOKUP('Données projet'!$B$14,Paramètres!$A$1:$I$89,5,0)</f>
        <v>72.923967685903989</v>
      </c>
      <c r="DQ30" s="13">
        <f t="shared" si="43"/>
        <v>20.397843391069493</v>
      </c>
      <c r="DR30" s="20">
        <f t="shared" si="16"/>
        <v>162.53548762572882</v>
      </c>
      <c r="DS30" s="59">
        <f t="shared" si="17"/>
        <v>452.20215429239551</v>
      </c>
      <c r="DT30" s="59">
        <f ca="1">AVERAGE(OFFSET($DS$3,0,0,'Données projet'!$E$14+1,1))-AVERAGE(OFFSET($H$3,0,0,'Données projet'!$E$14+1,1))</f>
        <v>407.73540492005355</v>
      </c>
      <c r="DU30" s="59">
        <f t="shared" si="44"/>
        <v>296.29416764204774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11.5</v>
      </c>
      <c r="EJ30" s="12">
        <f>IF('Données projet'!$A$192&gt;35,EJ29+EI30-ER29,IF(A30&lt;'Données projet'!$A$192,$EG$205^A30,IF(A30='Données projet'!$A$192,'Données projet'!$B$192,EJ29+EI30-ER29)))</f>
        <v>108.99999999999996</v>
      </c>
      <c r="EK30" s="17">
        <f>EJ30*VLOOKUP('Données projet'!$B$15,Paramètres!$A$1:$I$89,3,0)*VLOOKUP('Données projet'!$B$15,Paramètres!$A$1:$I$89,5,0)</f>
        <v>85.019999999999968</v>
      </c>
      <c r="EL30" s="13">
        <f t="shared" si="45"/>
        <v>23.360218970693097</v>
      </c>
      <c r="EM30" s="20">
        <f t="shared" si="19"/>
        <v>188.76221470729038</v>
      </c>
      <c r="EN30" s="59">
        <f t="shared" si="20"/>
        <v>478.4288813739571</v>
      </c>
      <c r="EO30" s="59">
        <f ca="1">AVERAGE(OFFSET($EN$3,0,0,'Données projet'!$E$15+1,1))-AVERAGE(OFFSET($H$3,0,0,'Données projet'!$E$15+1,1))</f>
        <v>288.80569134263209</v>
      </c>
      <c r="EP30" s="59">
        <f t="shared" si="46"/>
        <v>283.48738729114024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8.5188630530015317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8.5188630530015317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468.91691311673264</v>
      </c>
      <c r="S31" s="59">
        <f ca="1">AVERAGE(OFFSET($R$3,0,0,'Données projet'!$E$9+1,1))-AVERAGE(OFFSET($H$3,0,0,'Données projet'!$E$9+1,1))</f>
        <v>384.05928630855732</v>
      </c>
      <c r="T31" s="59">
        <f t="shared" si="34"/>
        <v>279.93992813630513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3.9732905982905979</v>
      </c>
      <c r="AI31" s="13">
        <f>IF('Données projet'!$A$62&gt;35,AI30+AH31-AQ30,IF(A31&lt;'Données projet'!$A$62,$AF$205^A31,IF(A31='Données projet'!$A$62,'Données projet'!$B$62,AI30+AH31-AQ30)))</f>
        <v>86.666943147199447</v>
      </c>
      <c r="AJ31" s="13">
        <f>AI31*VLOOKUP('Données projet'!$B$10,Paramètres!$A$1:$I$89,3,0)*VLOOKUP('Données projet'!$B$10,Paramètres!$A$1:$I$89,5,0)</f>
        <v>73.008232907200821</v>
      </c>
      <c r="AK31" s="13">
        <f t="shared" si="35"/>
        <v>20.418668574751724</v>
      </c>
      <c r="AL31" s="20">
        <f t="shared" si="4"/>
        <v>162.71852008106734</v>
      </c>
      <c r="AM31" s="59">
        <f t="shared" si="5"/>
        <v>453.60740896995617</v>
      </c>
      <c r="AN31" s="59">
        <f ca="1">AVERAGE(OFFSET($AM$3,0,0,'Données projet'!$E$10+1,1))-AVERAGE(OFFSET($H$3,0,0,'Données projet'!$E$10+1,1))</f>
        <v>312.48716825299158</v>
      </c>
      <c r="AO31" s="59">
        <f t="shared" si="36"/>
        <v>258.68277822755357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126.25704000000002</v>
      </c>
      <c r="BF31" s="13">
        <f t="shared" si="37"/>
        <v>33.130006114881255</v>
      </c>
      <c r="BG31" s="20">
        <f t="shared" si="7"/>
        <v>277.59910531675155</v>
      </c>
      <c r="BH31" s="59">
        <f t="shared" si="8"/>
        <v>568.48799420564046</v>
      </c>
      <c r="BI31" s="59">
        <f ca="1">AVERAGE(OFFSET($BH$3,0,0,'Données projet'!$E$11+1,1))-AVERAGE(OFFSET($H$3,0,0,'Données projet'!$E$11+1,1))</f>
        <v>376.58419691967526</v>
      </c>
      <c r="BJ31" s="59">
        <f t="shared" si="38"/>
        <v>365.76175372075869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1.9311356322251603</v>
      </c>
      <c r="BQ31" s="21">
        <f>EXP(-LN(2)/25)*BQ30+(1-EXP(-LN(2)/25))/(LN(2)/25)*Calculateur!BL31*Calculateur!BN31*VLOOKUP('Données projet'!$B$11,Paramètres!$A$1:$I$89,3,0)*0.475*44/12</f>
        <v>7.1708476020354857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9.1019832342606453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137.00232000000005</v>
      </c>
      <c r="CA31" s="13">
        <f t="shared" si="39"/>
        <v>35.609416420931346</v>
      </c>
      <c r="CB31" s="20">
        <f t="shared" si="10"/>
        <v>300.63210759978887</v>
      </c>
      <c r="CC31" s="59">
        <f t="shared" si="11"/>
        <v>591.52099648867772</v>
      </c>
      <c r="CD31" s="59">
        <f ca="1">AVERAGE(OFFSET($CC$3,0,0,'Données projet'!$E$12+1,1))-AVERAGE(OFFSET($H$3,0,0,'Données projet'!$E$12+1,1))</f>
        <v>405.40026823646758</v>
      </c>
      <c r="CE31" s="59">
        <f t="shared" si="40"/>
        <v>393.0787141050053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2.5828102988147505</v>
      </c>
      <c r="CL31" s="21">
        <f>EXP(-LN(2)/25)*CL30+(1-EXP(-LN(2)/25))/(LN(2)/25)*Calculateur!CG31*Calculateur!CI31*VLOOKUP('Données projet'!$B$12,Paramètres!$A$1:$I$89,3,0)*0.475*44/12</f>
        <v>9.590698203019258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12.173508501834009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</v>
      </c>
      <c r="CT31" s="12">
        <f>IF('Données projet'!$A$140&gt;35,CT30+CS31-DB30,IF(A31&lt;'Données projet'!$A$140,$CQ$205^A31,IF(A31='Données projet'!$A$140,'Données projet'!$B$140,CT30+CS31-DB30)))</f>
        <v>147</v>
      </c>
      <c r="CU31" s="17">
        <f>CT31*VLOOKUP('Données projet'!$B$13,Paramètres!$A$1:$I$89,3,0)*VLOOKUP('Données projet'!$B$13,Paramètres!$A$1:$I$89,5,0)</f>
        <v>128.41920000000002</v>
      </c>
      <c r="CV31" s="13">
        <f t="shared" si="41"/>
        <v>33.630823177860762</v>
      </c>
      <c r="CW31" s="20">
        <f t="shared" si="13"/>
        <v>282.23712370144091</v>
      </c>
      <c r="CX31" s="59">
        <f t="shared" si="14"/>
        <v>573.12601259032976</v>
      </c>
      <c r="CY31" s="59">
        <f ca="1">AVERAGE(OFFSET($CX$3,0,0,'Données projet'!$E$13+1,1))-AVERAGE(OFFSET($H$3,0,0,'Données projet'!$E$13+1,1))</f>
        <v>381.72225529388083</v>
      </c>
      <c r="CZ31" s="59">
        <f t="shared" si="42"/>
        <v>360.05900046417361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4.0628205128205126</v>
      </c>
      <c r="DO31" s="12">
        <f>IF('Données projet'!$A$166&gt;35,DO30+DN31-DW30,IF(A31&lt;'Données projet'!$A$166,$DL$205^A31,IF(A31='Données projet'!$A$166,'Données projet'!$B$166,DO30+DN31-DW30)))</f>
        <v>88.488255196060223</v>
      </c>
      <c r="DP31" s="17">
        <f>DO31*VLOOKUP('Données projet'!$B$14,Paramètres!$A$1:$I$89,3,0)*VLOOKUP('Données projet'!$B$14,Paramètres!$A$1:$I$89,5,0)</f>
        <v>85.585840425629442</v>
      </c>
      <c r="DQ31" s="13">
        <f t="shared" si="43"/>
        <v>23.49754018952472</v>
      </c>
      <c r="DR31" s="20">
        <f t="shared" si="16"/>
        <v>189.98688790472684</v>
      </c>
      <c r="DS31" s="59">
        <f t="shared" si="17"/>
        <v>480.87577679361573</v>
      </c>
      <c r="DT31" s="59">
        <f ca="1">AVERAGE(OFFSET($DS$3,0,0,'Données projet'!$E$14+1,1))-AVERAGE(OFFSET($H$3,0,0,'Données projet'!$E$14+1,1))</f>
        <v>407.73540492005355</v>
      </c>
      <c r="DU31" s="59">
        <f t="shared" si="44"/>
        <v>296.29416764204774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11.5</v>
      </c>
      <c r="EJ31" s="12">
        <f>IF('Données projet'!$A$192&gt;35,EJ30+EI31-ER30,IF(A31&lt;'Données projet'!$A$192,$EG$205^A31,IF(A31='Données projet'!$A$192,'Données projet'!$B$192,EJ30+EI31-ER30)))</f>
        <v>120.49999999999996</v>
      </c>
      <c r="EK31" s="17">
        <f>EJ31*VLOOKUP('Données projet'!$B$15,Paramètres!$A$1:$I$89,3,0)*VLOOKUP('Données projet'!$B$15,Paramètres!$A$1:$I$89,5,0)</f>
        <v>93.989999999999966</v>
      </c>
      <c r="EL31" s="13">
        <f t="shared" si="45"/>
        <v>25.525074036970054</v>
      </c>
      <c r="EM31" s="20">
        <f t="shared" si="19"/>
        <v>208.15542061438944</v>
      </c>
      <c r="EN31" s="59">
        <f t="shared" si="20"/>
        <v>499.04430950327833</v>
      </c>
      <c r="EO31" s="59">
        <f ca="1">AVERAGE(OFFSET($EN$3,0,0,'Données projet'!$E$15+1,1))-AVERAGE(OFFSET($H$3,0,0,'Données projet'!$E$15+1,1))</f>
        <v>288.80569134263209</v>
      </c>
      <c r="EP31" s="59">
        <f t="shared" si="46"/>
        <v>283.48738729114024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8.2859142948296665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8.2859142948296665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500.21428696085883</v>
      </c>
      <c r="S32" s="59">
        <f ca="1">AVERAGE(OFFSET($R$3,0,0,'Données projet'!$E$9+1,1))-AVERAGE(OFFSET($H$3,0,0,'Données projet'!$E$9+1,1))</f>
        <v>384.05928630855732</v>
      </c>
      <c r="T32" s="59">
        <f t="shared" si="34"/>
        <v>279.93992813630513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3.9732905982905979</v>
      </c>
      <c r="AI32" s="13">
        <f>IF('Données projet'!$A$62&gt;35,AI31+AH32-AQ31,IF(A32&lt;'Données projet'!$A$62,$AF$205^A32,IF(A32='Données projet'!$A$62,'Données projet'!$B$62,AI31+AH32-AQ31)))</f>
        <v>101.63950271267854</v>
      </c>
      <c r="AJ32" s="13">
        <f>AI32*VLOOKUP('Données projet'!$B$10,Paramètres!$A$1:$I$89,3,0)*VLOOKUP('Données projet'!$B$10,Paramètres!$A$1:$I$89,5,0)</f>
        <v>85.621117085160407</v>
      </c>
      <c r="AK32" s="13">
        <f t="shared" si="35"/>
        <v>23.506097814010744</v>
      </c>
      <c r="AL32" s="20">
        <f t="shared" si="4"/>
        <v>190.06323261605641</v>
      </c>
      <c r="AM32" s="59">
        <f t="shared" si="5"/>
        <v>482.17434372716752</v>
      </c>
      <c r="AN32" s="59">
        <f ca="1">AVERAGE(OFFSET($AM$3,0,0,'Données projet'!$E$10+1,1))-AVERAGE(OFFSET($H$3,0,0,'Données projet'!$E$10+1,1))</f>
        <v>312.48716825299158</v>
      </c>
      <c r="AO32" s="59">
        <f t="shared" si="36"/>
        <v>258.68277822755357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138.28152000000003</v>
      </c>
      <c r="BF32" s="13">
        <f t="shared" si="37"/>
        <v>35.903043322174675</v>
      </c>
      <c r="BG32" s="20">
        <f t="shared" si="7"/>
        <v>303.37144778612094</v>
      </c>
      <c r="BH32" s="59">
        <f t="shared" si="8"/>
        <v>595.48255889723214</v>
      </c>
      <c r="BI32" s="59">
        <f ca="1">AVERAGE(OFFSET($BH$3,0,0,'Données projet'!$E$11+1,1))-AVERAGE(OFFSET($H$3,0,0,'Données projet'!$E$11+1,1))</f>
        <v>376.58419691967526</v>
      </c>
      <c r="BJ32" s="59">
        <f t="shared" si="38"/>
        <v>365.76175372075869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1.8932672403536548</v>
      </c>
      <c r="BQ32" s="21">
        <f>EXP(-LN(2)/25)*BQ31+(1-EXP(-LN(2)/25))/(LN(2)/25)*Calculateur!BL32*Calculateur!BN32*VLOOKUP('Données projet'!$B$11,Paramètres!$A$1:$I$89,3,0)*0.475*44/12</f>
        <v>6.9747603972593391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8.8680276376129932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150.05016000000003</v>
      </c>
      <c r="CA32" s="13">
        <f t="shared" si="39"/>
        <v>38.589984439024605</v>
      </c>
      <c r="CB32" s="20">
        <f t="shared" si="10"/>
        <v>328.5482515646346</v>
      </c>
      <c r="CC32" s="59">
        <f t="shared" si="11"/>
        <v>620.6593626757458</v>
      </c>
      <c r="CD32" s="59">
        <f ca="1">AVERAGE(OFFSET($CC$3,0,0,'Données projet'!$E$12+1,1))-AVERAGE(OFFSET($H$3,0,0,'Données projet'!$E$12+1,1))</f>
        <v>405.40026823646758</v>
      </c>
      <c r="CE32" s="59">
        <f t="shared" si="40"/>
        <v>393.0787141050053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2.5321629642137218</v>
      </c>
      <c r="CL32" s="21">
        <f>EXP(-LN(2)/25)*CL31+(1-EXP(-LN(2)/25))/(LN(2)/25)*Calculateur!CG32*Calculateur!CI32*VLOOKUP('Données projet'!$B$12,Paramètres!$A$1:$I$89,3,0)*0.475*44/12</f>
        <v>9.3284400563047978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11.86060302051852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</v>
      </c>
      <c r="CT32" s="12">
        <f>IF('Données projet'!$A$140&gt;35,CT31+CS32-DB31,IF(A32&lt;'Données projet'!$A$140,$CQ$205^A32,IF(A32='Données projet'!$A$140,'Données projet'!$B$140,CT31+CS32-DB31)))</f>
        <v>158</v>
      </c>
      <c r="CU32" s="17">
        <f>CT32*VLOOKUP('Données projet'!$B$13,Paramètres!$A$1:$I$89,3,0)*VLOOKUP('Données projet'!$B$13,Paramètres!$A$1:$I$89,5,0)</f>
        <v>138.02880000000002</v>
      </c>
      <c r="CV32" s="13">
        <f t="shared" si="41"/>
        <v>35.845059256813073</v>
      </c>
      <c r="CW32" s="20">
        <f t="shared" si="13"/>
        <v>302.8303048722828</v>
      </c>
      <c r="CX32" s="59">
        <f t="shared" si="14"/>
        <v>594.94141598339388</v>
      </c>
      <c r="CY32" s="59">
        <f ca="1">AVERAGE(OFFSET($CX$3,0,0,'Données projet'!$E$13+1,1))-AVERAGE(OFFSET($H$3,0,0,'Données projet'!$E$13+1,1))</f>
        <v>381.72225529388083</v>
      </c>
      <c r="CZ32" s="59">
        <f t="shared" si="42"/>
        <v>360.05900046417361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4.0628205128205126</v>
      </c>
      <c r="DO32" s="12">
        <f>IF('Données projet'!$A$166&gt;35,DO31+DN32-DW31,IF(A32&lt;'Données projet'!$A$166,$DL$205^A32,IF(A32='Données projet'!$A$166,'Données projet'!$B$166,DO31+DN32-DW31)))</f>
        <v>103.85257315361756</v>
      </c>
      <c r="DP32" s="17">
        <f>DO32*VLOOKUP('Données projet'!$B$14,Paramètres!$A$1:$I$89,3,0)*VLOOKUP('Données projet'!$B$14,Paramètres!$A$1:$I$89,5,0)</f>
        <v>100.4462087541789</v>
      </c>
      <c r="DQ32" s="13">
        <f t="shared" si="43"/>
        <v>27.068273070478782</v>
      </c>
      <c r="DR32" s="20">
        <f t="shared" si="16"/>
        <v>222.0877225112788</v>
      </c>
      <c r="DS32" s="59">
        <f t="shared" si="17"/>
        <v>514.19883362238988</v>
      </c>
      <c r="DT32" s="59">
        <f ca="1">AVERAGE(OFFSET($DS$3,0,0,'Données projet'!$E$14+1,1))-AVERAGE(OFFSET($H$3,0,0,'Données projet'!$E$14+1,1))</f>
        <v>407.73540492005355</v>
      </c>
      <c r="DU32" s="59">
        <f t="shared" si="44"/>
        <v>296.29416764204774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11.5</v>
      </c>
      <c r="EJ32" s="12">
        <f>IF('Données projet'!$A$192&gt;35,EJ31+EI32-ER31,IF(A32&lt;'Données projet'!$A$192,$EG$205^A32,IF(A32='Données projet'!$A$192,'Données projet'!$B$192,EJ31+EI32-ER31)))</f>
        <v>131.99999999999994</v>
      </c>
      <c r="EK32" s="17">
        <f>EJ32*VLOOKUP('Données projet'!$B$15,Paramètres!$A$1:$I$89,3,0)*VLOOKUP('Données projet'!$B$15,Paramètres!$A$1:$I$89,5,0)</f>
        <v>102.95999999999997</v>
      </c>
      <c r="EL32" s="13">
        <f t="shared" si="45"/>
        <v>27.665975080374633</v>
      </c>
      <c r="EM32" s="20">
        <f t="shared" si="19"/>
        <v>227.50690659831903</v>
      </c>
      <c r="EN32" s="59">
        <f t="shared" si="20"/>
        <v>519.61801770943021</v>
      </c>
      <c r="EO32" s="59">
        <f ca="1">AVERAGE(OFFSET($EN$3,0,0,'Données projet'!$E$15+1,1))-AVERAGE(OFFSET($H$3,0,0,'Données projet'!$E$15+1,1))</f>
        <v>288.80569134263209</v>
      </c>
      <c r="EP32" s="59">
        <f t="shared" si="46"/>
        <v>283.48738729114024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8.0593355327002545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8.0593355327002545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384.05928630855732</v>
      </c>
      <c r="T33" s="59">
        <f t="shared" si="34"/>
        <v>279.93992813630513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119.19871794871794</v>
      </c>
      <c r="AG33" s="12">
        <f>VLOOKUP(A33,'Données projet'!$A$61:$I$81,9,0)</f>
        <v>3.9732905982905979</v>
      </c>
      <c r="AH33" s="12">
        <f t="array" ref="AH33">INDEX(AG:AG,MIN(IF(ISNUMBER(AG33:AG229),ROW(AG33:AG229),"")))</f>
        <v>3.9732905982905979</v>
      </c>
      <c r="AI33" s="13">
        <f>IF('Données projet'!$A$62&gt;35,AI32+AH33-AQ32,IF(A33&lt;'Données projet'!$A$62,$AF$205^A33,IF(A33='Données projet'!$A$62,'Données projet'!$B$62,AI32+AH33-AQ32)))</f>
        <v>119.19871794871794</v>
      </c>
      <c r="AJ33" s="13">
        <f>AI33*VLOOKUP('Données projet'!$B$10,Paramètres!$A$1:$I$89,3,0)*VLOOKUP('Données projet'!$B$10,Paramètres!$A$1:$I$89,5,0)</f>
        <v>100.413</v>
      </c>
      <c r="AK33" s="13">
        <f t="shared" si="35"/>
        <v>27.060365489504466</v>
      </c>
      <c r="AL33" s="20">
        <f t="shared" si="4"/>
        <v>222.01611156088691</v>
      </c>
      <c r="AM33" s="59">
        <f t="shared" si="5"/>
        <v>515.34944489422026</v>
      </c>
      <c r="AN33" s="59">
        <f ca="1">AVERAGE(OFFSET($AM$3,0,0,'Données projet'!$E$10+1,1))-AVERAGE(OFFSET($H$3,0,0,'Données projet'!$E$10+1,1))</f>
        <v>312.48716825299158</v>
      </c>
      <c r="AO33" s="59">
        <f t="shared" si="36"/>
        <v>258.68277822755357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150.30600000000004</v>
      </c>
      <c r="BF33" s="13">
        <f t="shared" si="37"/>
        <v>38.648116968856677</v>
      </c>
      <c r="BG33" s="20">
        <f t="shared" si="7"/>
        <v>329.09508705409212</v>
      </c>
      <c r="BH33" s="59">
        <f t="shared" si="8"/>
        <v>622.42842038742538</v>
      </c>
      <c r="BI33" s="59">
        <f ca="1">AVERAGE(OFFSET($BH$3,0,0,'Données projet'!$E$11+1,1))-AVERAGE(OFFSET($H$3,0,0,'Données projet'!$E$11+1,1))</f>
        <v>376.58419691967526</v>
      </c>
      <c r="BJ33" s="59">
        <f t="shared" si="38"/>
        <v>365.76175372075869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0.22359999999999999</v>
      </c>
      <c r="BN33" s="16">
        <f>IF(ISNA(VLOOKUP(A33,'Données projet'!$A$87:$I$107,6,0)),0%,VLOOKUP(A33,'Données projet'!$A$87:$I$107,6,0)*VLOOKUP('Données projet'!$B$11,Paramètres!$A$1:$I$89,7,0))</f>
        <v>0.1333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9.4679990461567591</v>
      </c>
      <c r="BQ33" s="21">
        <f>EXP(-LN(2)/25)*BQ32+(1-EXP(-LN(2)/25))/(LN(2)/25)*Calculateur!BL33*Calculateur!BN33*VLOOKUP('Données projet'!$B$11,Paramètres!$A$1:$I$89,3,0)*0.475*44/12</f>
        <v>11.30400620687087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20.772005253027629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163.09800000000004</v>
      </c>
      <c r="CA33" s="13">
        <f t="shared" si="39"/>
        <v>41.540496136845142</v>
      </c>
      <c r="CB33" s="20">
        <f t="shared" si="10"/>
        <v>356.41204743833867</v>
      </c>
      <c r="CC33" s="59">
        <f t="shared" si="11"/>
        <v>649.74538077167199</v>
      </c>
      <c r="CD33" s="59">
        <f ca="1">AVERAGE(OFFSET($CC$3,0,0,'Données projet'!$E$12+1,1))-AVERAGE(OFFSET($H$3,0,0,'Données projet'!$E$12+1,1))</f>
        <v>405.40026823646758</v>
      </c>
      <c r="CE33" s="59">
        <f t="shared" si="40"/>
        <v>393.0787141050053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0.27560000000000001</v>
      </c>
      <c r="CI33" s="16">
        <f>IF(ISNA(VLOOKUP(A33,'Données projet'!$A$113:$I$133,6,0)),0%,VLOOKUP(A33,'Données projet'!$A$113:$I$133,6,0)*VLOOKUP('Données projet'!$B$12,Paramètres!$A$1:$I$89,7,0))</f>
        <v>0.1643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12.663038803444692</v>
      </c>
      <c r="CL33" s="21">
        <f>EXP(-LN(2)/25)*CL32+(1-EXP(-LN(2)/25))/(LN(2)/25)*Calculateur!CG33*Calculateur!CI33*VLOOKUP('Données projet'!$B$12,Paramètres!$A$1:$I$89,3,0)*0.475*44/12</f>
        <v>15.118618890238476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27.781657693683169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169</v>
      </c>
      <c r="CR33" s="12">
        <f>VLOOKUP(A33,'Données projet'!$A$139:$I$159,9,0)</f>
        <v>11</v>
      </c>
      <c r="CS33" s="12">
        <f t="array" ref="CS33">INDEX(CR:CR,MIN(IF(ISNUMBER(CR33:CR229),ROW(CR33:CR229),"")))</f>
        <v>11</v>
      </c>
      <c r="CT33" s="12">
        <f>IF('Données projet'!$A$140&gt;35,CT32+CS33-DB32,IF(A33&lt;'Données projet'!$A$140,$CQ$205^A33,IF(A33='Données projet'!$A$140,'Données projet'!$B$140,CT32+CS33-DB32)))</f>
        <v>169</v>
      </c>
      <c r="CU33" s="17">
        <f>CT33*VLOOKUP('Données projet'!$B$13,Paramètres!$A$1:$I$89,3,0)*VLOOKUP('Données projet'!$B$13,Paramètres!$A$1:$I$89,5,0)</f>
        <v>147.63840000000002</v>
      </c>
      <c r="CV33" s="13">
        <f t="shared" si="41"/>
        <v>38.04140887895133</v>
      </c>
      <c r="CW33" s="20">
        <f t="shared" si="13"/>
        <v>323.39233379750692</v>
      </c>
      <c r="CX33" s="59">
        <f t="shared" si="14"/>
        <v>616.72566713084029</v>
      </c>
      <c r="CY33" s="59">
        <f ca="1">AVERAGE(OFFSET($CX$3,0,0,'Données projet'!$E$13+1,1))-AVERAGE(OFFSET($H$3,0,0,'Données projet'!$E$13+1,1))</f>
        <v>381.72225529388083</v>
      </c>
      <c r="CZ33" s="59">
        <f t="shared" si="42"/>
        <v>360.05900046417361</v>
      </c>
      <c r="DA33" s="15">
        <f>IF(ISNA(VLOOKUP(A33,'Données projet'!$A$139:$I$159,3,0)),0,VLOOKUP(A33,'Données projet'!$A$139:$I$159,3,0))</f>
        <v>3</v>
      </c>
      <c r="DB33" s="15" t="str">
        <f>IF(ISNA(VLOOKUP(A33,'Données projet'!$A$139:$I$159,4,0)),0,VLOOKUP(A33,'Données projet'!$A$139:$I$159,4,0))</f>
        <v>32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0.215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6.6181227171247512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6.6181227171247512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121.88461538461537</v>
      </c>
      <c r="DM33" s="12">
        <f>VLOOKUP(A33,'Données projet'!$A$165:$I$185,9,0)</f>
        <v>4.0628205128205126</v>
      </c>
      <c r="DN33" s="12">
        <f t="array" ref="DN33">INDEX(DM:DM,MIN(IF(ISNUMBER(DM33:DM229),ROW(DM33:DM229),"")))</f>
        <v>4.0628205128205126</v>
      </c>
      <c r="DO33" s="12">
        <f>IF('Données projet'!$A$166&gt;35,DO32+DN33-DW32,IF(A33&lt;'Données projet'!$A$166,$DL$205^A33,IF(A33='Données projet'!$A$166,'Données projet'!$B$166,DO32+DN33-DW32)))</f>
        <v>121.88461538461537</v>
      </c>
      <c r="DP33" s="17">
        <f>DO33*VLOOKUP('Données projet'!$B$14,Paramètres!$A$1:$I$89,3,0)*VLOOKUP('Données projet'!$B$14,Paramètres!$A$1:$I$89,5,0)</f>
        <v>117.88679999999999</v>
      </c>
      <c r="DQ33" s="13">
        <f t="shared" si="43"/>
        <v>31.181621612658997</v>
      </c>
      <c r="DR33" s="20">
        <f t="shared" si="16"/>
        <v>259.62750097538111</v>
      </c>
      <c r="DS33" s="59">
        <f t="shared" si="17"/>
        <v>552.96083430871442</v>
      </c>
      <c r="DT33" s="59">
        <f ca="1">AVERAGE(OFFSET($DS$3,0,0,'Données projet'!$E$14+1,1))-AVERAGE(OFFSET($H$3,0,0,'Données projet'!$E$14+1,1))</f>
        <v>407.73540492005355</v>
      </c>
      <c r="DU33" s="59">
        <f t="shared" si="44"/>
        <v>296.29416764204774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11.5</v>
      </c>
      <c r="EJ33" s="12">
        <f>IF('Données projet'!$A$192&gt;35,EJ32+EI33-ER32,IF(A33&lt;'Données projet'!$A$192,$EG$205^A33,IF(A33='Données projet'!$A$192,'Données projet'!$B$192,EJ32+EI33-ER32)))</f>
        <v>143.49999999999994</v>
      </c>
      <c r="EK33" s="17">
        <f>EJ33*VLOOKUP('Données projet'!$B$15,Paramètres!$A$1:$I$89,3,0)*VLOOKUP('Données projet'!$B$15,Paramètres!$A$1:$I$89,5,0)</f>
        <v>111.92999999999996</v>
      </c>
      <c r="EL33" s="13">
        <f t="shared" si="45"/>
        <v>29.785246291563833</v>
      </c>
      <c r="EM33" s="20">
        <f t="shared" si="19"/>
        <v>246.82072062447358</v>
      </c>
      <c r="EN33" s="59">
        <f t="shared" si="20"/>
        <v>540.15405395780692</v>
      </c>
      <c r="EO33" s="59">
        <f ca="1">AVERAGE(OFFSET($EN$3,0,0,'Données projet'!$E$15+1,1))-AVERAGE(OFFSET($H$3,0,0,'Données projet'!$E$15+1,1))</f>
        <v>288.80569134263209</v>
      </c>
      <c r="EP33" s="59">
        <f t="shared" si="46"/>
        <v>283.48738729114024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7.8389525787365306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7.8389525787365306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552.2814740118273</v>
      </c>
      <c r="S34" s="59">
        <f ca="1">AVERAGE(OFFSET($R$3,0,0,'Données projet'!$E$9+1,1))-AVERAGE(OFFSET($H$3,0,0,'Données projet'!$E$9+1,1))</f>
        <v>384.05928630855732</v>
      </c>
      <c r="T34" s="59">
        <f t="shared" si="34"/>
        <v>279.93992813630513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>
        <f>VLOOKUP(A34,'Données projet'!$A$61:$I$81,2,0)</f>
        <v>127.64743589743588</v>
      </c>
      <c r="AG34" s="12">
        <f>VLOOKUP(A34,'Données projet'!$A$61:$I$81,9,0)</f>
        <v>8.4487179487179418</v>
      </c>
      <c r="AH34" s="12">
        <f t="array" ref="AH34">INDEX(AG:AG,MIN(IF(ISNUMBER(AG34:AG230),ROW(AG34:AG230),"")))</f>
        <v>8.4487179487179418</v>
      </c>
      <c r="AI34" s="13">
        <f>IF('Données projet'!$A$62&gt;35,AI33+AH34-AQ33,IF(A34&lt;'Données projet'!$A$62,$AF$205^A34,IF(A34='Données projet'!$A$62,'Données projet'!$B$62,AI33+AH34-AQ33)))</f>
        <v>127.64743589743588</v>
      </c>
      <c r="AJ34" s="13">
        <f>AI34*VLOOKUP('Données projet'!$B$10,Paramètres!$A$1:$I$89,3,0)*VLOOKUP('Données projet'!$B$10,Paramètres!$A$1:$I$89,5,0)</f>
        <v>107.53020000000001</v>
      </c>
      <c r="AK34" s="13">
        <f t="shared" si="35"/>
        <v>28.748313596307579</v>
      </c>
      <c r="AL34" s="20">
        <f t="shared" si="4"/>
        <v>237.35174451356906</v>
      </c>
      <c r="AM34" s="59">
        <f t="shared" si="5"/>
        <v>530.68507784690235</v>
      </c>
      <c r="AN34" s="59">
        <f ca="1">AVERAGE(OFFSET($AM$3,0,0,'Données projet'!$E$10+1,1))-AVERAGE(OFFSET($H$3,0,0,'Données projet'!$E$10+1,1))</f>
        <v>312.48716825299158</v>
      </c>
      <c r="AO34" s="59">
        <f t="shared" si="36"/>
        <v>258.68277822755357</v>
      </c>
      <c r="AP34" s="15">
        <f>IF(ISNA(VLOOKUP(A34,'Données projet'!$A$61:$I$81,3,0)),0,VLOOKUP(A34,'Données projet'!$A$61:$I$81,3,0))</f>
        <v>1</v>
      </c>
      <c r="AQ34" s="15">
        <f>IF(ISNA(VLOOKUP(A34,'Données projet'!$A$61:$I$81,4,0)),0,VLOOKUP(A34,'Données projet'!$A$61:$I$81,4,0))</f>
        <v>58.160256410256409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130.65624000000003</v>
      </c>
      <c r="BF34" s="13">
        <f t="shared" si="37"/>
        <v>34.147952661921146</v>
      </c>
      <c r="BG34" s="20">
        <f t="shared" si="7"/>
        <v>287.03396888617937</v>
      </c>
      <c r="BH34" s="59">
        <f t="shared" si="8"/>
        <v>580.36730221951268</v>
      </c>
      <c r="BI34" s="59">
        <f ca="1">AVERAGE(OFFSET($BH$3,0,0,'Données projet'!$E$11+1,1))-AVERAGE(OFFSET($H$3,0,0,'Données projet'!$E$11+1,1))</f>
        <v>376.58419691967526</v>
      </c>
      <c r="BJ34" s="59">
        <f t="shared" si="38"/>
        <v>365.76175372075869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9.2823373597708176</v>
      </c>
      <c r="BQ34" s="21">
        <f>EXP(-LN(2)/25)*BQ33+(1-EXP(-LN(2)/25))/(LN(2)/25)*Calculateur!BL34*Calculateur!BN34*VLOOKUP('Données projet'!$B$11,Paramètres!$A$1:$I$89,3,0)*0.475*44/12</f>
        <v>10.994897562692135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20.277234922462952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141.77592000000004</v>
      </c>
      <c r="CA34" s="13">
        <f t="shared" si="39"/>
        <v>36.703544878441981</v>
      </c>
      <c r="CB34" s="20">
        <f t="shared" si="10"/>
        <v>310.85173466328649</v>
      </c>
      <c r="CC34" s="59">
        <f t="shared" si="11"/>
        <v>604.18506799661986</v>
      </c>
      <c r="CD34" s="59">
        <f ca="1">AVERAGE(OFFSET($CC$3,0,0,'Données projet'!$E$12+1,1))-AVERAGE(OFFSET($H$3,0,0,'Données projet'!$E$12+1,1))</f>
        <v>405.40026823646758</v>
      </c>
      <c r="CE34" s="59">
        <f t="shared" si="40"/>
        <v>393.0787141050053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12.414724336200161</v>
      </c>
      <c r="CL34" s="21">
        <f>EXP(-LN(2)/25)*CL33+(1-EXP(-LN(2)/25))/(LN(2)/25)*Calculateur!CG34*Calculateur!CI34*VLOOKUP('Données projet'!$B$12,Paramètres!$A$1:$I$89,3,0)*0.475*44/12</f>
        <v>14.705199461631292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27.119923797831454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10.4</v>
      </c>
      <c r="CT34" s="12">
        <f>IF('Données projet'!$A$140&gt;35,CT33+CS34-DB33,IF(A34&lt;'Données projet'!$A$140,$CQ$205^A34,IF(A34='Données projet'!$A$140,'Données projet'!$B$140,CT33+CS34-DB33)))</f>
        <v>147.4</v>
      </c>
      <c r="CU34" s="17">
        <f>CT34*VLOOKUP('Données projet'!$B$13,Paramètres!$A$1:$I$89,3,0)*VLOOKUP('Données projet'!$B$13,Paramètres!$A$1:$I$89,5,0)</f>
        <v>128.76864000000003</v>
      </c>
      <c r="CV34" s="13">
        <f t="shared" si="41"/>
        <v>33.711670780700224</v>
      </c>
      <c r="CW34" s="20">
        <f t="shared" si="13"/>
        <v>282.98654127638628</v>
      </c>
      <c r="CX34" s="59">
        <f t="shared" si="14"/>
        <v>576.31987460971959</v>
      </c>
      <c r="CY34" s="59">
        <f ca="1">AVERAGE(OFFSET($CX$3,0,0,'Données projet'!$E$13+1,1))-AVERAGE(OFFSET($H$3,0,0,'Données projet'!$E$13+1,1))</f>
        <v>381.72225529388083</v>
      </c>
      <c r="CZ34" s="59">
        <f t="shared" si="42"/>
        <v>360.05900046417361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6.4371498033930274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6.4371498033930274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8.0564102564102633</v>
      </c>
      <c r="DO34" s="12">
        <f>IF('Données projet'!$A$166&gt;35,DO33+DN34-DW33,IF(A34&lt;'Données projet'!$A$166,$DL$205^A34,IF(A34='Données projet'!$A$166,'Données projet'!$B$166,DO33+DN34-DW33)))</f>
        <v>129.94102564102565</v>
      </c>
      <c r="DP34" s="17">
        <f>DO34*VLOOKUP('Données projet'!$B$14,Paramètres!$A$1:$I$89,3,0)*VLOOKUP('Données projet'!$B$14,Paramètres!$A$1:$I$89,5,0)</f>
        <v>125.67896</v>
      </c>
      <c r="DQ34" s="13">
        <f t="shared" si="43"/>
        <v>32.995938008731372</v>
      </c>
      <c r="DR34" s="20">
        <f t="shared" si="16"/>
        <v>276.35878069854044</v>
      </c>
      <c r="DS34" s="59">
        <f t="shared" si="17"/>
        <v>569.69211403187376</v>
      </c>
      <c r="DT34" s="59">
        <f ca="1">AVERAGE(OFFSET($DS$3,0,0,'Données projet'!$E$14+1,1))-AVERAGE(OFFSET($H$3,0,0,'Données projet'!$E$14+1,1))</f>
        <v>407.73540492005355</v>
      </c>
      <c r="DU34" s="59">
        <f t="shared" si="44"/>
        <v>296.29416764204774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155</v>
      </c>
      <c r="EH34" s="12">
        <f>VLOOKUP(A34,'Données projet'!$A$191:$I$211,9,0)</f>
        <v>11.5</v>
      </c>
      <c r="EI34" s="12">
        <f t="array" ref="EI34">INDEX(EH:EH,MIN(IF(ISNUMBER(EH34:EH230),ROW(EH34:EH230),"")))</f>
        <v>11.5</v>
      </c>
      <c r="EJ34" s="12">
        <f>IF('Données projet'!$A$192&gt;35,EJ33+EI34-ER33,IF(A34&lt;'Données projet'!$A$192,$EG$205^A34,IF(A34='Données projet'!$A$192,'Données projet'!$B$192,EJ33+EI34-ER33)))</f>
        <v>154.99999999999994</v>
      </c>
      <c r="EK34" s="17">
        <f>EJ34*VLOOKUP('Données projet'!$B$15,Paramètres!$A$1:$I$89,3,0)*VLOOKUP('Données projet'!$B$15,Paramètres!$A$1:$I$89,5,0)</f>
        <v>120.89999999999996</v>
      </c>
      <c r="EL34" s="13">
        <f t="shared" si="45"/>
        <v>31.884818143351602</v>
      </c>
      <c r="EM34" s="20">
        <f t="shared" si="19"/>
        <v>266.10022493300397</v>
      </c>
      <c r="EN34" s="59">
        <f t="shared" si="20"/>
        <v>559.43355826633729</v>
      </c>
      <c r="EO34" s="59">
        <f ca="1">AVERAGE(OFFSET($EN$3,0,0,'Données projet'!$E$15+1,1))-AVERAGE(OFFSET($H$3,0,0,'Données projet'!$E$15+1,1))</f>
        <v>288.80569134263209</v>
      </c>
      <c r="EP34" s="59">
        <f t="shared" si="46"/>
        <v>283.48738729114024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35</v>
      </c>
      <c r="ES34" s="16">
        <f>IF(ISNA(VLOOKUP(A34,'Données projet'!$A$191:$I$211,5,0)),0%,VLOOKUP(A34,'Données projet'!$A$191:$I$211,5,0)*VLOOKUP('Données projet'!$B$15,Paramètres!$A$1:$I$89,7,0))</f>
        <v>0.129</v>
      </c>
      <c r="ET34" s="16">
        <f>IF(ISNA(VLOOKUP(A34,'Données projet'!$A$191:$I$211,6,0)),0%,VLOOKUP(A34,'Données projet'!$A$191:$I$211,6,0)*VLOOKUP('Données projet'!$B$15,Paramètres!$A$1:$I$89,7,0))</f>
        <v>0.17200000000000001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3.8931350356011905</v>
      </c>
      <c r="EW34" s="21">
        <f>EXP(-LN(2)/25)*EW33+(1-EXP(-LN(2)/25))/(LN(2)/25)*Calculateur!ER34*Calculateur!ET34*VLOOKUP('Données projet'!$B$15,Paramètres!$A$1:$I$89,3,0)*0.475*44/12</f>
        <v>12.795004380992092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16.68813941659328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384.05928630855732</v>
      </c>
      <c r="T35" s="59">
        <f t="shared" si="34"/>
        <v>279.93992813630513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9.2371794871794872</v>
      </c>
      <c r="AI35" s="13">
        <f>IF('Données projet'!$A$62&gt;35,AI34+AH35-AQ34,IF(A35&lt;'Données projet'!$A$62,$AF$205^A35,IF(A35='Données projet'!$A$62,'Données projet'!$B$62,AI34+AH35-AQ34)))</f>
        <v>78.72435897435895</v>
      </c>
      <c r="AJ35" s="13">
        <f>AI35*VLOOKUP('Données projet'!$B$10,Paramètres!$A$1:$I$89,3,0)*VLOOKUP('Données projet'!$B$10,Paramètres!$A$1:$I$89,5,0)</f>
        <v>66.317399999999992</v>
      </c>
      <c r="AK35" s="13">
        <f t="shared" si="35"/>
        <v>18.756081711247788</v>
      </c>
      <c r="AL35" s="20">
        <f t="shared" si="4"/>
        <v>148.16964731375654</v>
      </c>
      <c r="AM35" s="59">
        <f t="shared" si="5"/>
        <v>441.50298064708988</v>
      </c>
      <c r="AN35" s="59">
        <f ca="1">AVERAGE(OFFSET($AM$3,0,0,'Données projet'!$E$10+1,1))-AVERAGE(OFFSET($H$3,0,0,'Données projet'!$E$10+1,1))</f>
        <v>312.48716825299158</v>
      </c>
      <c r="AO35" s="59">
        <f t="shared" si="36"/>
        <v>258.68277822755357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141.80088000000003</v>
      </c>
      <c r="BF35" s="13">
        <f t="shared" si="37"/>
        <v>36.709254421801973</v>
      </c>
      <c r="BG35" s="20">
        <f t="shared" si="7"/>
        <v>310.90515078463847</v>
      </c>
      <c r="BH35" s="59">
        <f t="shared" si="8"/>
        <v>604.23848411797178</v>
      </c>
      <c r="BI35" s="59">
        <f ca="1">AVERAGE(OFFSET($BH$3,0,0,'Données projet'!$E$11+1,1))-AVERAGE(OFFSET($H$3,0,0,'Données projet'!$E$11+1,1))</f>
        <v>376.58419691967526</v>
      </c>
      <c r="BJ35" s="59">
        <f t="shared" si="38"/>
        <v>365.76175372075869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9.1003163858124587</v>
      </c>
      <c r="BQ35" s="21">
        <f>EXP(-LN(2)/25)*BQ34+(1-EXP(-LN(2)/25))/(LN(2)/25)*Calculateur!BL35*Calculateur!BN35*VLOOKUP('Données projet'!$B$11,Paramètres!$A$1:$I$89,3,0)*0.475*44/12</f>
        <v>10.694241510643785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19.794557896456244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153.86904000000004</v>
      </c>
      <c r="CA35" s="13">
        <f t="shared" si="39"/>
        <v>39.456531419736123</v>
      </c>
      <c r="CB35" s="20">
        <f t="shared" si="10"/>
        <v>336.70870355604046</v>
      </c>
      <c r="CC35" s="59">
        <f t="shared" si="11"/>
        <v>630.04203688937378</v>
      </c>
      <c r="CD35" s="59">
        <f ca="1">AVERAGE(OFFSET($CC$3,0,0,'Données projet'!$E$12+1,1))-AVERAGE(OFFSET($H$3,0,0,'Données projet'!$E$12+1,1))</f>
        <v>405.40026823646758</v>
      </c>
      <c r="CE35" s="59">
        <f t="shared" si="40"/>
        <v>393.0787141050053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12.171279164201424</v>
      </c>
      <c r="CL35" s="21">
        <f>EXP(-LN(2)/25)*CL34+(1-EXP(-LN(2)/25))/(LN(2)/25)*Calculateur!CG35*Calculateur!CI35*VLOOKUP('Données projet'!$B$12,Paramètres!$A$1:$I$89,3,0)*0.475*44/12</f>
        <v>14.303085009040153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26.474364173241575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10.4</v>
      </c>
      <c r="CT35" s="12">
        <f>IF('Données projet'!$A$140&gt;35,CT34+CS35-DB34,IF(A35&lt;'Données projet'!$A$140,$CQ$205^A35,IF(A35='Données projet'!$A$140,'Données projet'!$B$140,CT34+CS35-DB34)))</f>
        <v>157.80000000000001</v>
      </c>
      <c r="CU35" s="17">
        <f>CT35*VLOOKUP('Données projet'!$B$13,Paramètres!$A$1:$I$89,3,0)*VLOOKUP('Données projet'!$B$13,Paramètres!$A$1:$I$89,5,0)</f>
        <v>137.85408000000001</v>
      </c>
      <c r="CV35" s="13">
        <f t="shared" si="41"/>
        <v>35.804964283629964</v>
      </c>
      <c r="CW35" s="20">
        <f t="shared" si="13"/>
        <v>302.45616879398887</v>
      </c>
      <c r="CX35" s="59">
        <f t="shared" si="14"/>
        <v>595.78950212732218</v>
      </c>
      <c r="CY35" s="59">
        <f ca="1">AVERAGE(OFFSET($CX$3,0,0,'Données projet'!$E$13+1,1))-AVERAGE(OFFSET($H$3,0,0,'Données projet'!$E$13+1,1))</f>
        <v>381.72225529388083</v>
      </c>
      <c r="CZ35" s="59">
        <f t="shared" si="42"/>
        <v>360.05900046417361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6.2611256035042491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6.2611256035042491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8.0564102564102633</v>
      </c>
      <c r="DO35" s="12">
        <f>IF('Données projet'!$A$166&gt;35,DO34+DN35-DW34,IF(A35&lt;'Données projet'!$A$166,$DL$205^A35,IF(A35='Données projet'!$A$166,'Données projet'!$B$166,DO34+DN35-DW34)))</f>
        <v>137.99743589743591</v>
      </c>
      <c r="DP35" s="17">
        <f>DO35*VLOOKUP('Données projet'!$B$14,Paramètres!$A$1:$I$89,3,0)*VLOOKUP('Données projet'!$B$14,Paramètres!$A$1:$I$89,5,0)</f>
        <v>133.47112000000001</v>
      </c>
      <c r="DQ35" s="13">
        <f t="shared" si="43"/>
        <v>34.797199044605101</v>
      </c>
      <c r="DR35" s="20">
        <f t="shared" si="16"/>
        <v>293.0673223360206</v>
      </c>
      <c r="DS35" s="59">
        <f t="shared" si="17"/>
        <v>586.40065566935391</v>
      </c>
      <c r="DT35" s="59">
        <f ca="1">AVERAGE(OFFSET($DS$3,0,0,'Données projet'!$E$14+1,1))-AVERAGE(OFFSET($H$3,0,0,'Données projet'!$E$14+1,1))</f>
        <v>407.73540492005355</v>
      </c>
      <c r="DU35" s="59">
        <f t="shared" si="44"/>
        <v>296.29416764204774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11.333333333333334</v>
      </c>
      <c r="EJ35" s="12">
        <f>IF('Données projet'!$A$192&gt;35,EJ34+EI35-ER34,IF(A35&lt;'Données projet'!$A$192,$EG$205^A35,IF(A35='Données projet'!$A$192,'Données projet'!$B$192,EJ34+EI35-ER34)))</f>
        <v>131.33333333333329</v>
      </c>
      <c r="EK35" s="17">
        <f>EJ35*VLOOKUP('Données projet'!$B$15,Paramètres!$A$1:$I$89,3,0)*VLOOKUP('Données projet'!$B$15,Paramètres!$A$1:$I$89,5,0)</f>
        <v>102.43999999999997</v>
      </c>
      <c r="EL35" s="13">
        <f t="shared" si="45"/>
        <v>27.542475814398081</v>
      </c>
      <c r="EM35" s="20">
        <f t="shared" si="19"/>
        <v>226.38614537674326</v>
      </c>
      <c r="EN35" s="59">
        <f t="shared" si="20"/>
        <v>519.7194787100766</v>
      </c>
      <c r="EO35" s="59">
        <f ca="1">AVERAGE(OFFSET($EN$3,0,0,'Données projet'!$E$15+1,1))-AVERAGE(OFFSET($H$3,0,0,'Données projet'!$E$15+1,1))</f>
        <v>288.80569134263209</v>
      </c>
      <c r="EP35" s="59">
        <f t="shared" si="46"/>
        <v>283.48738729114024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3.8167930321309527</v>
      </c>
      <c r="EW35" s="21">
        <f>EXP(-LN(2)/25)*EW34+(1-EXP(-LN(2)/25))/(LN(2)/25)*Calculateur!ER35*Calculateur!ET35*VLOOKUP('Données projet'!$B$15,Paramètres!$A$1:$I$89,3,0)*0.475*44/12</f>
        <v>12.445124313333826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16.261917345464781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384.05928630855732</v>
      </c>
      <c r="T36" s="59">
        <f t="shared" si="34"/>
        <v>279.93992813630513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9.2371794871794872</v>
      </c>
      <c r="AI36" s="13">
        <f>IF('Données projet'!$A$62&gt;35,AI35+AH36-AQ35,IF(A36&lt;'Données projet'!$A$62,$AF$205^A36,IF(A36='Données projet'!$A$62,'Données projet'!$B$62,AI35+AH36-AQ35)))</f>
        <v>87.961538461538439</v>
      </c>
      <c r="AJ36" s="13">
        <f>AI36*VLOOKUP('Données projet'!$B$10,Paramètres!$A$1:$I$89,3,0)*VLOOKUP('Données projet'!$B$10,Paramètres!$A$1:$I$89,5,0)</f>
        <v>74.098799999999997</v>
      </c>
      <c r="AK36" s="13">
        <f t="shared" si="35"/>
        <v>20.687938616415433</v>
      </c>
      <c r="AL36" s="20">
        <f t="shared" si="4"/>
        <v>165.08690309025687</v>
      </c>
      <c r="AM36" s="59">
        <f t="shared" si="5"/>
        <v>458.42023642359015</v>
      </c>
      <c r="AN36" s="59">
        <f ca="1">AVERAGE(OFFSET($AM$3,0,0,'Données projet'!$E$10+1,1))-AVERAGE(OFFSET($H$3,0,0,'Données projet'!$E$10+1,1))</f>
        <v>312.48716825299158</v>
      </c>
      <c r="AO36" s="59">
        <f t="shared" si="36"/>
        <v>258.68277822755357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152.94552000000002</v>
      </c>
      <c r="BF36" s="13">
        <f t="shared" si="37"/>
        <v>39.247206134585156</v>
      </c>
      <c r="BG36" s="20">
        <f t="shared" si="7"/>
        <v>334.73566468440248</v>
      </c>
      <c r="BH36" s="59">
        <f t="shared" si="8"/>
        <v>628.06899801773579</v>
      </c>
      <c r="BI36" s="59">
        <f ca="1">AVERAGE(OFFSET($BH$3,0,0,'Données projet'!$E$11+1,1))-AVERAGE(OFFSET($H$3,0,0,'Données projet'!$E$11+1,1))</f>
        <v>376.58419691967526</v>
      </c>
      <c r="BJ36" s="59">
        <f t="shared" si="38"/>
        <v>365.76175372075869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8.9218647321315903</v>
      </c>
      <c r="BQ36" s="21">
        <f>EXP(-LN(2)/25)*BQ35+(1-EXP(-LN(2)/25))/(LN(2)/25)*Calculateur!BL36*Calculateur!BN36*VLOOKUP('Données projet'!$B$11,Paramètres!$A$1:$I$89,3,0)*0.475*44/12</f>
        <v>10.401806914149512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19.323671646281102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165.96216000000001</v>
      </c>
      <c r="CA36" s="13">
        <f t="shared" si="39"/>
        <v>42.184420424142857</v>
      </c>
      <c r="CB36" s="20">
        <f t="shared" si="10"/>
        <v>362.52196090538217</v>
      </c>
      <c r="CC36" s="59">
        <f t="shared" si="11"/>
        <v>655.85529423871549</v>
      </c>
      <c r="CD36" s="59">
        <f ca="1">AVERAGE(OFFSET($CC$3,0,0,'Données projet'!$E$12+1,1))-AVERAGE(OFFSET($H$3,0,0,'Données projet'!$E$12+1,1))</f>
        <v>405.40026823646758</v>
      </c>
      <c r="CE36" s="59">
        <f t="shared" si="40"/>
        <v>393.0787141050053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11.932607803538691</v>
      </c>
      <c r="CL36" s="21">
        <f>EXP(-LN(2)/25)*CL35+(1-EXP(-LN(2)/25))/(LN(2)/25)*Calculateur!CG36*Calculateur!CI36*VLOOKUP('Données projet'!$B$12,Paramètres!$A$1:$I$89,3,0)*0.475*44/12</f>
        <v>13.9119663973014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25.844574200840093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10.4</v>
      </c>
      <c r="CT36" s="12">
        <f>IF('Données projet'!$A$140&gt;35,CT35+CS36-DB35,IF(A36&lt;'Données projet'!$A$140,$CQ$205^A36,IF(A36='Données projet'!$A$140,'Données projet'!$B$140,CT35+CS36-DB35)))</f>
        <v>168.20000000000002</v>
      </c>
      <c r="CU36" s="17">
        <f>CT36*VLOOKUP('Données projet'!$B$13,Paramètres!$A$1:$I$89,3,0)*VLOOKUP('Données projet'!$B$13,Paramètres!$A$1:$I$89,5,0)</f>
        <v>146.93952000000004</v>
      </c>
      <c r="CV36" s="13">
        <f t="shared" si="41"/>
        <v>37.882248330654257</v>
      </c>
      <c r="CW36" s="20">
        <f t="shared" si="13"/>
        <v>321.89791317588953</v>
      </c>
      <c r="CX36" s="59">
        <f t="shared" si="14"/>
        <v>615.23124650922284</v>
      </c>
      <c r="CY36" s="59">
        <f ca="1">AVERAGE(OFFSET($CX$3,0,0,'Données projet'!$E$13+1,1))-AVERAGE(OFFSET($H$3,0,0,'Données projet'!$E$13+1,1))</f>
        <v>381.72225529388083</v>
      </c>
      <c r="CZ36" s="59">
        <f t="shared" si="42"/>
        <v>360.05900046417361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6.0899147946181396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6.0899147946181396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8.0564102564102633</v>
      </c>
      <c r="DO36" s="12">
        <f>IF('Données projet'!$A$166&gt;35,DO35+DN36-DW35,IF(A36&lt;'Données projet'!$A$166,$DL$205^A36,IF(A36='Données projet'!$A$166,'Données projet'!$B$166,DO35+DN36-DW35)))</f>
        <v>146.05384615384617</v>
      </c>
      <c r="DP36" s="17">
        <f>DO36*VLOOKUP('Données projet'!$B$14,Paramètres!$A$1:$I$89,3,0)*VLOOKUP('Données projet'!$B$14,Paramètres!$A$1:$I$89,5,0)</f>
        <v>141.26328000000001</v>
      </c>
      <c r="DQ36" s="13">
        <f t="shared" si="43"/>
        <v>36.586253729191895</v>
      </c>
      <c r="DR36" s="20">
        <f t="shared" si="16"/>
        <v>309.75460457834254</v>
      </c>
      <c r="DS36" s="59">
        <f t="shared" si="17"/>
        <v>603.08793791167591</v>
      </c>
      <c r="DT36" s="59">
        <f ca="1">AVERAGE(OFFSET($DS$3,0,0,'Données projet'!$E$14+1,1))-AVERAGE(OFFSET($H$3,0,0,'Données projet'!$E$14+1,1))</f>
        <v>407.73540492005355</v>
      </c>
      <c r="DU36" s="59">
        <f t="shared" si="44"/>
        <v>296.29416764204774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11.333333333333334</v>
      </c>
      <c r="EJ36" s="12">
        <f>IF('Données projet'!$A$192&gt;35,EJ35+EI36-ER35,IF(A36&lt;'Données projet'!$A$192,$EG$205^A36,IF(A36='Données projet'!$A$192,'Données projet'!$B$192,EJ35+EI36-ER35)))</f>
        <v>142.66666666666663</v>
      </c>
      <c r="EK36" s="17">
        <f>EJ36*VLOOKUP('Données projet'!$B$15,Paramètres!$A$1:$I$89,3,0)*VLOOKUP('Données projet'!$B$15,Paramètres!$A$1:$I$89,5,0)</f>
        <v>111.27999999999997</v>
      </c>
      <c r="EL36" s="13">
        <f t="shared" si="45"/>
        <v>29.63235919562165</v>
      </c>
      <c r="EM36" s="20">
        <f t="shared" si="19"/>
        <v>245.42235893237435</v>
      </c>
      <c r="EN36" s="59">
        <f t="shared" si="20"/>
        <v>538.75569226570769</v>
      </c>
      <c r="EO36" s="59">
        <f ca="1">AVERAGE(OFFSET($EN$3,0,0,'Données projet'!$E$15+1,1))-AVERAGE(OFFSET($H$3,0,0,'Données projet'!$E$15+1,1))</f>
        <v>288.80569134263209</v>
      </c>
      <c r="EP36" s="59">
        <f t="shared" si="46"/>
        <v>283.48738729114024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3.7419480487847419</v>
      </c>
      <c r="EW36" s="21">
        <f>EXP(-LN(2)/25)*EW35+(1-EXP(-LN(2)/25))/(LN(2)/25)*Calculateur!ER36*Calculateur!ET36*VLOOKUP('Données projet'!$B$15,Paramètres!$A$1:$I$89,3,0)*0.475*44/12</f>
        <v>12.104811734525068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15.84675978330981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599.18290416174227</v>
      </c>
      <c r="S37" s="59">
        <f ca="1">AVERAGE(OFFSET($R$3,0,0,'Données projet'!$E$9+1,1))-AVERAGE(OFFSET($H$3,0,0,'Données projet'!$E$9+1,1))</f>
        <v>384.05928630855732</v>
      </c>
      <c r="T37" s="59">
        <f t="shared" si="34"/>
        <v>279.93992813630513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9.2371794871794872</v>
      </c>
      <c r="AI37" s="13">
        <f>IF('Données projet'!$A$62&gt;35,AI36+AH37-AQ36,IF(A37&lt;'Données projet'!$A$62,$AF$205^A37,IF(A37='Données projet'!$A$62,'Données projet'!$B$62,AI36+AH37-AQ36)))</f>
        <v>97.198717948717928</v>
      </c>
      <c r="AJ37" s="13">
        <f>AI37*VLOOKUP('Données projet'!$B$10,Paramètres!$A$1:$I$89,3,0)*VLOOKUP('Données projet'!$B$10,Paramètres!$A$1:$I$89,5,0)</f>
        <v>81.880199999999988</v>
      </c>
      <c r="AK37" s="13">
        <f t="shared" si="35"/>
        <v>22.596279411470338</v>
      </c>
      <c r="AL37" s="20">
        <f t="shared" si="4"/>
        <v>181.96320164164413</v>
      </c>
      <c r="AM37" s="59">
        <f t="shared" si="5"/>
        <v>475.29653497497748</v>
      </c>
      <c r="AN37" s="59">
        <f ca="1">AVERAGE(OFFSET($AM$3,0,0,'Données projet'!$E$10+1,1))-AVERAGE(OFFSET($H$3,0,0,'Données projet'!$E$10+1,1))</f>
        <v>312.48716825299158</v>
      </c>
      <c r="AO37" s="59">
        <f t="shared" si="36"/>
        <v>258.68277822755357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164.09016</v>
      </c>
      <c r="BF37" s="13">
        <f t="shared" si="37"/>
        <v>41.763702733606458</v>
      </c>
      <c r="BG37" s="20">
        <f t="shared" si="7"/>
        <v>358.52881092769786</v>
      </c>
      <c r="BH37" s="59">
        <f t="shared" si="8"/>
        <v>651.86214426103118</v>
      </c>
      <c r="BI37" s="59">
        <f ca="1">AVERAGE(OFFSET($BH$3,0,0,'Données projet'!$E$11+1,1))-AVERAGE(OFFSET($H$3,0,0,'Données projet'!$E$11+1,1))</f>
        <v>376.58419691967526</v>
      </c>
      <c r="BJ37" s="59">
        <f t="shared" si="38"/>
        <v>365.76175372075869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8.7469124065346424</v>
      </c>
      <c r="BQ37" s="21">
        <f>EXP(-LN(2)/25)*BQ36+(1-EXP(-LN(2)/25))/(LN(2)/25)*Calculateur!BL37*Calculateur!BN37*VLOOKUP('Données projet'!$B$11,Paramètres!$A$1:$I$89,3,0)*0.475*44/12</f>
        <v>10.117368957074842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18.864281363609486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178.05528000000001</v>
      </c>
      <c r="CA37" s="13">
        <f t="shared" si="39"/>
        <v>44.889248639558041</v>
      </c>
      <c r="CB37" s="20">
        <f t="shared" si="10"/>
        <v>388.29505404723028</v>
      </c>
      <c r="CC37" s="59">
        <f t="shared" si="11"/>
        <v>681.62838738056359</v>
      </c>
      <c r="CD37" s="59">
        <f ca="1">AVERAGE(OFFSET($CC$3,0,0,'Données projet'!$E$12+1,1))-AVERAGE(OFFSET($H$3,0,0,'Données projet'!$E$12+1,1))</f>
        <v>405.40026823646758</v>
      </c>
      <c r="CE37" s="59">
        <f t="shared" si="40"/>
        <v>393.0787141050053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11.698616642683398</v>
      </c>
      <c r="CL37" s="21">
        <f>EXP(-LN(2)/25)*CL36+(1-EXP(-LN(2)/25))/(LN(2)/25)*Calculateur!CG37*Calculateur!CI37*VLOOKUP('Données projet'!$B$12,Paramètres!$A$1:$I$89,3,0)*0.475*44/12</f>
        <v>13.531542944568677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25.230159587252075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10.4</v>
      </c>
      <c r="CT37" s="12">
        <f>IF('Données projet'!$A$140&gt;35,CT36+CS37-DB36,IF(A37&lt;'Données projet'!$A$140,$CQ$205^A37,IF(A37='Données projet'!$A$140,'Données projet'!$B$140,CT36+CS37-DB36)))</f>
        <v>178.60000000000002</v>
      </c>
      <c r="CU37" s="17">
        <f>CT37*VLOOKUP('Données projet'!$B$13,Paramètres!$A$1:$I$89,3,0)*VLOOKUP('Données projet'!$B$13,Paramètres!$A$1:$I$89,5,0)</f>
        <v>156.02496000000005</v>
      </c>
      <c r="CV37" s="13">
        <f t="shared" si="41"/>
        <v>39.944625507905997</v>
      </c>
      <c r="CW37" s="20">
        <f t="shared" si="13"/>
        <v>341.31369475960304</v>
      </c>
      <c r="CX37" s="59">
        <f t="shared" si="14"/>
        <v>634.64702809293635</v>
      </c>
      <c r="CY37" s="59">
        <f ca="1">AVERAGE(OFFSET($CX$3,0,0,'Données projet'!$E$13+1,1))-AVERAGE(OFFSET($H$3,0,0,'Données projet'!$E$13+1,1))</f>
        <v>381.72225529388083</v>
      </c>
      <c r="CZ37" s="59">
        <f t="shared" si="42"/>
        <v>360.05900046417361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5.923385754304606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5.923385754304606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8.0564102564102633</v>
      </c>
      <c r="DO37" s="12">
        <f>IF('Données projet'!$A$166&gt;35,DO36+DN37-DW36,IF(A37&lt;'Données projet'!$A$166,$DL$205^A37,IF(A37='Données projet'!$A$166,'Données projet'!$B$166,DO36+DN37-DW36)))</f>
        <v>154.11025641025643</v>
      </c>
      <c r="DP37" s="17">
        <f>DO37*VLOOKUP('Données projet'!$B$14,Paramètres!$A$1:$I$89,3,0)*VLOOKUP('Données projet'!$B$14,Paramètres!$A$1:$I$89,5,0)</f>
        <v>149.05544000000003</v>
      </c>
      <c r="DQ37" s="13">
        <f t="shared" si="43"/>
        <v>38.363852117836124</v>
      </c>
      <c r="DR37" s="20">
        <f t="shared" si="16"/>
        <v>326.42193377189795</v>
      </c>
      <c r="DS37" s="59">
        <f t="shared" si="17"/>
        <v>619.75526710523127</v>
      </c>
      <c r="DT37" s="59">
        <f ca="1">AVERAGE(OFFSET($DS$3,0,0,'Données projet'!$E$14+1,1))-AVERAGE(OFFSET($H$3,0,0,'Données projet'!$E$14+1,1))</f>
        <v>407.73540492005355</v>
      </c>
      <c r="DU37" s="59">
        <f t="shared" si="44"/>
        <v>296.29416764204774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11.333333333333334</v>
      </c>
      <c r="EJ37" s="12">
        <f>IF('Données projet'!$A$192&gt;35,EJ36+EI37-ER36,IF(A37&lt;'Données projet'!$A$192,$EG$205^A37,IF(A37='Données projet'!$A$192,'Données projet'!$B$192,EJ36+EI37-ER36)))</f>
        <v>153.99999999999997</v>
      </c>
      <c r="EK37" s="17">
        <f>EJ37*VLOOKUP('Données projet'!$B$15,Paramètres!$A$1:$I$89,3,0)*VLOOKUP('Données projet'!$B$15,Paramètres!$A$1:$I$89,5,0)</f>
        <v>120.11999999999998</v>
      </c>
      <c r="EL37" s="13">
        <f t="shared" si="45"/>
        <v>31.702985695201871</v>
      </c>
      <c r="EM37" s="20">
        <f t="shared" si="19"/>
        <v>264.42503341914323</v>
      </c>
      <c r="EN37" s="59">
        <f t="shared" si="20"/>
        <v>557.7583667524766</v>
      </c>
      <c r="EO37" s="59">
        <f ca="1">AVERAGE(OFFSET($EN$3,0,0,'Données projet'!$E$15+1,1))-AVERAGE(OFFSET($H$3,0,0,'Données projet'!$E$15+1,1))</f>
        <v>288.80569134263209</v>
      </c>
      <c r="EP37" s="59">
        <f t="shared" si="46"/>
        <v>283.48738729114024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3.6685707299110182</v>
      </c>
      <c r="EW37" s="21">
        <f>EXP(-LN(2)/25)*EW36+(1-EXP(-LN(2)/25))/(LN(2)/25)*Calculateur!ER37*Calculateur!ET37*VLOOKUP('Données projet'!$B$15,Paramètres!$A$1:$I$89,3,0)*0.475*44/12</f>
        <v>11.773805021080097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15.442375750991115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614.77977679294247</v>
      </c>
      <c r="S38" s="59">
        <f ca="1">AVERAGE(OFFSET($R$3,0,0,'Données projet'!$E$9+1,1))-AVERAGE(OFFSET($H$3,0,0,'Données projet'!$E$9+1,1))</f>
        <v>384.05928630855732</v>
      </c>
      <c r="T38" s="59">
        <f t="shared" si="34"/>
        <v>279.93992813630513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9.2371794871794872</v>
      </c>
      <c r="AI38" s="13">
        <f>IF('Données projet'!$A$62&gt;35,AI37+AH38-AQ37,IF(A38&lt;'Données projet'!$A$62,$AF$205^A38,IF(A38='Données projet'!$A$62,'Données projet'!$B$62,AI37+AH38-AQ37)))</f>
        <v>106.43589743589742</v>
      </c>
      <c r="AJ38" s="13">
        <f>AI38*VLOOKUP('Données projet'!$B$10,Paramètres!$A$1:$I$89,3,0)*VLOOKUP('Données projet'!$B$10,Paramètres!$A$1:$I$89,5,0)</f>
        <v>89.661599999999993</v>
      </c>
      <c r="AK38" s="13">
        <f t="shared" si="35"/>
        <v>24.483593177784687</v>
      </c>
      <c r="AL38" s="20">
        <f t="shared" si="4"/>
        <v>198.80287811797496</v>
      </c>
      <c r="AM38" s="59">
        <f t="shared" si="5"/>
        <v>492.13621145130827</v>
      </c>
      <c r="AN38" s="59">
        <f ca="1">AVERAGE(OFFSET($AM$3,0,0,'Données projet'!$E$10+1,1))-AVERAGE(OFFSET($H$3,0,0,'Données projet'!$E$10+1,1))</f>
        <v>312.48716825299158</v>
      </c>
      <c r="AO38" s="59">
        <f t="shared" si="36"/>
        <v>258.68277822755357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175.23480000000001</v>
      </c>
      <c r="BF38" s="13">
        <f t="shared" si="37"/>
        <v>44.260367185241513</v>
      </c>
      <c r="BG38" s="20">
        <f t="shared" si="7"/>
        <v>382.28741618096228</v>
      </c>
      <c r="BH38" s="59">
        <f t="shared" si="8"/>
        <v>675.62074951429554</v>
      </c>
      <c r="BI38" s="59">
        <f ca="1">AVERAGE(OFFSET($BH$3,0,0,'Données projet'!$E$11+1,1))-AVERAGE(OFFSET($H$3,0,0,'Données projet'!$E$11+1,1))</f>
        <v>376.58419691967526</v>
      </c>
      <c r="BJ38" s="59">
        <f t="shared" si="38"/>
        <v>365.76175372075869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0.31819999999999998</v>
      </c>
      <c r="BN38" s="16">
        <f>IF(ISNA(VLOOKUP(A38,'Données projet'!$A$87:$I$107,6,0)),0%,VLOOKUP(A38,'Données projet'!$A$87:$I$107,6,0)*VLOOKUP('Données projet'!$B$11,Paramètres!$A$1:$I$89,7,0))</f>
        <v>8.1699999999999995E-2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19.40764971238902</v>
      </c>
      <c r="BQ38" s="21">
        <f>EXP(-LN(2)/25)*BQ37+(1-EXP(-LN(2)/25))/(LN(2)/25)*Calculateur!BL38*Calculateur!BN38*VLOOKUP('Données projet'!$B$11,Paramètres!$A$1:$I$89,3,0)*0.475*44/12</f>
        <v>12.611013777015758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32.01866348940478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190.14840000000001</v>
      </c>
      <c r="CA38" s="13">
        <f t="shared" si="39"/>
        <v>47.572760493232991</v>
      </c>
      <c r="CB38" s="20">
        <f t="shared" si="10"/>
        <v>414.03102119238082</v>
      </c>
      <c r="CC38" s="59">
        <f t="shared" si="11"/>
        <v>707.36435452571413</v>
      </c>
      <c r="CD38" s="59">
        <f ca="1">AVERAGE(OFFSET($CC$3,0,0,'Données projet'!$E$12+1,1))-AVERAGE(OFFSET($H$3,0,0,'Données projet'!$E$12+1,1))</f>
        <v>405.40026823646758</v>
      </c>
      <c r="CE38" s="59">
        <f t="shared" si="40"/>
        <v>393.0787141050053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0.39219999999999999</v>
      </c>
      <c r="CI38" s="16">
        <f>IF(ISNA(VLOOKUP(A38,'Données projet'!$A$113:$I$133,6,0)),0%,VLOOKUP(A38,'Données projet'!$A$113:$I$133,6,0)*VLOOKUP('Données projet'!$B$12,Paramètres!$A$1:$I$89,7,0))</f>
        <v>0.10070000000000001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25.956891228395616</v>
      </c>
      <c r="CL38" s="21">
        <f>EXP(-LN(2)/25)*CL37+(1-EXP(-LN(2)/25))/(LN(2)/25)*Calculateur!CG38*Calculateur!CI38*VLOOKUP('Données projet'!$B$12,Paramètres!$A$1:$I$89,3,0)*0.475*44/12</f>
        <v>16.866684927893914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42.823576156289533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189</v>
      </c>
      <c r="CR38" s="12">
        <f>VLOOKUP(A38,'Données projet'!$A$139:$I$159,9,0)</f>
        <v>10.4</v>
      </c>
      <c r="CS38" s="12">
        <f t="array" ref="CS38">INDEX(CR:CR,MIN(IF(ISNUMBER(CR38:CR234),ROW(CR38:CR234),"")))</f>
        <v>10.4</v>
      </c>
      <c r="CT38" s="12">
        <f>IF('Données projet'!$A$140&gt;35,CT37+CS38-DB37,IF(A38&lt;'Données projet'!$A$140,$CQ$205^A38,IF(A38='Données projet'!$A$140,'Données projet'!$B$140,CT37+CS38-DB37)))</f>
        <v>189.00000000000003</v>
      </c>
      <c r="CU38" s="17">
        <f>CT38*VLOOKUP('Données projet'!$B$13,Paramètres!$A$1:$I$89,3,0)*VLOOKUP('Données projet'!$B$13,Paramètres!$A$1:$I$89,5,0)</f>
        <v>165.11040000000006</v>
      </c>
      <c r="CV38" s="13">
        <f t="shared" si="41"/>
        <v>41.993062739333482</v>
      </c>
      <c r="CW38" s="20">
        <f t="shared" si="13"/>
        <v>360.70519760433922</v>
      </c>
      <c r="CX38" s="59">
        <f t="shared" si="14"/>
        <v>654.03853093767248</v>
      </c>
      <c r="CY38" s="59">
        <f ca="1">AVERAGE(OFFSET($CX$3,0,0,'Données projet'!$E$13+1,1))-AVERAGE(OFFSET($H$3,0,0,'Données projet'!$E$13+1,1))</f>
        <v>381.72225529388083</v>
      </c>
      <c r="CZ38" s="59">
        <f t="shared" si="42"/>
        <v>360.05900046417361</v>
      </c>
      <c r="DA38" s="15">
        <f>IF(ISNA(VLOOKUP(A38,'Données projet'!$A$139:$I$159,3,0)),0,VLOOKUP(A38,'Données projet'!$A$139:$I$159,3,0))</f>
        <v>4</v>
      </c>
      <c r="DB38" s="15" t="str">
        <f>IF(ISNA(VLOOKUP(A38,'Données projet'!$A$139:$I$159,4,0)),0,VLOOKUP(A38,'Données projet'!$A$139:$I$159,4,0))</f>
        <v>32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0.215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12.379533176480578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12.379533176480578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162.16666666666669</v>
      </c>
      <c r="DM38" s="12">
        <f>VLOOKUP(A38,'Données projet'!$A$165:$I$185,9,0)</f>
        <v>8.0564102564102633</v>
      </c>
      <c r="DN38" s="12">
        <f t="array" ref="DN38">INDEX(DM:DM,MIN(IF(ISNUMBER(DM38:DM234),ROW(DM38:DM234),"")))</f>
        <v>8.0564102564102633</v>
      </c>
      <c r="DO38" s="12">
        <f>IF('Données projet'!$A$166&gt;35,DO37+DN38-DW37,IF(A38&lt;'Données projet'!$A$166,$DL$205^A38,IF(A38='Données projet'!$A$166,'Données projet'!$B$166,DO37+DN38-DW37)))</f>
        <v>162.16666666666669</v>
      </c>
      <c r="DP38" s="17">
        <f>DO38*VLOOKUP('Données projet'!$B$14,Paramètres!$A$1:$I$89,3,0)*VLOOKUP('Données projet'!$B$14,Paramètres!$A$1:$I$89,5,0)</f>
        <v>156.84760000000003</v>
      </c>
      <c r="DQ38" s="13">
        <f t="shared" si="43"/>
        <v>40.13066141543748</v>
      </c>
      <c r="DR38" s="20">
        <f t="shared" si="16"/>
        <v>343.07047196522035</v>
      </c>
      <c r="DS38" s="59">
        <f t="shared" si="17"/>
        <v>636.40380529855361</v>
      </c>
      <c r="DT38" s="59">
        <f ca="1">AVERAGE(OFFSET($DS$3,0,0,'Données projet'!$E$14+1,1))-AVERAGE(OFFSET($H$3,0,0,'Données projet'!$E$14+1,1))</f>
        <v>407.73540492005355</v>
      </c>
      <c r="DU38" s="59">
        <f t="shared" si="44"/>
        <v>296.29416764204774</v>
      </c>
      <c r="DV38" s="15">
        <f>IF(ISNA(VLOOKUP(A38,'Données projet'!$A$165:$I$185,3,0)),0,VLOOKUP(A38,'Données projet'!$A$165:$I$185,3,0))</f>
        <v>1</v>
      </c>
      <c r="DW38" s="15">
        <f>IF(ISNA(VLOOKUP(A38,'Données projet'!$A$165:$I$185,4,0)),0,VLOOKUP(A38,'Données projet'!$A$165:$I$185,4,0))</f>
        <v>60.602564102564102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11.333333333333334</v>
      </c>
      <c r="EJ38" s="12">
        <f>IF('Données projet'!$A$192&gt;35,EJ37+EI38-ER37,IF(A38&lt;'Données projet'!$A$192,$EG$205^A38,IF(A38='Données projet'!$A$192,'Données projet'!$B$192,EJ37+EI38-ER37)))</f>
        <v>165.33333333333331</v>
      </c>
      <c r="EK38" s="17">
        <f>EJ38*VLOOKUP('Données projet'!$B$15,Paramètres!$A$1:$I$89,3,0)*VLOOKUP('Données projet'!$B$15,Paramètres!$A$1:$I$89,5,0)</f>
        <v>128.95999999999998</v>
      </c>
      <c r="EL38" s="13">
        <f t="shared" si="45"/>
        <v>33.755933643031135</v>
      </c>
      <c r="EM38" s="20">
        <f t="shared" si="19"/>
        <v>283.39691776161254</v>
      </c>
      <c r="EN38" s="59">
        <f t="shared" si="20"/>
        <v>576.73025109494586</v>
      </c>
      <c r="EO38" s="59">
        <f ca="1">AVERAGE(OFFSET($EN$3,0,0,'Données projet'!$E$15+1,1))-AVERAGE(OFFSET($H$3,0,0,'Données projet'!$E$15+1,1))</f>
        <v>288.80569134263209</v>
      </c>
      <c r="EP38" s="59">
        <f t="shared" si="46"/>
        <v>283.48738729114024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3.596632295504663</v>
      </c>
      <c r="EW38" s="21">
        <f>EXP(-LN(2)/25)*EW37+(1-EXP(-LN(2)/25))/(LN(2)/25)*Calculateur!ER38*Calculateur!ET38*VLOOKUP('Données projet'!$B$15,Paramètres!$A$1:$I$89,3,0)*0.475*44/12</f>
        <v>11.451849703621166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15.04848199912583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384.05928630855732</v>
      </c>
      <c r="T39" s="59">
        <f t="shared" si="34"/>
        <v>279.93992813630513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9.2371794871794872</v>
      </c>
      <c r="AI39" s="13">
        <f>IF('Données projet'!$A$62&gt;35,AI38+AH39-AQ38,IF(A39&lt;'Données projet'!$A$62,$AF$205^A39,IF(A39='Données projet'!$A$62,'Données projet'!$B$62,AI38+AH39-AQ38)))</f>
        <v>115.67307692307691</v>
      </c>
      <c r="AJ39" s="13">
        <f>AI39*VLOOKUP('Données projet'!$B$10,Paramètres!$A$1:$I$89,3,0)*VLOOKUP('Données projet'!$B$10,Paramètres!$A$1:$I$89,5,0)</f>
        <v>97.442999999999984</v>
      </c>
      <c r="AK39" s="13">
        <f t="shared" si="35"/>
        <v>26.351912262740338</v>
      </c>
      <c r="AL39" s="20">
        <f t="shared" si="4"/>
        <v>215.60947219093939</v>
      </c>
      <c r="AM39" s="59">
        <f t="shared" si="5"/>
        <v>508.94280552427267</v>
      </c>
      <c r="AN39" s="59">
        <f ca="1">AVERAGE(OFFSET($AM$3,0,0,'Données projet'!$E$10+1,1))-AVERAGE(OFFSET($H$3,0,0,'Données projet'!$E$10+1,1))</f>
        <v>312.48716825299158</v>
      </c>
      <c r="AO39" s="59">
        <f t="shared" si="36"/>
        <v>258.68277822755357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154.11863999999997</v>
      </c>
      <c r="BF39" s="13">
        <f t="shared" si="37"/>
        <v>39.513080685376593</v>
      </c>
      <c r="BG39" s="20">
        <f t="shared" si="7"/>
        <v>337.24191352703082</v>
      </c>
      <c r="BH39" s="59">
        <f t="shared" si="8"/>
        <v>630.57524686036413</v>
      </c>
      <c r="BI39" s="59">
        <f ca="1">AVERAGE(OFFSET($BH$3,0,0,'Données projet'!$E$11+1,1))-AVERAGE(OFFSET($H$3,0,0,'Données projet'!$E$11+1,1))</f>
        <v>376.58419691967526</v>
      </c>
      <c r="BJ39" s="59">
        <f t="shared" si="38"/>
        <v>365.76175372075869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19.027077539026539</v>
      </c>
      <c r="BQ39" s="21">
        <f>EXP(-LN(2)/25)*BQ38+(1-EXP(-LN(2)/25))/(LN(2)/25)*Calculateur!BL39*Calculateur!BN39*VLOOKUP('Données projet'!$B$11,Paramètres!$A$1:$I$89,3,0)*0.475*44/12</f>
        <v>12.26616494209887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31.293242481125411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167.23511999999999</v>
      </c>
      <c r="CA39" s="13">
        <f t="shared" si="39"/>
        <v>42.470192710511604</v>
      </c>
      <c r="CB39" s="20">
        <f t="shared" si="10"/>
        <v>365.23675297080769</v>
      </c>
      <c r="CC39" s="59">
        <f t="shared" si="11"/>
        <v>658.570086304141</v>
      </c>
      <c r="CD39" s="59">
        <f ca="1">AVERAGE(OFFSET($CC$3,0,0,'Données projet'!$E$12+1,1))-AVERAGE(OFFSET($H$3,0,0,'Données projet'!$E$12+1,1))</f>
        <v>405.40026823646758</v>
      </c>
      <c r="CE39" s="59">
        <f t="shared" si="40"/>
        <v>393.0787141050053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25.447892423547135</v>
      </c>
      <c r="CL39" s="21">
        <f>EXP(-LN(2)/25)*CL38+(1-EXP(-LN(2)/25))/(LN(2)/25)*Calculateur!CG39*Calculateur!CI39*VLOOKUP('Données projet'!$B$12,Paramètres!$A$1:$I$89,3,0)*0.475*44/12</f>
        <v>16.405464541560242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41.85335696510738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9.8000000000000007</v>
      </c>
      <c r="CT39" s="12">
        <f>IF('Données projet'!$A$140&gt;35,CT38+CS39-DB38,IF(A39&lt;'Données projet'!$A$140,$CQ$205^A39,IF(A39='Données projet'!$A$140,'Données projet'!$B$140,CT38+CS39-DB38)))</f>
        <v>166.80000000000004</v>
      </c>
      <c r="CU39" s="17">
        <f>CT39*VLOOKUP('Données projet'!$B$13,Paramètres!$A$1:$I$89,3,0)*VLOOKUP('Données projet'!$B$13,Paramètres!$A$1:$I$89,5,0)</f>
        <v>145.71648000000005</v>
      </c>
      <c r="CV39" s="13">
        <f t="shared" si="41"/>
        <v>37.60350500083149</v>
      </c>
      <c r="CW39" s="20">
        <f t="shared" si="13"/>
        <v>319.28230720978155</v>
      </c>
      <c r="CX39" s="59">
        <f t="shared" si="14"/>
        <v>612.61564054311486</v>
      </c>
      <c r="CY39" s="59">
        <f ca="1">AVERAGE(OFFSET($CX$3,0,0,'Données projet'!$E$13+1,1))-AVERAGE(OFFSET($H$3,0,0,'Données projet'!$E$13+1,1))</f>
        <v>381.72225529388083</v>
      </c>
      <c r="CZ39" s="59">
        <f t="shared" si="42"/>
        <v>360.05900046417361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12.041014190758361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12.041014190758361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9.3141025641025621</v>
      </c>
      <c r="DO39" s="12">
        <f>IF('Données projet'!$A$166&gt;35,DO38+DN39-DW38,IF(A39&lt;'Données projet'!$A$166,$DL$205^A39,IF(A39='Données projet'!$A$166,'Données projet'!$B$166,DO38+DN39-DW38)))</f>
        <v>110.87820512820515</v>
      </c>
      <c r="DP39" s="17">
        <f>DO39*VLOOKUP('Données projet'!$B$14,Paramètres!$A$1:$I$89,3,0)*VLOOKUP('Données projet'!$B$14,Paramètres!$A$1:$I$89,5,0)</f>
        <v>107.24140000000003</v>
      </c>
      <c r="DQ39" s="13">
        <f t="shared" si="43"/>
        <v>28.680079292654327</v>
      </c>
      <c r="DR39" s="20">
        <f t="shared" si="16"/>
        <v>236.72990976803965</v>
      </c>
      <c r="DS39" s="59">
        <f t="shared" si="17"/>
        <v>530.06324310137302</v>
      </c>
      <c r="DT39" s="59">
        <f ca="1">AVERAGE(OFFSET($DS$3,0,0,'Données projet'!$E$14+1,1))-AVERAGE(OFFSET($H$3,0,0,'Données projet'!$E$14+1,1))</f>
        <v>407.73540492005355</v>
      </c>
      <c r="DU39" s="59">
        <f t="shared" si="44"/>
        <v>296.29416764204774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11.333333333333334</v>
      </c>
      <c r="EJ39" s="12">
        <f>IF('Données projet'!$A$192&gt;35,EJ38+EI39-ER38,IF(A39&lt;'Données projet'!$A$192,$EG$205^A39,IF(A39='Données projet'!$A$192,'Données projet'!$B$192,EJ38+EI39-ER38)))</f>
        <v>176.66666666666666</v>
      </c>
      <c r="EK39" s="17">
        <f>EJ39*VLOOKUP('Données projet'!$B$15,Paramètres!$A$1:$I$89,3,0)*VLOOKUP('Données projet'!$B$15,Paramètres!$A$1:$I$89,5,0)</f>
        <v>137.80000000000001</v>
      </c>
      <c r="EL39" s="13">
        <f t="shared" si="45"/>
        <v>35.792552736298617</v>
      </c>
      <c r="EM39" s="20">
        <f t="shared" si="19"/>
        <v>302.34036268238674</v>
      </c>
      <c r="EN39" s="59">
        <f t="shared" si="20"/>
        <v>595.67369601572</v>
      </c>
      <c r="EO39" s="59">
        <f ca="1">AVERAGE(OFFSET($EN$3,0,0,'Données projet'!$E$15+1,1))-AVERAGE(OFFSET($H$3,0,0,'Données projet'!$E$15+1,1))</f>
        <v>288.80569134263209</v>
      </c>
      <c r="EP39" s="59">
        <f t="shared" si="46"/>
        <v>283.48738729114024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3.526104529918904</v>
      </c>
      <c r="EW39" s="21">
        <f>EXP(-LN(2)/25)*EW38+(1-EXP(-LN(2)/25))/(LN(2)/25)*Calculateur!ER39*Calculateur!ET39*VLOOKUP('Données projet'!$B$15,Paramètres!$A$1:$I$89,3,0)*0.475*44/12</f>
        <v>11.138698271249043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14.664802801167946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384.05928630855732</v>
      </c>
      <c r="T40" s="59">
        <f t="shared" si="34"/>
        <v>279.93992813630513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124.91025641025639</v>
      </c>
      <c r="AG40" s="12">
        <f>VLOOKUP(A40,'Données projet'!$A$61:$I$81,9,0)</f>
        <v>9.2371794871794872</v>
      </c>
      <c r="AH40" s="12">
        <f t="array" ref="AH40">INDEX(AG:AG,MIN(IF(ISNUMBER(AG40:AG236),ROW(AG40:AG236),"")))</f>
        <v>9.2371794871794872</v>
      </c>
      <c r="AI40" s="13">
        <f>IF('Données projet'!$A$62&gt;35,AI39+AH40-AQ39,IF(A40&lt;'Données projet'!$A$62,$AF$205^A40,IF(A40='Données projet'!$A$62,'Données projet'!$B$62,AI39+AH40-AQ39)))</f>
        <v>124.91025641025639</v>
      </c>
      <c r="AJ40" s="13">
        <f>AI40*VLOOKUP('Données projet'!$B$10,Paramètres!$A$1:$I$89,3,0)*VLOOKUP('Données projet'!$B$10,Paramètres!$A$1:$I$89,5,0)</f>
        <v>105.2244</v>
      </c>
      <c r="AK40" s="13">
        <f t="shared" si="35"/>
        <v>28.202925954962733</v>
      </c>
      <c r="AL40" s="20">
        <f t="shared" si="4"/>
        <v>232.38592603822676</v>
      </c>
      <c r="AM40" s="59">
        <f t="shared" si="5"/>
        <v>525.71925937156004</v>
      </c>
      <c r="AN40" s="59">
        <f ca="1">AVERAGE(OFFSET($AM$3,0,0,'Données projet'!$E$10+1,1))-AVERAGE(OFFSET($H$3,0,0,'Données projet'!$E$10+1,1))</f>
        <v>312.48716825299158</v>
      </c>
      <c r="AO40" s="59">
        <f t="shared" si="36"/>
        <v>258.68277822755357</v>
      </c>
      <c r="AP40" s="15">
        <f>IF(ISNA(VLOOKUP(A40,'Données projet'!$A$61:$I$81,3,0)),0,VLOOKUP(A40,'Données projet'!$A$61:$I$81,3,0))</f>
        <v>2</v>
      </c>
      <c r="AQ40" s="15">
        <f>IF(ISNA(VLOOKUP(A40,'Données projet'!$A$61:$I$81,4,0)),0,VLOOKUP(A40,'Données projet'!$A$61:$I$81,4,0))</f>
        <v>33.801282051282051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163.79687999999999</v>
      </c>
      <c r="BF40" s="13">
        <f t="shared" si="37"/>
        <v>41.697739822198329</v>
      </c>
      <c r="BG40" s="20">
        <f t="shared" si="7"/>
        <v>357.90312952366207</v>
      </c>
      <c r="BH40" s="59">
        <f t="shared" si="8"/>
        <v>651.23646285699533</v>
      </c>
      <c r="BI40" s="59">
        <f ca="1">AVERAGE(OFFSET($BH$3,0,0,'Données projet'!$E$11+1,1))-AVERAGE(OFFSET($H$3,0,0,'Données projet'!$E$11+1,1))</f>
        <v>376.58419691967526</v>
      </c>
      <c r="BJ40" s="59">
        <f t="shared" si="38"/>
        <v>365.76175372075869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18.653968153857594</v>
      </c>
      <c r="BQ40" s="21">
        <f>EXP(-LN(2)/25)*BQ39+(1-EXP(-LN(2)/25))/(LN(2)/25)*Calculateur!BL40*Calculateur!BN40*VLOOKUP('Données projet'!$B$11,Paramètres!$A$1:$I$89,3,0)*0.475*44/12</f>
        <v>11.930746016707596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30.584714170565192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177.73703999999998</v>
      </c>
      <c r="CA40" s="13">
        <f t="shared" si="39"/>
        <v>44.818349142210366</v>
      </c>
      <c r="CB40" s="20">
        <f t="shared" si="10"/>
        <v>387.61730275601627</v>
      </c>
      <c r="CC40" s="59">
        <f t="shared" si="11"/>
        <v>680.95063608934959</v>
      </c>
      <c r="CD40" s="59">
        <f ca="1">AVERAGE(OFFSET($CC$3,0,0,'Données projet'!$E$12+1,1))-AVERAGE(OFFSET($H$3,0,0,'Données projet'!$E$12+1,1))</f>
        <v>405.40026823646758</v>
      </c>
      <c r="CE40" s="59">
        <f t="shared" si="40"/>
        <v>393.0787141050053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24.948874774803116</v>
      </c>
      <c r="CL40" s="21">
        <f>EXP(-LN(2)/25)*CL39+(1-EXP(-LN(2)/25))/(LN(2)/25)*Calculateur!CG40*Calculateur!CI40*VLOOKUP('Données projet'!$B$12,Paramètres!$A$1:$I$89,3,0)*0.475*44/12</f>
        <v>15.956856250945393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40.905731025748509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9.8000000000000007</v>
      </c>
      <c r="CT40" s="12">
        <f>IF('Données projet'!$A$140&gt;35,CT39+CS40-DB39,IF(A40&lt;'Données projet'!$A$140,$CQ$205^A40,IF(A40='Données projet'!$A$140,'Données projet'!$B$140,CT39+CS40-DB39)))</f>
        <v>176.60000000000005</v>
      </c>
      <c r="CU40" s="17">
        <f>CT40*VLOOKUP('Données projet'!$B$13,Paramètres!$A$1:$I$89,3,0)*VLOOKUP('Données projet'!$B$13,Paramètres!$A$1:$I$89,5,0)</f>
        <v>154.27776000000009</v>
      </c>
      <c r="CV40" s="13">
        <f t="shared" si="41"/>
        <v>39.549125277353333</v>
      </c>
      <c r="CW40" s="20">
        <f t="shared" si="13"/>
        <v>337.58182519139058</v>
      </c>
      <c r="CX40" s="59">
        <f t="shared" si="14"/>
        <v>630.91515852472389</v>
      </c>
      <c r="CY40" s="59">
        <f ca="1">AVERAGE(OFFSET($CX$3,0,0,'Données projet'!$E$13+1,1))-AVERAGE(OFFSET($H$3,0,0,'Données projet'!$E$13+1,1))</f>
        <v>381.72225529388083</v>
      </c>
      <c r="CZ40" s="59">
        <f t="shared" si="42"/>
        <v>360.05900046417361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11.711752024502657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11.711752024502657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9.3141025641025621</v>
      </c>
      <c r="DO40" s="12">
        <f>IF('Données projet'!$A$166&gt;35,DO39+DN40-DW39,IF(A40&lt;'Données projet'!$A$166,$DL$205^A40,IF(A40='Données projet'!$A$166,'Données projet'!$B$166,DO39+DN40-DW39)))</f>
        <v>120.19230769230771</v>
      </c>
      <c r="DP40" s="17">
        <f>DO40*VLOOKUP('Données projet'!$B$14,Paramètres!$A$1:$I$89,3,0)*VLOOKUP('Données projet'!$B$14,Paramètres!$A$1:$I$89,5,0)</f>
        <v>116.25000000000001</v>
      </c>
      <c r="DQ40" s="13">
        <f t="shared" si="43"/>
        <v>30.798763839454629</v>
      </c>
      <c r="DR40" s="20">
        <f t="shared" si="16"/>
        <v>256.10993035371683</v>
      </c>
      <c r="DS40" s="59">
        <f t="shared" si="17"/>
        <v>549.44326368705015</v>
      </c>
      <c r="DT40" s="59">
        <f ca="1">AVERAGE(OFFSET($DS$3,0,0,'Données projet'!$E$14+1,1))-AVERAGE(OFFSET($H$3,0,0,'Données projet'!$E$14+1,1))</f>
        <v>407.73540492005355</v>
      </c>
      <c r="DU40" s="59">
        <f t="shared" si="44"/>
        <v>296.29416764204774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188</v>
      </c>
      <c r="EH40" s="12">
        <f>VLOOKUP(A40,'Données projet'!$A$191:$I$211,9,0)</f>
        <v>11.333333333333334</v>
      </c>
      <c r="EI40" s="12">
        <f t="array" ref="EI40">INDEX(EH:EH,MIN(IF(ISNUMBER(EH40:EH236),ROW(EH40:EH236),"")))</f>
        <v>11.333333333333334</v>
      </c>
      <c r="EJ40" s="12">
        <f>IF('Données projet'!$A$192&gt;35,EJ39+EI40-ER39,IF(A40&lt;'Données projet'!$A$192,$EG$205^A40,IF(A40='Données projet'!$A$192,'Données projet'!$B$192,EJ39+EI40-ER39)))</f>
        <v>188</v>
      </c>
      <c r="EK40" s="17">
        <f>EJ40*VLOOKUP('Données projet'!$B$15,Paramètres!$A$1:$I$89,3,0)*VLOOKUP('Données projet'!$B$15,Paramètres!$A$1:$I$89,5,0)</f>
        <v>146.64000000000001</v>
      </c>
      <c r="EL40" s="13">
        <f t="shared" si="45"/>
        <v>37.814009712703054</v>
      </c>
      <c r="EM40" s="20">
        <f t="shared" si="19"/>
        <v>321.25740024962448</v>
      </c>
      <c r="EN40" s="59">
        <f t="shared" si="20"/>
        <v>614.5907335829578</v>
      </c>
      <c r="EO40" s="59">
        <f ca="1">AVERAGE(OFFSET($EN$3,0,0,'Données projet'!$E$15+1,1))-AVERAGE(OFFSET($H$3,0,0,'Données projet'!$E$15+1,1))</f>
        <v>288.80569134263209</v>
      </c>
      <c r="EP40" s="59">
        <f t="shared" si="46"/>
        <v>283.48738729114024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36</v>
      </c>
      <c r="ES40" s="16">
        <f>IF(ISNA(VLOOKUP(A40,'Données projet'!$A$191:$I$211,5,0)),0%,VLOOKUP(A40,'Données projet'!$A$191:$I$211,5,0)*VLOOKUP('Données projet'!$B$15,Paramètres!$A$1:$I$89,7,0))</f>
        <v>0.129</v>
      </c>
      <c r="ET40" s="16">
        <f>IF(ISNA(VLOOKUP(A40,'Données projet'!$A$191:$I$211,6,0)),0%,VLOOKUP(A40,'Données projet'!$A$191:$I$211,6,0)*VLOOKUP('Données projet'!$B$15,Paramètres!$A$1:$I$89,7,0))</f>
        <v>0.17200000000000001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7.4613272359883887</v>
      </c>
      <c r="EW40" s="21">
        <f>EXP(-LN(2)/25)*EW39+(1-EXP(-LN(2)/25))/(LN(2)/25)*Calculateur!ER40*Calculateur!ET40*VLOOKUP('Données projet'!$B$15,Paramètres!$A$1:$I$89,3,0)*0.475*44/12</f>
        <v>16.152244307524015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23.613571543512403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384.05928630855732</v>
      </c>
      <c r="T41" s="59">
        <f t="shared" si="34"/>
        <v>279.93992813630513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9.78571428571429</v>
      </c>
      <c r="AI41" s="13">
        <f>IF('Données projet'!$A$62&gt;35,AI40+AH41-AQ40,IF(A41&lt;'Données projet'!$A$62,$AF$205^A41,IF(A41='Données projet'!$A$62,'Données projet'!$B$62,AI40+AH41-AQ40)))</f>
        <v>100.89468864468864</v>
      </c>
      <c r="AJ41" s="13">
        <f>AI41*VLOOKUP('Données projet'!$B$10,Paramètres!$A$1:$I$89,3,0)*VLOOKUP('Données projet'!$B$10,Paramètres!$A$1:$I$89,5,0)</f>
        <v>84.993685714285718</v>
      </c>
      <c r="AK41" s="13">
        <f t="shared" si="35"/>
        <v>23.353830293778831</v>
      </c>
      <c r="AL41" s="20">
        <f t="shared" si="4"/>
        <v>188.70525704737906</v>
      </c>
      <c r="AM41" s="59">
        <f t="shared" si="5"/>
        <v>482.03859038071238</v>
      </c>
      <c r="AN41" s="59">
        <f ca="1">AVERAGE(OFFSET($AM$3,0,0,'Données projet'!$E$10+1,1))-AVERAGE(OFFSET($H$3,0,0,'Données projet'!$E$10+1,1))</f>
        <v>312.48716825299158</v>
      </c>
      <c r="AO41" s="59">
        <f t="shared" si="36"/>
        <v>258.68277822755357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173.47511999999998</v>
      </c>
      <c r="BF41" s="13">
        <f t="shared" si="37"/>
        <v>43.867415861334891</v>
      </c>
      <c r="BG41" s="20">
        <f t="shared" si="7"/>
        <v>378.53824995849158</v>
      </c>
      <c r="BH41" s="59">
        <f t="shared" si="8"/>
        <v>671.87158329182489</v>
      </c>
      <c r="BI41" s="59">
        <f ca="1">AVERAGE(OFFSET($BH$3,0,0,'Données projet'!$E$11+1,1))-AVERAGE(OFFSET($H$3,0,0,'Données projet'!$E$11+1,1))</f>
        <v>376.58419691967526</v>
      </c>
      <c r="BJ41" s="59">
        <f t="shared" si="38"/>
        <v>365.76175372075869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18.288175216157555</v>
      </c>
      <c r="BQ41" s="21">
        <f>EXP(-LN(2)/25)*BQ40+(1-EXP(-LN(2)/25))/(LN(2)/25)*Calculateur!BL41*Calculateur!BN41*VLOOKUP('Données projet'!$B$11,Paramètres!$A$1:$I$89,3,0)*0.475*44/12</f>
        <v>11.604499139470063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29.892674355627619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188.23895999999999</v>
      </c>
      <c r="CA41" s="13">
        <f t="shared" si="39"/>
        <v>47.150401158990007</v>
      </c>
      <c r="CB41" s="20">
        <f t="shared" si="10"/>
        <v>409.96980401857422</v>
      </c>
      <c r="CC41" s="59">
        <f t="shared" si="11"/>
        <v>703.30313735190748</v>
      </c>
      <c r="CD41" s="59">
        <f ca="1">AVERAGE(OFFSET($CC$3,0,0,'Données projet'!$E$12+1,1))-AVERAGE(OFFSET($H$3,0,0,'Données projet'!$E$12+1,1))</f>
        <v>405.40026823646758</v>
      </c>
      <c r="CE41" s="59">
        <f t="shared" si="40"/>
        <v>393.0787141050053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24.459642557780256</v>
      </c>
      <c r="CL41" s="21">
        <f>EXP(-LN(2)/25)*CL40+(1-EXP(-LN(2)/25))/(LN(2)/25)*Calculateur!CG41*Calculateur!CI41*VLOOKUP('Données projet'!$B$12,Paramètres!$A$1:$I$89,3,0)*0.475*44/12</f>
        <v>15.52051517762869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39.980157735408945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9.8000000000000007</v>
      </c>
      <c r="CT41" s="12">
        <f>IF('Données projet'!$A$140&gt;35,CT40+CS41-DB40,IF(A41&lt;'Données projet'!$A$140,$CQ$205^A41,IF(A41='Données projet'!$A$140,'Données projet'!$B$140,CT40+CS41-DB40)))</f>
        <v>186.40000000000006</v>
      </c>
      <c r="CU41" s="17">
        <f>CT41*VLOOKUP('Données projet'!$B$13,Paramètres!$A$1:$I$89,3,0)*VLOOKUP('Données projet'!$B$13,Paramètres!$A$1:$I$89,5,0)</f>
        <v>162.83904000000007</v>
      </c>
      <c r="CV41" s="13">
        <f t="shared" si="41"/>
        <v>41.482211836000111</v>
      </c>
      <c r="CW41" s="20">
        <f t="shared" si="13"/>
        <v>355.85951361436696</v>
      </c>
      <c r="CX41" s="59">
        <f t="shared" si="14"/>
        <v>649.19284694770022</v>
      </c>
      <c r="CY41" s="59">
        <f ca="1">AVERAGE(OFFSET($CX$3,0,0,'Données projet'!$E$13+1,1))-AVERAGE(OFFSET($H$3,0,0,'Données projet'!$E$13+1,1))</f>
        <v>381.72225529388083</v>
      </c>
      <c r="CZ41" s="59">
        <f t="shared" si="42"/>
        <v>360.05900046417361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11.39149354949836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11.39149354949836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9.3141025641025621</v>
      </c>
      <c r="DO41" s="12">
        <f>IF('Données projet'!$A$166&gt;35,DO40+DN41-DW40,IF(A41&lt;'Données projet'!$A$166,$DL$205^A41,IF(A41='Données projet'!$A$166,'Données projet'!$B$166,DO40+DN41-DW40)))</f>
        <v>129.50641025641028</v>
      </c>
      <c r="DP41" s="17">
        <f>DO41*VLOOKUP('Données projet'!$B$14,Paramètres!$A$1:$I$89,3,0)*VLOOKUP('Données projet'!$B$14,Paramètres!$A$1:$I$89,5,0)</f>
        <v>125.25860000000002</v>
      </c>
      <c r="DQ41" s="13">
        <f t="shared" si="43"/>
        <v>32.898403201661836</v>
      </c>
      <c r="DR41" s="20">
        <f t="shared" si="16"/>
        <v>275.45678057622769</v>
      </c>
      <c r="DS41" s="59">
        <f t="shared" si="17"/>
        <v>568.790113909561</v>
      </c>
      <c r="DT41" s="59">
        <f ca="1">AVERAGE(OFFSET($DS$3,0,0,'Données projet'!$E$14+1,1))-AVERAGE(OFFSET($H$3,0,0,'Données projet'!$E$14+1,1))</f>
        <v>407.73540492005355</v>
      </c>
      <c r="DU41" s="59">
        <f t="shared" si="44"/>
        <v>296.29416764204774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11.142857142857142</v>
      </c>
      <c r="EJ41" s="12">
        <f>IF('Données projet'!$A$192&gt;35,EJ40+EI41-ER40,IF(A41&lt;'Données projet'!$A$192,$EG$205^A41,IF(A41='Données projet'!$A$192,'Données projet'!$B$192,EJ40+EI41-ER40)))</f>
        <v>163.14285714285714</v>
      </c>
      <c r="EK41" s="17">
        <f>EJ41*VLOOKUP('Données projet'!$B$15,Paramètres!$A$1:$I$89,3,0)*VLOOKUP('Données projet'!$B$15,Paramètres!$A$1:$I$89,5,0)</f>
        <v>127.25142857142858</v>
      </c>
      <c r="EL41" s="13">
        <f t="shared" si="45"/>
        <v>33.360457439554281</v>
      </c>
      <c r="EM41" s="20">
        <f t="shared" si="19"/>
        <v>279.73236813579513</v>
      </c>
      <c r="EN41" s="59">
        <f t="shared" si="20"/>
        <v>573.0657014691285</v>
      </c>
      <c r="EO41" s="59">
        <f ca="1">AVERAGE(OFFSET($EN$3,0,0,'Données projet'!$E$15+1,1))-AVERAGE(OFFSET($H$3,0,0,'Données projet'!$E$15+1,1))</f>
        <v>288.80569134263209</v>
      </c>
      <c r="EP41" s="59">
        <f t="shared" si="46"/>
        <v>283.48738729114024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7.3150151598509003</v>
      </c>
      <c r="EW41" s="21">
        <f>EXP(-LN(2)/25)*EW40+(1-EXP(-LN(2)/25))/(LN(2)/25)*Calculateur!ER41*Calculateur!ET41*VLOOKUP('Données projet'!$B$15,Paramètres!$A$1:$I$89,3,0)*0.475*44/12</f>
        <v>15.710560337525159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23.02557549737606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384.05928630855732</v>
      </c>
      <c r="T42" s="59">
        <f t="shared" si="34"/>
        <v>279.93992813630513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9.78571428571429</v>
      </c>
      <c r="AI42" s="13">
        <f>IF('Données projet'!$A$62&gt;35,AI41+AH42-AQ41,IF(A42&lt;'Données projet'!$A$62,$AF$205^A42,IF(A42='Données projet'!$A$62,'Données projet'!$B$62,AI41+AH42-AQ41)))</f>
        <v>110.68040293040293</v>
      </c>
      <c r="AJ42" s="13">
        <f>AI42*VLOOKUP('Données projet'!$B$10,Paramètres!$A$1:$I$89,3,0)*VLOOKUP('Données projet'!$B$10,Paramètres!$A$1:$I$89,5,0)</f>
        <v>93.237171428571443</v>
      </c>
      <c r="AK42" s="13">
        <f t="shared" si="35"/>
        <v>25.344339907510765</v>
      </c>
      <c r="AL42" s="20">
        <f t="shared" si="4"/>
        <v>206.5294655770098</v>
      </c>
      <c r="AM42" s="59">
        <f t="shared" si="5"/>
        <v>499.86279891034314</v>
      </c>
      <c r="AN42" s="59">
        <f ca="1">AVERAGE(OFFSET($AM$3,0,0,'Données projet'!$E$10+1,1))-AVERAGE(OFFSET($H$3,0,0,'Données projet'!$E$10+1,1))</f>
        <v>312.48716825299158</v>
      </c>
      <c r="AO42" s="59">
        <f t="shared" si="36"/>
        <v>258.68277822755357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183.15335999999996</v>
      </c>
      <c r="BF42" s="13">
        <f t="shared" si="37"/>
        <v>46.023039984246878</v>
      </c>
      <c r="BG42" s="20">
        <f t="shared" si="7"/>
        <v>399.14889663922986</v>
      </c>
      <c r="BH42" s="59">
        <f t="shared" si="8"/>
        <v>692.48222997256312</v>
      </c>
      <c r="BI42" s="59">
        <f ca="1">AVERAGE(OFFSET($BH$3,0,0,'Données projet'!$E$11+1,1))-AVERAGE(OFFSET($H$3,0,0,'Données projet'!$E$11+1,1))</f>
        <v>376.58419691967526</v>
      </c>
      <c r="BJ42" s="59">
        <f t="shared" si="38"/>
        <v>365.76175372075869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17.929555254854154</v>
      </c>
      <c r="BQ42" s="21">
        <f>EXP(-LN(2)/25)*BQ41+(1-EXP(-LN(2)/25))/(LN(2)/25)*Calculateur!BL42*Calculateur!BN42*VLOOKUP('Données projet'!$B$11,Paramètres!$A$1:$I$89,3,0)*0.475*44/12</f>
        <v>11.287173500247167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29.216728755101322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198.74087999999998</v>
      </c>
      <c r="CA42" s="13">
        <f t="shared" si="39"/>
        <v>49.467349630825638</v>
      </c>
      <c r="CB42" s="20">
        <f t="shared" si="10"/>
        <v>432.29599994035453</v>
      </c>
      <c r="CC42" s="59">
        <f t="shared" si="11"/>
        <v>725.62933327368785</v>
      </c>
      <c r="CD42" s="59">
        <f ca="1">AVERAGE(OFFSET($CC$3,0,0,'Données projet'!$E$12+1,1))-AVERAGE(OFFSET($H$3,0,0,'Données projet'!$E$12+1,1))</f>
        <v>405.40026823646758</v>
      </c>
      <c r="CE42" s="59">
        <f t="shared" si="40"/>
        <v>393.0787141050053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23.980003886131026</v>
      </c>
      <c r="CL42" s="21">
        <f>EXP(-LN(2)/25)*CL41+(1-EXP(-LN(2)/25))/(LN(2)/25)*Calculateur!CG42*Calculateur!CI42*VLOOKUP('Données projet'!$B$12,Paramètres!$A$1:$I$89,3,0)*0.475*44/12</f>
        <v>15.096105873908012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39.076109760039039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9.8000000000000007</v>
      </c>
      <c r="CT42" s="12">
        <f>IF('Données projet'!$A$140&gt;35,CT41+CS42-DB41,IF(A42&lt;'Données projet'!$A$140,$CQ$205^A42,IF(A42='Données projet'!$A$140,'Données projet'!$B$140,CT41+CS42-DB41)))</f>
        <v>196.20000000000007</v>
      </c>
      <c r="CU42" s="17">
        <f>CT42*VLOOKUP('Données projet'!$B$13,Paramètres!$A$1:$I$89,3,0)*VLOOKUP('Données projet'!$B$13,Paramètres!$A$1:$I$89,5,0)</f>
        <v>171.40032000000011</v>
      </c>
      <c r="CV42" s="13">
        <f t="shared" si="41"/>
        <v>43.40349878862115</v>
      </c>
      <c r="CW42" s="20">
        <f t="shared" si="13"/>
        <v>374.11665105684864</v>
      </c>
      <c r="CX42" s="59">
        <f t="shared" si="14"/>
        <v>667.44998439018195</v>
      </c>
      <c r="CY42" s="59">
        <f ca="1">AVERAGE(OFFSET($CX$3,0,0,'Données projet'!$E$13+1,1))-AVERAGE(OFFSET($H$3,0,0,'Données projet'!$E$13+1,1))</f>
        <v>381.72225529388083</v>
      </c>
      <c r="CZ42" s="59">
        <f t="shared" si="42"/>
        <v>360.05900046417361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11.079992559334718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11.079992559334718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9.3141025641025621</v>
      </c>
      <c r="DO42" s="12">
        <f>IF('Données projet'!$A$166&gt;35,DO41+DN42-DW41,IF(A42&lt;'Données projet'!$A$166,$DL$205^A42,IF(A42='Données projet'!$A$166,'Données projet'!$B$166,DO41+DN42-DW41)))</f>
        <v>138.82051282051285</v>
      </c>
      <c r="DP42" s="17">
        <f>DO42*VLOOKUP('Données projet'!$B$14,Paramètres!$A$1:$I$89,3,0)*VLOOKUP('Données projet'!$B$14,Paramètres!$A$1:$I$89,5,0)</f>
        <v>134.26720000000003</v>
      </c>
      <c r="DQ42" s="13">
        <f t="shared" si="43"/>
        <v>34.980522888051922</v>
      </c>
      <c r="DR42" s="20">
        <f t="shared" si="16"/>
        <v>294.77311736335713</v>
      </c>
      <c r="DS42" s="59">
        <f t="shared" si="17"/>
        <v>588.10645069669044</v>
      </c>
      <c r="DT42" s="59">
        <f ca="1">AVERAGE(OFFSET($DS$3,0,0,'Données projet'!$E$14+1,1))-AVERAGE(OFFSET($H$3,0,0,'Données projet'!$E$14+1,1))</f>
        <v>407.73540492005355</v>
      </c>
      <c r="DU42" s="59">
        <f t="shared" si="44"/>
        <v>296.29416764204774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11.142857142857142</v>
      </c>
      <c r="EJ42" s="12">
        <f>IF('Données projet'!$A$192&gt;35,EJ41+EI42-ER41,IF(A42&lt;'Données projet'!$A$192,$EG$205^A42,IF(A42='Données projet'!$A$192,'Données projet'!$B$192,EJ41+EI42-ER41)))</f>
        <v>174.28571428571428</v>
      </c>
      <c r="EK42" s="17">
        <f>EJ42*VLOOKUP('Données projet'!$B$15,Paramètres!$A$1:$I$89,3,0)*VLOOKUP('Données projet'!$B$15,Paramètres!$A$1:$I$89,5,0)</f>
        <v>135.94285714285715</v>
      </c>
      <c r="EL42" s="13">
        <f t="shared" si="45"/>
        <v>35.365986273808367</v>
      </c>
      <c r="EM42" s="20">
        <f t="shared" si="19"/>
        <v>298.36290228402578</v>
      </c>
      <c r="EN42" s="59">
        <f t="shared" si="20"/>
        <v>591.69623561735909</v>
      </c>
      <c r="EO42" s="59">
        <f ca="1">AVERAGE(OFFSET($EN$3,0,0,'Données projet'!$E$15+1,1))-AVERAGE(OFFSET($H$3,0,0,'Données projet'!$E$15+1,1))</f>
        <v>288.80569134263209</v>
      </c>
      <c r="EP42" s="59">
        <f t="shared" si="46"/>
        <v>283.48738729114024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7.1715721742849139</v>
      </c>
      <c r="EW42" s="21">
        <f>EXP(-LN(2)/25)*EW41+(1-EXP(-LN(2)/25))/(LN(2)/25)*Calculateur!ER42*Calculateur!ET42*VLOOKUP('Données projet'!$B$15,Paramètres!$A$1:$I$89,3,0)*0.475*44/12</f>
        <v>15.280954238913072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22.452526413197987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384.05928630855732</v>
      </c>
      <c r="T43" s="59">
        <f t="shared" si="34"/>
        <v>279.93992813630513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9.78571428571429</v>
      </c>
      <c r="AI43" s="13">
        <f>IF('Données projet'!$A$62&gt;35,AI42+AH43-AQ42,IF(A43&lt;'Données projet'!$A$62,$AF$205^A43,IF(A43='Données projet'!$A$62,'Données projet'!$B$62,AI42+AH43-AQ42)))</f>
        <v>120.46611721611723</v>
      </c>
      <c r="AJ43" s="13">
        <f>AI43*VLOOKUP('Données projet'!$B$10,Paramètres!$A$1:$I$89,3,0)*VLOOKUP('Données projet'!$B$10,Paramètres!$A$1:$I$89,5,0)</f>
        <v>101.48065714285717</v>
      </c>
      <c r="AK43" s="13">
        <f t="shared" si="35"/>
        <v>27.3144413804566</v>
      </c>
      <c r="AL43" s="20">
        <f t="shared" si="4"/>
        <v>224.31812992810478</v>
      </c>
      <c r="AM43" s="59">
        <f t="shared" si="5"/>
        <v>517.65146326143804</v>
      </c>
      <c r="AN43" s="59">
        <f ca="1">AVERAGE(OFFSET($AM$3,0,0,'Données projet'!$E$10+1,1))-AVERAGE(OFFSET($H$3,0,0,'Données projet'!$E$10+1,1))</f>
        <v>312.48716825299158</v>
      </c>
      <c r="AO43" s="59">
        <f t="shared" si="36"/>
        <v>258.68277822755357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192.83159999999995</v>
      </c>
      <c r="BF43" s="13">
        <f t="shared" si="37"/>
        <v>48.165439402688818</v>
      </c>
      <c r="BG43" s="20">
        <f t="shared" si="7"/>
        <v>419.73651029301618</v>
      </c>
      <c r="BH43" s="59">
        <f t="shared" si="8"/>
        <v>713.06984362634944</v>
      </c>
      <c r="BI43" s="59">
        <f ca="1">AVERAGE(OFFSET($BH$3,0,0,'Données projet'!$E$11+1,1))-AVERAGE(OFFSET($H$3,0,0,'Données projet'!$E$11+1,1))</f>
        <v>376.58419691967526</v>
      </c>
      <c r="BJ43" s="59">
        <f t="shared" si="38"/>
        <v>365.76175372075869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0.36549999999999999</v>
      </c>
      <c r="BN43" s="16">
        <f>IF(ISNA(VLOOKUP(A43,'Données projet'!$A$87:$I$107,6,0)),0%,VLOOKUP(A43,'Données projet'!$A$87:$I$107,6,0)*VLOOKUP('Données projet'!$B$11,Paramètres!$A$1:$I$89,7,0))</f>
        <v>4.3000000000000003E-2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29.42792911109477</v>
      </c>
      <c r="BQ43" s="21">
        <f>EXP(-LN(2)/25)*BQ42+(1-EXP(-LN(2)/25))/(LN(2)/25)*Calculateur!BL43*Calculateur!BN43*VLOOKUP('Données projet'!$B$11,Paramètres!$A$1:$I$89,3,0)*0.475*44/12</f>
        <v>12.367149110284391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41.795078221379157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209.24279999999996</v>
      </c>
      <c r="CA43" s="13">
        <f t="shared" si="39"/>
        <v>51.770083677016814</v>
      </c>
      <c r="CB43" s="20">
        <f t="shared" si="10"/>
        <v>454.59743907080411</v>
      </c>
      <c r="CC43" s="59">
        <f t="shared" si="11"/>
        <v>747.93077240413743</v>
      </c>
      <c r="CD43" s="59">
        <f ca="1">AVERAGE(OFFSET($CC$3,0,0,'Données projet'!$E$12+1,1))-AVERAGE(OFFSET($H$3,0,0,'Données projet'!$E$12+1,1))</f>
        <v>405.40026823646758</v>
      </c>
      <c r="CE43" s="59">
        <f t="shared" si="40"/>
        <v>393.0787141050053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0.45050000000000001</v>
      </c>
      <c r="CI43" s="16">
        <f>IF(ISNA(VLOOKUP(A43,'Données projet'!$A$113:$I$133,6,0)),0%,VLOOKUP(A43,'Données projet'!$A$113:$I$133,6,0)*VLOOKUP('Données projet'!$B$12,Paramètres!$A$1:$I$89,7,0))</f>
        <v>5.3000000000000005E-2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39.358581092176735</v>
      </c>
      <c r="CL43" s="21">
        <f>EXP(-LN(2)/25)*CL42+(1-EXP(-LN(2)/25))/(LN(2)/25)*Calculateur!CG43*Calculateur!CI43*VLOOKUP('Données projet'!$B$12,Paramètres!$A$1:$I$89,3,0)*0.475*44/12</f>
        <v>16.540526494358588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55.899107586535322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206</v>
      </c>
      <c r="CR43" s="12">
        <f>VLOOKUP(A43,'Données projet'!$A$139:$I$159,9,0)</f>
        <v>9.8000000000000007</v>
      </c>
      <c r="CS43" s="12">
        <f t="array" ref="CS43">INDEX(CR:CR,MIN(IF(ISNUMBER(CR43:CR239),ROW(CR43:CR239),"")))</f>
        <v>9.8000000000000007</v>
      </c>
      <c r="CT43" s="12">
        <f>IF('Données projet'!$A$140&gt;35,CT42+CS43-DB42,IF(A43&lt;'Données projet'!$A$140,$CQ$205^A43,IF(A43='Données projet'!$A$140,'Données projet'!$B$140,CT42+CS43-DB42)))</f>
        <v>206.00000000000009</v>
      </c>
      <c r="CU43" s="17">
        <f>CT43*VLOOKUP('Données projet'!$B$13,Paramètres!$A$1:$I$89,3,0)*VLOOKUP('Données projet'!$B$13,Paramètres!$A$1:$I$89,5,0)</f>
        <v>179.96160000000009</v>
      </c>
      <c r="CV43" s="13">
        <f t="shared" si="41"/>
        <v>45.313642767960104</v>
      </c>
      <c r="CW43" s="20">
        <f t="shared" si="13"/>
        <v>392.35438115419737</v>
      </c>
      <c r="CX43" s="59">
        <f t="shared" si="14"/>
        <v>685.68771448753068</v>
      </c>
      <c r="CY43" s="59">
        <f ca="1">AVERAGE(OFFSET($CX$3,0,0,'Données projet'!$E$13+1,1))-AVERAGE(OFFSET($H$3,0,0,'Données projet'!$E$13+1,1))</f>
        <v>381.72225529388083</v>
      </c>
      <c r="CZ43" s="59">
        <f t="shared" si="42"/>
        <v>360.05900046417361</v>
      </c>
      <c r="DA43" s="15">
        <f>IF(ISNA(VLOOKUP(A43,'Données projet'!$A$139:$I$159,3,0)),0,VLOOKUP(A43,'Données projet'!$A$139:$I$159,3,0))</f>
        <v>5</v>
      </c>
      <c r="DB43" s="15" t="str">
        <f>IF(ISNA(VLOOKUP(A43,'Données projet'!$A$139:$I$159,4,0)),0,VLOOKUP(A43,'Données projet'!$A$139:$I$159,4,0))</f>
        <v>31</v>
      </c>
      <c r="DC43" s="16">
        <f>IF(ISNA(VLOOKUP(A43,'Données projet'!$A$139:$I$159,5,0)),0%,VLOOKUP(A43,'Données projet'!$A$139:$I$159,5,0)*VLOOKUP('Données projet'!$B$13,Paramètres!$A$1:$I$89,7,0))</f>
        <v>0.17200000000000001</v>
      </c>
      <c r="DD43" s="16">
        <f>IF(ISNA(VLOOKUP(A43,'Données projet'!$A$139:$I$159,6,0)),0%,VLOOKUP(A43,'Données projet'!$A$139:$I$159,6,0)*VLOOKUP('Données projet'!$B$13,Paramètres!$A$1:$I$89,7,0))</f>
        <v>0.17200000000000001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5.1493199404218428</v>
      </c>
      <c r="DG43" s="21">
        <f>EXP(-LN(2)/25)*DG42+(1-EXP(-LN(2)/25))/(LN(2)/25)*Calculateur!DB43*Calculateur!DD43*VLOOKUP('Données projet'!$B$13,Paramètres!$A$1:$I$89,3,0)*0.475*44/12</f>
        <v>15.906054685899907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21.05537462632175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9.3141025641025621</v>
      </c>
      <c r="DO43" s="12">
        <f>IF('Données projet'!$A$166&gt;35,DO42+DN43-DW42,IF(A43&lt;'Données projet'!$A$166,$DL$205^A43,IF(A43='Données projet'!$A$166,'Données projet'!$B$166,DO42+DN43-DW42)))</f>
        <v>148.13461538461542</v>
      </c>
      <c r="DP43" s="17">
        <f>DO43*VLOOKUP('Données projet'!$B$14,Paramètres!$A$1:$I$89,3,0)*VLOOKUP('Données projet'!$B$14,Paramètres!$A$1:$I$89,5,0)</f>
        <v>143.27580000000003</v>
      </c>
      <c r="DQ43" s="13">
        <f t="shared" si="43"/>
        <v>37.046432118080858</v>
      </c>
      <c r="DR43" s="20">
        <f t="shared" si="16"/>
        <v>314.06122093899086</v>
      </c>
      <c r="DS43" s="59">
        <f t="shared" si="17"/>
        <v>607.39455427232417</v>
      </c>
      <c r="DT43" s="59">
        <f ca="1">AVERAGE(OFFSET($DS$3,0,0,'Données projet'!$E$14+1,1))-AVERAGE(OFFSET($H$3,0,0,'Données projet'!$E$14+1,1))</f>
        <v>407.73540492005355</v>
      </c>
      <c r="DU43" s="59">
        <f t="shared" si="44"/>
        <v>296.29416764204774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11.142857142857142</v>
      </c>
      <c r="EJ43" s="12">
        <f>IF('Données projet'!$A$192&gt;35,EJ42+EI43-ER42,IF(A43&lt;'Données projet'!$A$192,$EG$205^A43,IF(A43='Données projet'!$A$192,'Données projet'!$B$192,EJ42+EI43-ER42)))</f>
        <v>185.42857142857142</v>
      </c>
      <c r="EK43" s="17">
        <f>EJ43*VLOOKUP('Données projet'!$B$15,Paramètres!$A$1:$I$89,3,0)*VLOOKUP('Données projet'!$B$15,Paramètres!$A$1:$I$89,5,0)</f>
        <v>144.63428571428571</v>
      </c>
      <c r="EL43" s="13">
        <f t="shared" si="45"/>
        <v>37.356634728420524</v>
      </c>
      <c r="EM43" s="20">
        <f t="shared" si="19"/>
        <v>316.96751977104668</v>
      </c>
      <c r="EN43" s="59">
        <f t="shared" si="20"/>
        <v>610.30085310437994</v>
      </c>
      <c r="EO43" s="59">
        <f ca="1">AVERAGE(OFFSET($EN$3,0,0,'Données projet'!$E$15+1,1))-AVERAGE(OFFSET($H$3,0,0,'Données projet'!$E$15+1,1))</f>
        <v>288.80569134263209</v>
      </c>
      <c r="EP43" s="59">
        <f t="shared" si="46"/>
        <v>283.48738729114024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7.0309420181742937</v>
      </c>
      <c r="EW43" s="21">
        <f>EXP(-LN(2)/25)*EW42+(1-EXP(-LN(2)/25))/(LN(2)/25)*Calculateur!ER43*Calculateur!ET43*VLOOKUP('Données projet'!$B$15,Paramètres!$A$1:$I$89,3,0)*0.475*44/12</f>
        <v>14.863095741659535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21.894037759833829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384.05928630855732</v>
      </c>
      <c r="T44" s="59">
        <f t="shared" si="34"/>
        <v>279.93992813630513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9.78571428571429</v>
      </c>
      <c r="AI44" s="13">
        <f>IF('Données projet'!$A$62&gt;35,AI43+AH44-AQ43,IF(A44&lt;'Données projet'!$A$62,$AF$205^A44,IF(A44='Données projet'!$A$62,'Données projet'!$B$62,AI43+AH44-AQ43)))</f>
        <v>130.2518315018315</v>
      </c>
      <c r="AJ44" s="13">
        <f>AI44*VLOOKUP('Données projet'!$B$10,Paramètres!$A$1:$I$89,3,0)*VLOOKUP('Données projet'!$B$10,Paramètres!$A$1:$I$89,5,0)</f>
        <v>109.72414285714287</v>
      </c>
      <c r="AK44" s="13">
        <f t="shared" si="35"/>
        <v>29.265980983115128</v>
      </c>
      <c r="AL44" s="20">
        <f t="shared" si="4"/>
        <v>242.07446568844929</v>
      </c>
      <c r="AM44" s="59">
        <f t="shared" si="5"/>
        <v>535.40779902178258</v>
      </c>
      <c r="AN44" s="59">
        <f ca="1">AVERAGE(OFFSET($AM$3,0,0,'Données projet'!$E$10+1,1))-AVERAGE(OFFSET($H$3,0,0,'Données projet'!$E$10+1,1))</f>
        <v>312.48716825299158</v>
      </c>
      <c r="AO44" s="59">
        <f t="shared" si="36"/>
        <v>258.68277822755357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171.86207999999993</v>
      </c>
      <c r="BF44" s="13">
        <f t="shared" si="37"/>
        <v>43.506802778694762</v>
      </c>
      <c r="BG44" s="20">
        <f t="shared" si="7"/>
        <v>375.10080417289322</v>
      </c>
      <c r="BH44" s="59">
        <f t="shared" si="8"/>
        <v>668.43413750622653</v>
      </c>
      <c r="BI44" s="59">
        <f ca="1">AVERAGE(OFFSET($BH$3,0,0,'Données projet'!$E$11+1,1))-AVERAGE(OFFSET($H$3,0,0,'Données projet'!$E$11+1,1))</f>
        <v>376.58419691967526</v>
      </c>
      <c r="BJ44" s="59">
        <f t="shared" si="38"/>
        <v>365.76175372075869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28.850865370490617</v>
      </c>
      <c r="BQ44" s="21">
        <f>EXP(-LN(2)/25)*BQ43+(1-EXP(-LN(2)/25))/(LN(2)/25)*Calculateur!BL44*Calculateur!BN44*VLOOKUP('Données projet'!$B$11,Paramètres!$A$1:$I$89,3,0)*0.475*44/12</f>
        <v>12.028968767503558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40.879834137994173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186.48863999999995</v>
      </c>
      <c r="CA44" s="13">
        <f t="shared" si="39"/>
        <v>46.762800221578807</v>
      </c>
      <c r="CB44" s="20">
        <f t="shared" si="10"/>
        <v>406.24625838591629</v>
      </c>
      <c r="CC44" s="59">
        <f t="shared" si="11"/>
        <v>699.57959171924961</v>
      </c>
      <c r="CD44" s="59">
        <f ca="1">AVERAGE(OFFSET($CC$3,0,0,'Données projet'!$E$12+1,1))-AVERAGE(OFFSET($H$3,0,0,'Données projet'!$E$12+1,1))</f>
        <v>405.40026823646758</v>
      </c>
      <c r="CE44" s="59">
        <f t="shared" si="40"/>
        <v>393.0787141050053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38.586783323323182</v>
      </c>
      <c r="CL44" s="21">
        <f>EXP(-LN(2)/25)*CL43+(1-EXP(-LN(2)/25))/(LN(2)/25)*Calculateur!CG44*Calculateur!CI44*VLOOKUP('Données projet'!$B$12,Paramètres!$A$1:$I$89,3,0)*0.475*44/12</f>
        <v>16.088224927541869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54.675008250865048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8.8000000000000007</v>
      </c>
      <c r="CT44" s="12">
        <f>IF('Données projet'!$A$140&gt;35,CT43+CS44-DB43,IF(A44&lt;'Données projet'!$A$140,$CQ$205^A44,IF(A44='Données projet'!$A$140,'Données projet'!$B$140,CT43+CS44-DB43)))</f>
        <v>183.8000000000001</v>
      </c>
      <c r="CU44" s="17">
        <f>CT44*VLOOKUP('Données projet'!$B$13,Paramètres!$A$1:$I$89,3,0)*VLOOKUP('Données projet'!$B$13,Paramètres!$A$1:$I$89,5,0)</f>
        <v>160.56768000000011</v>
      </c>
      <c r="CV44" s="13">
        <f t="shared" si="41"/>
        <v>40.970530810309917</v>
      </c>
      <c r="CW44" s="20">
        <f t="shared" si="13"/>
        <v>351.01238382795663</v>
      </c>
      <c r="CX44" s="59">
        <f t="shared" si="14"/>
        <v>644.34571716128994</v>
      </c>
      <c r="CY44" s="59">
        <f ca="1">AVERAGE(OFFSET($CX$3,0,0,'Données projet'!$E$13+1,1))-AVERAGE(OFFSET($H$3,0,0,'Données projet'!$E$13+1,1))</f>
        <v>381.72225529388083</v>
      </c>
      <c r="CZ44" s="59">
        <f t="shared" si="42"/>
        <v>360.05900046417361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5.0483449171652079</v>
      </c>
      <c r="DG44" s="21">
        <f>EXP(-LN(2)/25)*DG43+(1-EXP(-LN(2)/25))/(LN(2)/25)*Calculateur!DB44*Calculateur!DD44*VLOOKUP('Données projet'!$B$13,Paramètres!$A$1:$I$89,3,0)*0.475*44/12</f>
        <v>15.471102784050911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20.519447701216119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157.44871794871796</v>
      </c>
      <c r="DM44" s="12">
        <f>VLOOKUP(A44,'Données projet'!$A$165:$I$185,9,0)</f>
        <v>9.3141025641025621</v>
      </c>
      <c r="DN44" s="12">
        <f t="array" ref="DN44">INDEX(DM:DM,MIN(IF(ISNUMBER(DM44:DM240),ROW(DM44:DM240),"")))</f>
        <v>9.3141025641025621</v>
      </c>
      <c r="DO44" s="12">
        <f>IF('Données projet'!$A$166&gt;35,DO43+DN44-DW43,IF(A44&lt;'Données projet'!$A$166,$DL$205^A44,IF(A44='Données projet'!$A$166,'Données projet'!$B$166,DO43+DN44-DW43)))</f>
        <v>157.44871794871798</v>
      </c>
      <c r="DP44" s="17">
        <f>DO44*VLOOKUP('Données projet'!$B$14,Paramètres!$A$1:$I$89,3,0)*VLOOKUP('Données projet'!$B$14,Paramètres!$A$1:$I$89,5,0)</f>
        <v>152.28440000000003</v>
      </c>
      <c r="DQ44" s="13">
        <f t="shared" si="43"/>
        <v>39.097266168449572</v>
      </c>
      <c r="DR44" s="20">
        <f t="shared" si="16"/>
        <v>333.32306857671642</v>
      </c>
      <c r="DS44" s="59">
        <f t="shared" si="17"/>
        <v>626.65640191004968</v>
      </c>
      <c r="DT44" s="59">
        <f ca="1">AVERAGE(OFFSET($DS$3,0,0,'Données projet'!$E$14+1,1))-AVERAGE(OFFSET($H$3,0,0,'Données projet'!$E$14+1,1))</f>
        <v>407.73540492005355</v>
      </c>
      <c r="DU44" s="59">
        <f t="shared" si="44"/>
        <v>296.29416764204774</v>
      </c>
      <c r="DV44" s="15">
        <f>IF(ISNA(VLOOKUP(A44,'Données projet'!$A$165:$I$185,3,0)),0,VLOOKUP(A44,'Données projet'!$A$165:$I$185,3,0))</f>
        <v>2</v>
      </c>
      <c r="DW44" s="15">
        <f>IF(ISNA(VLOOKUP(A44,'Données projet'!$A$165:$I$185,4,0)),0,VLOOKUP(A44,'Données projet'!$A$165:$I$185,4,0))</f>
        <v>38.512820512820511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11.142857142857142</v>
      </c>
      <c r="EJ44" s="12">
        <f>IF('Données projet'!$A$192&gt;35,EJ43+EI44-ER43,IF(A44&lt;'Données projet'!$A$192,$EG$205^A44,IF(A44='Données projet'!$A$192,'Données projet'!$B$192,EJ43+EI44-ER43)))</f>
        <v>196.57142857142856</v>
      </c>
      <c r="EK44" s="17">
        <f>EJ44*VLOOKUP('Données projet'!$B$15,Paramètres!$A$1:$I$89,3,0)*VLOOKUP('Données projet'!$B$15,Paramètres!$A$1:$I$89,5,0)</f>
        <v>153.32571428571427</v>
      </c>
      <c r="EL44" s="13">
        <f t="shared" si="45"/>
        <v>39.33339883761419</v>
      </c>
      <c r="EM44" s="20">
        <f t="shared" si="19"/>
        <v>335.54795535646372</v>
      </c>
      <c r="EN44" s="59">
        <f t="shared" si="20"/>
        <v>628.88128868979697</v>
      </c>
      <c r="EO44" s="59">
        <f ca="1">AVERAGE(OFFSET($EN$3,0,0,'Données projet'!$E$15+1,1))-AVERAGE(OFFSET($H$3,0,0,'Données projet'!$E$15+1,1))</f>
        <v>288.80569134263209</v>
      </c>
      <c r="EP44" s="59">
        <f t="shared" si="46"/>
        <v>283.48738729114024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6.8930695336490775</v>
      </c>
      <c r="EW44" s="21">
        <f>EXP(-LN(2)/25)*EW43+(1-EXP(-LN(2)/25))/(LN(2)/25)*Calculateur!ER44*Calculateur!ET44*VLOOKUP('Données projet'!$B$15,Paramètres!$A$1:$I$89,3,0)*0.475*44/12</f>
        <v>14.45666360698762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21.349733140636697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549.05372686458304</v>
      </c>
      <c r="S45" s="59">
        <f ca="1">AVERAGE(OFFSET($R$3,0,0,'Données projet'!$E$9+1,1))-AVERAGE(OFFSET($H$3,0,0,'Données projet'!$E$9+1,1))</f>
        <v>384.05928630855732</v>
      </c>
      <c r="T45" s="59">
        <f t="shared" si="34"/>
        <v>279.93992813630513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9.78571428571429</v>
      </c>
      <c r="AI45" s="13">
        <f>IF('Données projet'!$A$62&gt;35,AI44+AH45-AQ44,IF(A45&lt;'Données projet'!$A$62,$AF$205^A45,IF(A45='Données projet'!$A$62,'Données projet'!$B$62,AI44+AH45-AQ44)))</f>
        <v>140.03754578754578</v>
      </c>
      <c r="AJ45" s="13">
        <f>AI45*VLOOKUP('Données projet'!$B$10,Paramètres!$A$1:$I$89,3,0)*VLOOKUP('Données projet'!$B$10,Paramètres!$A$1:$I$89,5,0)</f>
        <v>117.96762857142858</v>
      </c>
      <c r="AK45" s="13">
        <f t="shared" si="35"/>
        <v>31.200511823360365</v>
      </c>
      <c r="AL45" s="20">
        <f t="shared" si="4"/>
        <v>259.80117785425745</v>
      </c>
      <c r="AM45" s="59">
        <f t="shared" si="5"/>
        <v>553.13451118759076</v>
      </c>
      <c r="AN45" s="59">
        <f ca="1">AVERAGE(OFFSET($AM$3,0,0,'Données projet'!$E$10+1,1))-AVERAGE(OFFSET($H$3,0,0,'Données projet'!$E$10+1,1))</f>
        <v>312.48716825299158</v>
      </c>
      <c r="AO45" s="59">
        <f t="shared" si="36"/>
        <v>258.68277822755357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180.22055999999992</v>
      </c>
      <c r="BF45" s="13">
        <f t="shared" si="37"/>
        <v>45.371253205145926</v>
      </c>
      <c r="BG45" s="20">
        <f t="shared" si="7"/>
        <v>392.90574133229569</v>
      </c>
      <c r="BH45" s="59">
        <f t="shared" si="8"/>
        <v>686.239074665629</v>
      </c>
      <c r="BI45" s="59">
        <f ca="1">AVERAGE(OFFSET($BH$3,0,0,'Données projet'!$E$11+1,1))-AVERAGE(OFFSET($H$3,0,0,'Données projet'!$E$11+1,1))</f>
        <v>376.58419691967526</v>
      </c>
      <c r="BJ45" s="59">
        <f t="shared" si="38"/>
        <v>365.76175372075869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28.285117497865585</v>
      </c>
      <c r="BQ45" s="21">
        <f>EXP(-LN(2)/25)*BQ44+(1-EXP(-LN(2)/25))/(LN(2)/25)*Calculateur!BL45*Calculateur!BN45*VLOOKUP('Données projet'!$B$11,Paramètres!$A$1:$I$89,3,0)*0.475*44/12</f>
        <v>11.700035983980198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39.985153481845785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195.55847999999995</v>
      </c>
      <c r="CA45" s="13">
        <f t="shared" si="39"/>
        <v>48.766783903364477</v>
      </c>
      <c r="CB45" s="20">
        <f t="shared" si="10"/>
        <v>425.53316796502639</v>
      </c>
      <c r="CC45" s="59">
        <f t="shared" si="11"/>
        <v>718.86650129835971</v>
      </c>
      <c r="CD45" s="59">
        <f ca="1">AVERAGE(OFFSET($CC$3,0,0,'Données projet'!$E$12+1,1))-AVERAGE(OFFSET($H$3,0,0,'Données projet'!$E$12+1,1))</f>
        <v>405.40026823646758</v>
      </c>
      <c r="CE45" s="59">
        <f t="shared" si="40"/>
        <v>393.0787141050053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37.830120037966694</v>
      </c>
      <c r="CL45" s="21">
        <f>EXP(-LN(2)/25)*CL44+(1-EXP(-LN(2)/25))/(LN(2)/25)*Calculateur!CG45*Calculateur!CI45*VLOOKUP('Données projet'!$B$12,Paramètres!$A$1:$I$89,3,0)*0.475*44/12</f>
        <v>15.648291570855259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53.478411608821951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8.8000000000000007</v>
      </c>
      <c r="CT45" s="12">
        <f>IF('Données projet'!$A$140&gt;35,CT44+CS45-DB44,IF(A45&lt;'Données projet'!$A$140,$CQ$205^A45,IF(A45='Données projet'!$A$140,'Données projet'!$B$140,CT44+CS45-DB44)))</f>
        <v>192.60000000000011</v>
      </c>
      <c r="CU45" s="17">
        <f>CT45*VLOOKUP('Données projet'!$B$13,Paramètres!$A$1:$I$89,3,0)*VLOOKUP('Données projet'!$B$13,Paramètres!$A$1:$I$89,5,0)</f>
        <v>168.25536000000011</v>
      </c>
      <c r="CV45" s="13">
        <f t="shared" si="41"/>
        <v>42.699047982710923</v>
      </c>
      <c r="CW45" s="20">
        <f t="shared" si="13"/>
        <v>367.41226056988836</v>
      </c>
      <c r="CX45" s="59">
        <f t="shared" si="14"/>
        <v>660.74559390322167</v>
      </c>
      <c r="CY45" s="59">
        <f ca="1">AVERAGE(OFFSET($CX$3,0,0,'Données projet'!$E$13+1,1))-AVERAGE(OFFSET($H$3,0,0,'Données projet'!$E$13+1,1))</f>
        <v>381.72225529388083</v>
      </c>
      <c r="CZ45" s="59">
        <f t="shared" si="42"/>
        <v>360.05900046417361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4.949349952525953</v>
      </c>
      <c r="DG45" s="21">
        <f>EXP(-LN(2)/25)*DG44+(1-EXP(-LN(2)/25))/(LN(2)/25)*Calculateur!DB45*Calculateur!DD45*VLOOKUP('Données projet'!$B$13,Paramètres!$A$1:$I$89,3,0)*0.475*44/12</f>
        <v>15.048044664831103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19.997394617357056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9.3452380952380913</v>
      </c>
      <c r="DO45" s="12">
        <f>IF('Données projet'!$A$166&gt;35,DO44+DN45-DW44,IF(A45&lt;'Données projet'!$A$166,$DL$205^A45,IF(A45='Données projet'!$A$166,'Données projet'!$B$166,DO44+DN45-DW44)))</f>
        <v>128.28113553113559</v>
      </c>
      <c r="DP45" s="17">
        <f>DO45*VLOOKUP('Données projet'!$B$14,Paramètres!$A$1:$I$89,3,0)*VLOOKUP('Données projet'!$B$14,Paramètres!$A$1:$I$89,5,0)</f>
        <v>124.07351428571435</v>
      </c>
      <c r="DQ45" s="13">
        <f t="shared" si="43"/>
        <v>32.623225870556688</v>
      </c>
      <c r="DR45" s="20">
        <f t="shared" si="16"/>
        <v>272.91348910550539</v>
      </c>
      <c r="DS45" s="59">
        <f t="shared" si="17"/>
        <v>566.24682243883876</v>
      </c>
      <c r="DT45" s="59">
        <f ca="1">AVERAGE(OFFSET($DS$3,0,0,'Données projet'!$E$14+1,1))-AVERAGE(OFFSET($H$3,0,0,'Données projet'!$E$14+1,1))</f>
        <v>407.73540492005355</v>
      </c>
      <c r="DU45" s="59">
        <f t="shared" si="44"/>
        <v>296.29416764204774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11.142857142857142</v>
      </c>
      <c r="EJ45" s="12">
        <f>IF('Données projet'!$A$192&gt;35,EJ44+EI45-ER44,IF(A45&lt;'Données projet'!$A$192,$EG$205^A45,IF(A45='Données projet'!$A$192,'Données projet'!$B$192,EJ44+EI45-ER44)))</f>
        <v>207.71428571428569</v>
      </c>
      <c r="EK45" s="17">
        <f>EJ45*VLOOKUP('Données projet'!$B$15,Paramètres!$A$1:$I$89,3,0)*VLOOKUP('Données projet'!$B$15,Paramètres!$A$1:$I$89,5,0)</f>
        <v>162.01714285714286</v>
      </c>
      <c r="EL45" s="13">
        <f t="shared" si="45"/>
        <v>41.297155335096676</v>
      </c>
      <c r="EM45" s="20">
        <f t="shared" si="19"/>
        <v>354.10573601815054</v>
      </c>
      <c r="EN45" s="59">
        <f t="shared" si="20"/>
        <v>647.43906935148379</v>
      </c>
      <c r="EO45" s="59">
        <f ca="1">AVERAGE(OFFSET($EN$3,0,0,'Données projet'!$E$15+1,1))-AVERAGE(OFFSET($H$3,0,0,'Données projet'!$E$15+1,1))</f>
        <v>288.80569134263209</v>
      </c>
      <c r="EP45" s="59">
        <f t="shared" si="46"/>
        <v>283.48738729114024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6.7579006444514889</v>
      </c>
      <c r="EW45" s="21">
        <f>EXP(-LN(2)/25)*EW44+(1-EXP(-LN(2)/25))/(LN(2)/25)*Calculateur!ER45*Calculateur!ET45*VLOOKUP('Données projet'!$B$15,Paramètres!$A$1:$I$89,3,0)*0.475*44/12</f>
        <v>14.061345380411646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20.819246024863133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384.05928630855732</v>
      </c>
      <c r="T46" s="59">
        <f t="shared" si="34"/>
        <v>279.93992813630513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9.78571428571429</v>
      </c>
      <c r="AI46" s="13">
        <f>IF('Données projet'!$A$62&gt;35,AI45+AH46-AQ45,IF(A46&lt;'Données projet'!$A$62,$AF$205^A46,IF(A46='Données projet'!$A$62,'Données projet'!$B$62,AI45+AH46-AQ45)))</f>
        <v>149.82326007326006</v>
      </c>
      <c r="AJ46" s="13">
        <f>AI46*VLOOKUP('Données projet'!$B$10,Paramètres!$A$1:$I$89,3,0)*VLOOKUP('Données projet'!$B$10,Paramètres!$A$1:$I$89,5,0)</f>
        <v>126.21111428571429</v>
      </c>
      <c r="AK46" s="13">
        <f t="shared" si="35"/>
        <v>33.119357656576909</v>
      </c>
      <c r="AL46" s="20">
        <f t="shared" si="4"/>
        <v>277.50057196615711</v>
      </c>
      <c r="AM46" s="59">
        <f t="shared" si="5"/>
        <v>570.83390529949043</v>
      </c>
      <c r="AN46" s="59">
        <f ca="1">AVERAGE(OFFSET($AM$3,0,0,'Données projet'!$E$10+1,1))-AVERAGE(OFFSET($H$3,0,0,'Données projet'!$E$10+1,1))</f>
        <v>312.48716825299158</v>
      </c>
      <c r="AO46" s="59">
        <f t="shared" si="36"/>
        <v>258.68277822755357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188.57903999999994</v>
      </c>
      <c r="BF46" s="13">
        <f t="shared" si="37"/>
        <v>47.22566164876563</v>
      </c>
      <c r="BG46" s="20">
        <f t="shared" si="7"/>
        <v>410.69318870493333</v>
      </c>
      <c r="BH46" s="59">
        <f t="shared" si="8"/>
        <v>704.02652203826665</v>
      </c>
      <c r="BI46" s="59">
        <f ca="1">AVERAGE(OFFSET($BH$3,0,0,'Données projet'!$E$11+1,1))-AVERAGE(OFFSET($H$3,0,0,'Données projet'!$E$11+1,1))</f>
        <v>376.58419691967526</v>
      </c>
      <c r="BJ46" s="59">
        <f t="shared" si="38"/>
        <v>365.76175372075869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27.730463595950599</v>
      </c>
      <c r="BQ46" s="21">
        <f>EXP(-LN(2)/25)*BQ45+(1-EXP(-LN(2)/25))/(LN(2)/25)*Calculateur!BL46*Calculateur!BN46*VLOOKUP('Données projet'!$B$11,Paramètres!$A$1:$I$89,3,0)*0.475*44/12</f>
        <v>11.380097884720108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39.110561480670711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204.62831999999995</v>
      </c>
      <c r="CA46" s="13">
        <f t="shared" si="39"/>
        <v>50.759974072251445</v>
      </c>
      <c r="CB46" s="20">
        <f t="shared" si="10"/>
        <v>444.80127884250447</v>
      </c>
      <c r="CC46" s="59">
        <f t="shared" si="11"/>
        <v>738.13461217583779</v>
      </c>
      <c r="CD46" s="59">
        <f ca="1">AVERAGE(OFFSET($CC$3,0,0,'Données projet'!$E$12+1,1))-AVERAGE(OFFSET($H$3,0,0,'Données projet'!$E$12+1,1))</f>
        <v>405.40026823646758</v>
      </c>
      <c r="CE46" s="59">
        <f t="shared" si="40"/>
        <v>393.0787141050053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37.088294458117012</v>
      </c>
      <c r="CL46" s="21">
        <f>EXP(-LN(2)/25)*CL45+(1-EXP(-LN(2)/25))/(LN(2)/25)*Calculateur!CG46*Calculateur!CI46*VLOOKUP('Données projet'!$B$12,Paramètres!$A$1:$I$89,3,0)*0.475*44/12</f>
        <v>15.220388214942332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52.308682673059344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8.8000000000000007</v>
      </c>
      <c r="CT46" s="12">
        <f>IF('Données projet'!$A$140&gt;35,CT45+CS46-DB45,IF(A46&lt;'Données projet'!$A$140,$CQ$205^A46,IF(A46='Données projet'!$A$140,'Données projet'!$B$140,CT45+CS46-DB45)))</f>
        <v>201.40000000000012</v>
      </c>
      <c r="CU46" s="17">
        <f>CT46*VLOOKUP('Données projet'!$B$13,Paramètres!$A$1:$I$89,3,0)*VLOOKUP('Données projet'!$B$13,Paramètres!$A$1:$I$89,5,0)</f>
        <v>175.94304000000014</v>
      </c>
      <c r="CV46" s="13">
        <f t="shared" si="41"/>
        <v>44.418393276556458</v>
      </c>
      <c r="CW46" s="20">
        <f t="shared" si="13"/>
        <v>383.79616295666938</v>
      </c>
      <c r="CX46" s="59">
        <f t="shared" si="14"/>
        <v>677.12949629000263</v>
      </c>
      <c r="CY46" s="59">
        <f ca="1">AVERAGE(OFFSET($CX$3,0,0,'Données projet'!$E$13+1,1))-AVERAGE(OFFSET($H$3,0,0,'Données projet'!$E$13+1,1))</f>
        <v>381.72225529388083</v>
      </c>
      <c r="CZ46" s="59">
        <f t="shared" si="42"/>
        <v>360.05900046417361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4.8522962187623078</v>
      </c>
      <c r="DG46" s="21">
        <f>EXP(-LN(2)/25)*DG45+(1-EXP(-LN(2)/25))/(LN(2)/25)*Calculateur!DB46*Calculateur!DD46*VLOOKUP('Données projet'!$B$13,Paramètres!$A$1:$I$89,3,0)*0.475*44/12</f>
        <v>14.63655509212902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19.488851310891327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9.3452380952380913</v>
      </c>
      <c r="DO46" s="12">
        <f>IF('Données projet'!$A$166&gt;35,DO45+DN46-DW45,IF(A46&lt;'Données projet'!$A$166,$DL$205^A46,IF(A46='Données projet'!$A$166,'Données projet'!$B$166,DO45+DN46-DW45)))</f>
        <v>137.62637362637369</v>
      </c>
      <c r="DP46" s="17">
        <f>DO46*VLOOKUP('Données projet'!$B$14,Paramètres!$A$1:$I$89,3,0)*VLOOKUP('Données projet'!$B$14,Paramètres!$A$1:$I$89,5,0)</f>
        <v>133.11222857142863</v>
      </c>
      <c r="DQ46" s="13">
        <f t="shared" si="43"/>
        <v>34.714510794091808</v>
      </c>
      <c r="DR46" s="20">
        <f t="shared" si="16"/>
        <v>292.29823772828144</v>
      </c>
      <c r="DS46" s="59">
        <f t="shared" si="17"/>
        <v>585.63157106161475</v>
      </c>
      <c r="DT46" s="59">
        <f ca="1">AVERAGE(OFFSET($DS$3,0,0,'Données projet'!$E$14+1,1))-AVERAGE(OFFSET($H$3,0,0,'Données projet'!$E$14+1,1))</f>
        <v>407.73540492005355</v>
      </c>
      <c r="DU46" s="59">
        <f t="shared" si="44"/>
        <v>296.29416764204774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11.142857142857142</v>
      </c>
      <c r="EJ46" s="12">
        <f>IF('Données projet'!$A$192&gt;35,EJ45+EI46-ER45,IF(A46&lt;'Données projet'!$A$192,$EG$205^A46,IF(A46='Données projet'!$A$192,'Données projet'!$B$192,EJ45+EI46-ER45)))</f>
        <v>218.85714285714283</v>
      </c>
      <c r="EK46" s="17">
        <f>EJ46*VLOOKUP('Données projet'!$B$15,Paramètres!$A$1:$I$89,3,0)*VLOOKUP('Données projet'!$B$15,Paramètres!$A$1:$I$89,5,0)</f>
        <v>170.70857142857142</v>
      </c>
      <c r="EL46" s="13">
        <f t="shared" si="45"/>
        <v>43.248681576985412</v>
      </c>
      <c r="EM46" s="20">
        <f t="shared" si="19"/>
        <v>372.64221565134477</v>
      </c>
      <c r="EN46" s="59">
        <f t="shared" si="20"/>
        <v>665.97554898467808</v>
      </c>
      <c r="EO46" s="59">
        <f ca="1">AVERAGE(OFFSET($EN$3,0,0,'Données projet'!$E$15+1,1))-AVERAGE(OFFSET($H$3,0,0,'Données projet'!$E$15+1,1))</f>
        <v>288.80569134263209</v>
      </c>
      <c r="EP46" s="59">
        <f t="shared" si="46"/>
        <v>283.48738729114024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6.6253823347261829</v>
      </c>
      <c r="EW46" s="21">
        <f>EXP(-LN(2)/25)*EW45+(1-EXP(-LN(2)/25))/(LN(2)/25)*Calculateur!ER46*Calculateur!ET46*VLOOKUP('Données projet'!$B$15,Paramètres!$A$1:$I$89,3,0)*0.475*44/12</f>
        <v>13.676837151530274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20.302219486256455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585.34801742133584</v>
      </c>
      <c r="S47" s="59">
        <f ca="1">AVERAGE(OFFSET($R$3,0,0,'Données projet'!$E$9+1,1))-AVERAGE(OFFSET($H$3,0,0,'Données projet'!$E$9+1,1))</f>
        <v>384.05928630855732</v>
      </c>
      <c r="T47" s="59">
        <f t="shared" si="34"/>
        <v>279.93992813630513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159.60897435897436</v>
      </c>
      <c r="AG47" s="12">
        <f>VLOOKUP(A47,'Données projet'!$A$61:$I$81,9,0)</f>
        <v>9.78571428571429</v>
      </c>
      <c r="AH47" s="12">
        <f t="array" ref="AH47">INDEX(AG:AG,MIN(IF(ISNUMBER(AG47:AG243),ROW(AG47:AG243),"")))</f>
        <v>9.78571428571429</v>
      </c>
      <c r="AI47" s="13">
        <f>IF('Données projet'!$A$62&gt;35,AI46+AH47-AQ46,IF(A47&lt;'Données projet'!$A$62,$AF$205^A47,IF(A47='Données projet'!$A$62,'Données projet'!$B$62,AI46+AH47-AQ46)))</f>
        <v>159.60897435897434</v>
      </c>
      <c r="AJ47" s="13">
        <f>AI47*VLOOKUP('Données projet'!$B$10,Paramètres!$A$1:$I$89,3,0)*VLOOKUP('Données projet'!$B$10,Paramètres!$A$1:$I$89,5,0)</f>
        <v>134.4546</v>
      </c>
      <c r="AK47" s="13">
        <f t="shared" si="35"/>
        <v>35.02365953630899</v>
      </c>
      <c r="AL47" s="20">
        <f t="shared" si="4"/>
        <v>295.17463535907149</v>
      </c>
      <c r="AM47" s="59">
        <f t="shared" si="5"/>
        <v>588.5079686924048</v>
      </c>
      <c r="AN47" s="59">
        <f ca="1">AVERAGE(OFFSET($AM$3,0,0,'Données projet'!$E$10+1,1))-AVERAGE(OFFSET($H$3,0,0,'Données projet'!$E$10+1,1))</f>
        <v>312.48716825299158</v>
      </c>
      <c r="AO47" s="59">
        <f t="shared" si="36"/>
        <v>258.68277822755357</v>
      </c>
      <c r="AP47" s="15">
        <f>IF(ISNA(VLOOKUP(A47,'Données projet'!$A$61:$I$81,3,0)),0,VLOOKUP(A47,'Données projet'!$A$61:$I$81,3,0))</f>
        <v>3</v>
      </c>
      <c r="AQ47" s="15">
        <f>IF(ISNA(VLOOKUP(A47,'Données projet'!$A$61:$I$81,4,0)),0,VLOOKUP(A47,'Données projet'!$A$61:$I$81,4,0))</f>
        <v>41.506410256410255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196.93751999999992</v>
      </c>
      <c r="BF47" s="13">
        <f t="shared" si="37"/>
        <v>49.070524066369494</v>
      </c>
      <c r="BG47" s="20">
        <f t="shared" si="7"/>
        <v>428.46401008226007</v>
      </c>
      <c r="BH47" s="59">
        <f t="shared" si="8"/>
        <v>721.79734341559333</v>
      </c>
      <c r="BI47" s="59">
        <f ca="1">AVERAGE(OFFSET($BH$3,0,0,'Données projet'!$E$11+1,1))-AVERAGE(OFFSET($H$3,0,0,'Données projet'!$E$11+1,1))</f>
        <v>376.58419691967526</v>
      </c>
      <c r="BJ47" s="59">
        <f t="shared" si="38"/>
        <v>365.76175372075869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27.186686118746692</v>
      </c>
      <c r="BQ47" s="21">
        <f>EXP(-LN(2)/25)*BQ46+(1-EXP(-LN(2)/25))/(LN(2)/25)*Calculateur!BL47*Calculateur!BN47*VLOOKUP('Données projet'!$B$11,Paramètres!$A$1:$I$89,3,0)*0.475*44/12</f>
        <v>11.068908509609098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38.255594628355794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213.69815999999994</v>
      </c>
      <c r="CA47" s="13">
        <f t="shared" si="39"/>
        <v>52.742903801874164</v>
      </c>
      <c r="CB47" s="20">
        <f t="shared" si="10"/>
        <v>464.05151945493071</v>
      </c>
      <c r="CC47" s="59">
        <f t="shared" si="11"/>
        <v>757.38485278826397</v>
      </c>
      <c r="CD47" s="59">
        <f ca="1">AVERAGE(OFFSET($CC$3,0,0,'Données projet'!$E$12+1,1))-AVERAGE(OFFSET($H$3,0,0,'Données projet'!$E$12+1,1))</f>
        <v>405.40026823646758</v>
      </c>
      <c r="CE47" s="59">
        <f t="shared" si="40"/>
        <v>393.0787141050053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36.361015625419256</v>
      </c>
      <c r="CL47" s="21">
        <f>EXP(-LN(2)/25)*CL46+(1-EXP(-LN(2)/25))/(LN(2)/25)*Calculateur!CG47*Calculateur!CI47*VLOOKUP('Données projet'!$B$12,Paramètres!$A$1:$I$89,3,0)*0.475*44/12</f>
        <v>14.804185898799304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51.16520152421856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8.8000000000000007</v>
      </c>
      <c r="CT47" s="12">
        <f>IF('Données projet'!$A$140&gt;35,CT46+CS47-DB46,IF(A47&lt;'Données projet'!$A$140,$CQ$205^A47,IF(A47='Données projet'!$A$140,'Données projet'!$B$140,CT46+CS47-DB46)))</f>
        <v>210.20000000000013</v>
      </c>
      <c r="CU47" s="17">
        <f>CT47*VLOOKUP('Données projet'!$B$13,Paramètres!$A$1:$I$89,3,0)*VLOOKUP('Données projet'!$B$13,Paramètres!$A$1:$I$89,5,0)</f>
        <v>183.63072000000014</v>
      </c>
      <c r="CV47" s="13">
        <f t="shared" si="41"/>
        <v>46.129013251634483</v>
      </c>
      <c r="CW47" s="20">
        <f t="shared" si="13"/>
        <v>400.16486874659699</v>
      </c>
      <c r="CX47" s="59">
        <f t="shared" si="14"/>
        <v>693.49820207993025</v>
      </c>
      <c r="CY47" s="59">
        <f ca="1">AVERAGE(OFFSET($CX$3,0,0,'Données projet'!$E$13+1,1))-AVERAGE(OFFSET($H$3,0,0,'Données projet'!$E$13+1,1))</f>
        <v>381.72225529388083</v>
      </c>
      <c r="CZ47" s="59">
        <f t="shared" si="42"/>
        <v>360.05900046417361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4.7571456495208349</v>
      </c>
      <c r="DG47" s="21">
        <f>EXP(-LN(2)/25)*DG46+(1-EXP(-LN(2)/25))/(LN(2)/25)*Calculateur!DB47*Calculateur!DD47*VLOOKUP('Données projet'!$B$13,Paramètres!$A$1:$I$89,3,0)*0.475*44/12</f>
        <v>14.236317723431773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18.993463372952608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9.3452380952380913</v>
      </c>
      <c r="DO47" s="12">
        <f>IF('Données projet'!$A$166&gt;35,DO46+DN47-DW46,IF(A47&lt;'Données projet'!$A$166,$DL$205^A47,IF(A47='Données projet'!$A$166,'Données projet'!$B$166,DO46+DN47-DW46)))</f>
        <v>146.97161172161179</v>
      </c>
      <c r="DP47" s="17">
        <f>DO47*VLOOKUP('Données projet'!$B$14,Paramètres!$A$1:$I$89,3,0)*VLOOKUP('Données projet'!$B$14,Paramètres!$A$1:$I$89,5,0)</f>
        <v>142.15094285714295</v>
      </c>
      <c r="DQ47" s="13">
        <f t="shared" si="43"/>
        <v>36.78931819112556</v>
      </c>
      <c r="DR47" s="20">
        <f t="shared" si="16"/>
        <v>311.65428799240095</v>
      </c>
      <c r="DS47" s="59">
        <f t="shared" si="17"/>
        <v>604.98762132573427</v>
      </c>
      <c r="DT47" s="59">
        <f ca="1">AVERAGE(OFFSET($DS$3,0,0,'Données projet'!$E$14+1,1))-AVERAGE(OFFSET($H$3,0,0,'Données projet'!$E$14+1,1))</f>
        <v>407.73540492005355</v>
      </c>
      <c r="DU47" s="59">
        <f t="shared" si="44"/>
        <v>296.29416764204774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230</v>
      </c>
      <c r="EH47" s="12">
        <f>VLOOKUP(A47,'Données projet'!$A$191:$I$211,9,0)</f>
        <v>11.142857142857142</v>
      </c>
      <c r="EI47" s="12">
        <f t="array" ref="EI47">INDEX(EH:EH,MIN(IF(ISNUMBER(EH47:EH243),ROW(EH47:EH243),"")))</f>
        <v>11.142857142857142</v>
      </c>
      <c r="EJ47" s="12">
        <f>IF('Données projet'!$A$192&gt;35,EJ46+EI47-ER46,IF(A47&lt;'Données projet'!$A$192,$EG$205^A47,IF(A47='Données projet'!$A$192,'Données projet'!$B$192,EJ46+EI47-ER46)))</f>
        <v>229.99999999999997</v>
      </c>
      <c r="EK47" s="17">
        <f>EJ47*VLOOKUP('Données projet'!$B$15,Paramètres!$A$1:$I$89,3,0)*VLOOKUP('Données projet'!$B$15,Paramètres!$A$1:$I$89,5,0)</f>
        <v>179.39999999999998</v>
      </c>
      <c r="EL47" s="13">
        <f t="shared" si="45"/>
        <v>45.188671291872232</v>
      </c>
      <c r="EM47" s="20">
        <f t="shared" si="19"/>
        <v>391.15860250001077</v>
      </c>
      <c r="EN47" s="59">
        <f t="shared" si="20"/>
        <v>684.49193583334409</v>
      </c>
      <c r="EO47" s="59">
        <f ca="1">AVERAGE(OFFSET($EN$3,0,0,'Données projet'!$E$15+1,1))-AVERAGE(OFFSET($H$3,0,0,'Données projet'!$E$15+1,1))</f>
        <v>288.80569134263209</v>
      </c>
      <c r="EP47" s="59">
        <f t="shared" si="46"/>
        <v>283.48738729114024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43</v>
      </c>
      <c r="ES47" s="16">
        <f>IF(ISNA(VLOOKUP(A47,'Données projet'!$A$191:$I$211,5,0)),0%,VLOOKUP(A47,'Données projet'!$A$191:$I$211,5,0)*VLOOKUP('Données projet'!$B$15,Paramètres!$A$1:$I$89,7,0))</f>
        <v>0.17200000000000001</v>
      </c>
      <c r="ET47" s="16">
        <f>IF(ISNA(VLOOKUP(A47,'Données projet'!$A$191:$I$211,6,0)),0%,VLOOKUP(A47,'Données projet'!$A$191:$I$211,6,0)*VLOOKUP('Données projet'!$B$15,Paramètres!$A$1:$I$89,7,0))</f>
        <v>0.17200000000000001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12.872788591306449</v>
      </c>
      <c r="EW47" s="21">
        <f>EXP(-LN(2)/25)*EW46+(1-EXP(-LN(2)/25))/(LN(2)/25)*Calculateur!ER47*Calculateur!ET47*VLOOKUP('Données projet'!$B$15,Paramètres!$A$1:$I$89,3,0)*0.475*44/12</f>
        <v>19.655059321199772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32.527847912506218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384.05928630855732</v>
      </c>
      <c r="T48" s="59">
        <f t="shared" si="34"/>
        <v>279.93992813630513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9.8424908424908359</v>
      </c>
      <c r="AI48" s="13">
        <f>IF('Données projet'!$A$62&gt;35,AI47+AH48-AQ47,IF(A48&lt;'Données projet'!$A$62,$AF$205^A48,IF(A48='Données projet'!$A$62,'Données projet'!$B$62,AI47+AH48-AQ47)))</f>
        <v>127.94505494505492</v>
      </c>
      <c r="AJ48" s="13">
        <f>AI48*VLOOKUP('Données projet'!$B$10,Paramètres!$A$1:$I$89,3,0)*VLOOKUP('Données projet'!$B$10,Paramètres!$A$1:$I$89,5,0)</f>
        <v>107.78091428571429</v>
      </c>
      <c r="AK48" s="13">
        <f t="shared" si="35"/>
        <v>28.807532153569991</v>
      </c>
      <c r="AL48" s="20">
        <f t="shared" si="4"/>
        <v>237.89154421508678</v>
      </c>
      <c r="AM48" s="59">
        <f t="shared" si="5"/>
        <v>531.22487754842007</v>
      </c>
      <c r="AN48" s="59">
        <f ca="1">AVERAGE(OFFSET($AM$3,0,0,'Données projet'!$E$10+1,1))-AVERAGE(OFFSET($H$3,0,0,'Données projet'!$E$10+1,1))</f>
        <v>312.48716825299158</v>
      </c>
      <c r="AO48" s="59">
        <f t="shared" si="36"/>
        <v>258.68277822755357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205.29599999999991</v>
      </c>
      <c r="BF48" s="13">
        <f t="shared" si="37"/>
        <v>50.906291934375353</v>
      </c>
      <c r="BG48" s="20">
        <f t="shared" si="7"/>
        <v>446.21899178570357</v>
      </c>
      <c r="BH48" s="59">
        <f t="shared" si="8"/>
        <v>739.55232511903682</v>
      </c>
      <c r="BI48" s="59">
        <f ca="1">AVERAGE(OFFSET($BH$3,0,0,'Données projet'!$E$11+1,1))-AVERAGE(OFFSET($H$3,0,0,'Données projet'!$E$11+1,1))</f>
        <v>376.58419691967526</v>
      </c>
      <c r="BJ48" s="59">
        <f t="shared" si="38"/>
        <v>365.76175372075869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0.39560000000000001</v>
      </c>
      <c r="BN48" s="16">
        <f>IF(ISNA(VLOOKUP(A48,'Données projet'!$A$87:$I$107,6,0)),0%,VLOOKUP(A48,'Données projet'!$A$87:$I$107,6,0)*VLOOKUP('Données projet'!$B$11,Paramètres!$A$1:$I$89,7,0))</f>
        <v>1.72E-2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34.99036822891216</v>
      </c>
      <c r="BQ48" s="21">
        <f>EXP(-LN(2)/25)*BQ47+(1-EXP(-LN(2)/25))/(LN(2)/25)*Calculateur!BL48*Calculateur!BN48*VLOOKUP('Données projet'!$B$11,Paramètres!$A$1:$I$89,3,0)*0.475*44/12</f>
        <v>11.127270854696953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46.117639083609113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222.76799999999994</v>
      </c>
      <c r="CA48" s="13">
        <f t="shared" si="39"/>
        <v>54.716058356609508</v>
      </c>
      <c r="CB48" s="20">
        <f t="shared" si="10"/>
        <v>483.28473497109485</v>
      </c>
      <c r="CC48" s="59">
        <f t="shared" si="11"/>
        <v>776.61806830442811</v>
      </c>
      <c r="CD48" s="59">
        <f ca="1">AVERAGE(OFFSET($CC$3,0,0,'Données projet'!$E$12+1,1))-AVERAGE(OFFSET($H$3,0,0,'Données projet'!$E$12+1,1))</f>
        <v>405.40026823646758</v>
      </c>
      <c r="CE48" s="59">
        <f t="shared" si="40"/>
        <v>393.0787141050053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0.48760000000000003</v>
      </c>
      <c r="CI48" s="16">
        <f>IF(ISNA(VLOOKUP(A48,'Données projet'!$A$113:$I$133,6,0)),0%,VLOOKUP(A48,'Données projet'!$A$113:$I$133,6,0)*VLOOKUP('Données projet'!$B$12,Paramètres!$A$1:$I$89,7,0))</f>
        <v>2.12E-2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46.798102584240269</v>
      </c>
      <c r="CL48" s="21">
        <f>EXP(-LN(2)/25)*CL47+(1-EXP(-LN(2)/25))/(LN(2)/25)*Calculateur!CG48*Calculateur!CI48*VLOOKUP('Données projet'!$B$12,Paramètres!$A$1:$I$89,3,0)*0.475*44/12</f>
        <v>14.882243008533333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61.680345592773605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219</v>
      </c>
      <c r="CR48" s="12">
        <f>VLOOKUP(A48,'Données projet'!$A$139:$I$159,9,0)</f>
        <v>8.8000000000000007</v>
      </c>
      <c r="CS48" s="12">
        <f t="array" ref="CS48">INDEX(CR:CR,MIN(IF(ISNUMBER(CR48:CR244),ROW(CR48:CR244),"")))</f>
        <v>8.8000000000000007</v>
      </c>
      <c r="CT48" s="12">
        <f>IF('Données projet'!$A$140&gt;35,CT47+CS48-DB47,IF(A48&lt;'Données projet'!$A$140,$CQ$205^A48,IF(A48='Données projet'!$A$140,'Données projet'!$B$140,CT47+CS48-DB47)))</f>
        <v>219.00000000000014</v>
      </c>
      <c r="CU48" s="17">
        <f>CT48*VLOOKUP('Données projet'!$B$13,Paramètres!$A$1:$I$89,3,0)*VLOOKUP('Données projet'!$B$13,Paramètres!$A$1:$I$89,5,0)</f>
        <v>191.31840000000014</v>
      </c>
      <c r="CV48" s="13">
        <f t="shared" si="41"/>
        <v>47.831314962098396</v>
      </c>
      <c r="CW48" s="20">
        <f t="shared" si="13"/>
        <v>416.51908689232158</v>
      </c>
      <c r="CX48" s="59">
        <f t="shared" si="14"/>
        <v>709.8524202256549</v>
      </c>
      <c r="CY48" s="59">
        <f ca="1">AVERAGE(OFFSET($CX$3,0,0,'Données projet'!$E$13+1,1))-AVERAGE(OFFSET($H$3,0,0,'Données projet'!$E$13+1,1))</f>
        <v>381.72225529388083</v>
      </c>
      <c r="CZ48" s="59">
        <f t="shared" si="42"/>
        <v>360.05900046417361</v>
      </c>
      <c r="DA48" s="15">
        <f>IF(ISNA(VLOOKUP(A48,'Données projet'!$A$139:$I$159,3,0)),0,VLOOKUP(A48,'Données projet'!$A$139:$I$159,3,0))</f>
        <v>6</v>
      </c>
      <c r="DB48" s="15" t="str">
        <f>IF(ISNA(VLOOKUP(A48,'Données projet'!$A$139:$I$159,4,0)),0,VLOOKUP(A48,'Données projet'!$A$139:$I$159,4,0))</f>
        <v>30</v>
      </c>
      <c r="DC48" s="16">
        <f>IF(ISNA(VLOOKUP(A48,'Données projet'!$A$139:$I$159,5,0)),0%,VLOOKUP(A48,'Données projet'!$A$139:$I$159,5,0)*VLOOKUP('Données projet'!$B$13,Paramètres!$A$1:$I$89,7,0))</f>
        <v>0.17200000000000001</v>
      </c>
      <c r="DD48" s="16">
        <f>IF(ISNA(VLOOKUP(A48,'Données projet'!$A$139:$I$159,6,0)),0%,VLOOKUP(A48,'Données projet'!$A$139:$I$159,6,0)*VLOOKUP('Données projet'!$B$13,Paramètres!$A$1:$I$89,7,0))</f>
        <v>0.17200000000000001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9.6470737704755969</v>
      </c>
      <c r="DG48" s="21">
        <f>EXP(-LN(2)/25)*DG47+(1-EXP(-LN(2)/25))/(LN(2)/25)*Calculateur!DB48*Calculateur!DD48*VLOOKUP('Données projet'!$B$13,Paramètres!$A$1:$I$89,3,0)*0.475*44/12</f>
        <v>18.810616904472685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28.457690674948282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9.3452380952380913</v>
      </c>
      <c r="DO48" s="12">
        <f>IF('Données projet'!$A$166&gt;35,DO47+DN48-DW47,IF(A48&lt;'Données projet'!$A$166,$DL$205^A48,IF(A48='Données projet'!$A$166,'Données projet'!$B$166,DO47+DN48-DW47)))</f>
        <v>156.3168498168499</v>
      </c>
      <c r="DP48" s="17">
        <f>DO48*VLOOKUP('Données projet'!$B$14,Paramètres!$A$1:$I$89,3,0)*VLOOKUP('Données projet'!$B$14,Paramètres!$A$1:$I$89,5,0)</f>
        <v>151.18965714285721</v>
      </c>
      <c r="DQ48" s="13">
        <f t="shared" si="43"/>
        <v>38.848815050447264</v>
      </c>
      <c r="DR48" s="20">
        <f t="shared" si="16"/>
        <v>330.98367240333863</v>
      </c>
      <c r="DS48" s="59">
        <f t="shared" si="17"/>
        <v>624.31700573667194</v>
      </c>
      <c r="DT48" s="59">
        <f ca="1">AVERAGE(OFFSET($DS$3,0,0,'Données projet'!$E$14+1,1))-AVERAGE(OFFSET($H$3,0,0,'Données projet'!$E$14+1,1))</f>
        <v>407.73540492005355</v>
      </c>
      <c r="DU48" s="59">
        <f t="shared" si="44"/>
        <v>296.29416764204774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10.375</v>
      </c>
      <c r="EJ48" s="12">
        <f>IF('Données projet'!$A$192&gt;35,EJ47+EI48-ER47,IF(A48&lt;'Données projet'!$A$192,$EG$205^A48,IF(A48='Données projet'!$A$192,'Données projet'!$B$192,EJ47+EI48-ER47)))</f>
        <v>197.37499999999997</v>
      </c>
      <c r="EK48" s="17">
        <f>EJ48*VLOOKUP('Données projet'!$B$15,Paramètres!$A$1:$I$89,3,0)*VLOOKUP('Données projet'!$B$15,Paramètres!$A$1:$I$89,5,0)</f>
        <v>153.95249999999999</v>
      </c>
      <c r="EL48" s="13">
        <f t="shared" si="45"/>
        <v>39.475441267837397</v>
      </c>
      <c r="EM48" s="20">
        <f t="shared" si="19"/>
        <v>336.88699770815009</v>
      </c>
      <c r="EN48" s="59">
        <f t="shared" si="20"/>
        <v>630.2203310414834</v>
      </c>
      <c r="EO48" s="59">
        <f ca="1">AVERAGE(OFFSET($EN$3,0,0,'Données projet'!$E$15+1,1))-AVERAGE(OFFSET($H$3,0,0,'Données projet'!$E$15+1,1))</f>
        <v>288.80569134263209</v>
      </c>
      <c r="EP48" s="59">
        <f t="shared" si="46"/>
        <v>283.48738729114024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12.620361058656687</v>
      </c>
      <c r="EW48" s="21">
        <f>EXP(-LN(2)/25)*EW47+(1-EXP(-LN(2)/25))/(LN(2)/25)*Calculateur!ER48*Calculateur!ET48*VLOOKUP('Données projet'!$B$15,Paramètres!$A$1:$I$89,3,0)*0.475*44/12</f>
        <v>19.117590690446917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31.737951749103605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621.5415064074848</v>
      </c>
      <c r="S49" s="59">
        <f ca="1">AVERAGE(OFFSET($R$3,0,0,'Données projet'!$E$9+1,1))-AVERAGE(OFFSET($H$3,0,0,'Données projet'!$E$9+1,1))</f>
        <v>384.05928630855732</v>
      </c>
      <c r="T49" s="59">
        <f t="shared" si="34"/>
        <v>279.93992813630513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9.8424908424908359</v>
      </c>
      <c r="AI49" s="13">
        <f>IF('Données projet'!$A$62&gt;35,AI48+AH49-AQ48,IF(A49&lt;'Données projet'!$A$62,$AF$205^A49,IF(A49='Données projet'!$A$62,'Données projet'!$B$62,AI48+AH49-AQ48)))</f>
        <v>137.78754578754575</v>
      </c>
      <c r="AJ49" s="13">
        <f>AI49*VLOOKUP('Données projet'!$B$10,Paramètres!$A$1:$I$89,3,0)*VLOOKUP('Données projet'!$B$10,Paramètres!$A$1:$I$89,5,0)</f>
        <v>116.07222857142855</v>
      </c>
      <c r="AK49" s="13">
        <f t="shared" si="35"/>
        <v>30.757144357856795</v>
      </c>
      <c r="AL49" s="20">
        <f t="shared" si="4"/>
        <v>255.72782451850529</v>
      </c>
      <c r="AM49" s="59">
        <f t="shared" si="5"/>
        <v>549.06115785183863</v>
      </c>
      <c r="AN49" s="59">
        <f ca="1">AVERAGE(OFFSET($AM$3,0,0,'Données projet'!$E$10+1,1))-AVERAGE(OFFSET($H$3,0,0,'Données projet'!$E$10+1,1))</f>
        <v>312.48716825299158</v>
      </c>
      <c r="AO49" s="59">
        <f t="shared" si="36"/>
        <v>258.68277822755357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193.41815999999992</v>
      </c>
      <c r="BF49" s="13">
        <f t="shared" si="37"/>
        <v>48.294873490521283</v>
      </c>
      <c r="BG49" s="20">
        <f t="shared" si="7"/>
        <v>420.98353332932442</v>
      </c>
      <c r="BH49" s="59">
        <f t="shared" si="8"/>
        <v>714.31686666265773</v>
      </c>
      <c r="BI49" s="59">
        <f ca="1">AVERAGE(OFFSET($BH$3,0,0,'Données projet'!$E$11+1,1))-AVERAGE(OFFSET($H$3,0,0,'Données projet'!$E$11+1,1))</f>
        <v>376.58419691967526</v>
      </c>
      <c r="BJ49" s="59">
        <f t="shared" si="38"/>
        <v>365.76175372075869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34.304228449960462</v>
      </c>
      <c r="BQ49" s="21">
        <f>EXP(-LN(2)/25)*BQ48+(1-EXP(-LN(2)/25))/(LN(2)/25)*Calculateur!BL49*Calculateur!BN49*VLOOKUP('Données projet'!$B$11,Paramètres!$A$1:$I$89,3,0)*0.475*44/12</f>
        <v>10.822995048017521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45.12722349797798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209.87927999999994</v>
      </c>
      <c r="CA49" s="13">
        <f t="shared" si="39"/>
        <v>51.909204458241767</v>
      </c>
      <c r="CB49" s="20">
        <f t="shared" si="10"/>
        <v>455.94827709810426</v>
      </c>
      <c r="CC49" s="59">
        <f t="shared" si="11"/>
        <v>749.28161043143757</v>
      </c>
      <c r="CD49" s="59">
        <f ca="1">AVERAGE(OFFSET($CC$3,0,0,'Données projet'!$E$12+1,1))-AVERAGE(OFFSET($H$3,0,0,'Données projet'!$E$12+1,1))</f>
        <v>405.40026823646758</v>
      </c>
      <c r="CE49" s="59">
        <f t="shared" si="40"/>
        <v>393.0787141050053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45.880420336587406</v>
      </c>
      <c r="CL49" s="21">
        <f>EXP(-LN(2)/25)*CL48+(1-EXP(-LN(2)/25))/(LN(2)/25)*Calculateur!CG49*Calculateur!CI49*VLOOKUP('Données projet'!$B$12,Paramètres!$A$1:$I$89,3,0)*0.475*44/12</f>
        <v>14.475287290841843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60.355707627429247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8.1999999999999993</v>
      </c>
      <c r="CT49" s="12">
        <f>IF('Données projet'!$A$140&gt;35,CT48+CS49-DB48,IF(A49&lt;'Données projet'!$A$140,$CQ$205^A49,IF(A49='Données projet'!$A$140,'Données projet'!$B$140,CT48+CS49-DB48)))</f>
        <v>197.20000000000013</v>
      </c>
      <c r="CU49" s="17">
        <f>CT49*VLOOKUP('Données projet'!$B$13,Paramètres!$A$1:$I$89,3,0)*VLOOKUP('Données projet'!$B$13,Paramètres!$A$1:$I$89,5,0)</f>
        <v>172.27392000000015</v>
      </c>
      <c r="CV49" s="13">
        <f t="shared" si="41"/>
        <v>43.59891151369964</v>
      </c>
      <c r="CW49" s="20">
        <f t="shared" si="13"/>
        <v>375.97851488636047</v>
      </c>
      <c r="CX49" s="59">
        <f t="shared" si="14"/>
        <v>669.31184821969373</v>
      </c>
      <c r="CY49" s="59">
        <f ca="1">AVERAGE(OFFSET($CX$3,0,0,'Données projet'!$E$13+1,1))-AVERAGE(OFFSET($H$3,0,0,'Données projet'!$E$13+1,1))</f>
        <v>381.72225529388083</v>
      </c>
      <c r="CZ49" s="59">
        <f t="shared" si="42"/>
        <v>360.05900046417361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9.457900537970561</v>
      </c>
      <c r="DG49" s="21">
        <f>EXP(-LN(2)/25)*DG48+(1-EXP(-LN(2)/25))/(LN(2)/25)*Calculateur!DB49*Calculateur!DD49*VLOOKUP('Données projet'!$B$13,Paramètres!$A$1:$I$89,3,0)*0.475*44/12</f>
        <v>18.29623959601253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27.754140133983093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9.3452380952380913</v>
      </c>
      <c r="DO49" s="12">
        <f>IF('Données projet'!$A$166&gt;35,DO48+DN49-DW48,IF(A49&lt;'Données projet'!$A$166,$DL$205^A49,IF(A49='Données projet'!$A$166,'Données projet'!$B$166,DO48+DN49-DW48)))</f>
        <v>165.662087912088</v>
      </c>
      <c r="DP49" s="17">
        <f>DO49*VLOOKUP('Données projet'!$B$14,Paramètres!$A$1:$I$89,3,0)*VLOOKUP('Données projet'!$B$14,Paramètres!$A$1:$I$89,5,0)</f>
        <v>160.22837142857151</v>
      </c>
      <c r="DQ49" s="13">
        <f t="shared" si="43"/>
        <v>40.894020943216304</v>
      </c>
      <c r="DR49" s="20">
        <f t="shared" si="16"/>
        <v>350.28816671419708</v>
      </c>
      <c r="DS49" s="59">
        <f t="shared" si="17"/>
        <v>643.62150004753039</v>
      </c>
      <c r="DT49" s="59">
        <f ca="1">AVERAGE(OFFSET($DS$3,0,0,'Données projet'!$E$14+1,1))-AVERAGE(OFFSET($H$3,0,0,'Données projet'!$E$14+1,1))</f>
        <v>407.73540492005355</v>
      </c>
      <c r="DU49" s="59">
        <f t="shared" si="44"/>
        <v>296.29416764204774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10.375</v>
      </c>
      <c r="EJ49" s="12">
        <f>IF('Données projet'!$A$192&gt;35,EJ48+EI49-ER48,IF(A49&lt;'Données projet'!$A$192,$EG$205^A49,IF(A49='Données projet'!$A$192,'Données projet'!$B$192,EJ48+EI49-ER48)))</f>
        <v>207.74999999999997</v>
      </c>
      <c r="EK49" s="17">
        <f>EJ49*VLOOKUP('Données projet'!$B$15,Paramètres!$A$1:$I$89,3,0)*VLOOKUP('Données projet'!$B$15,Paramètres!$A$1:$I$89,5,0)</f>
        <v>162.04499999999999</v>
      </c>
      <c r="EL49" s="13">
        <f t="shared" si="45"/>
        <v>41.303429372463391</v>
      </c>
      <c r="EM49" s="20">
        <f t="shared" si="19"/>
        <v>354.16518115704031</v>
      </c>
      <c r="EN49" s="59">
        <f t="shared" si="20"/>
        <v>647.49851449037362</v>
      </c>
      <c r="EO49" s="59">
        <f ca="1">AVERAGE(OFFSET($EN$3,0,0,'Données projet'!$E$15+1,1))-AVERAGE(OFFSET($H$3,0,0,'Données projet'!$E$15+1,1))</f>
        <v>288.80569134263209</v>
      </c>
      <c r="EP49" s="59">
        <f t="shared" si="46"/>
        <v>283.48738729114024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12.372883475956595</v>
      </c>
      <c r="EW49" s="21">
        <f>EXP(-LN(2)/25)*EW48+(1-EXP(-LN(2)/25))/(LN(2)/25)*Calculateur!ER49*Calculateur!ET49*VLOOKUP('Données projet'!$B$15,Paramètres!$A$1:$I$89,3,0)*0.475*44/12</f>
        <v>18.594819167666245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30.96770264362284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639.60452687053976</v>
      </c>
      <c r="S50" s="59">
        <f ca="1">AVERAGE(OFFSET($R$3,0,0,'Données projet'!$E$9+1,1))-AVERAGE(OFFSET($H$3,0,0,'Données projet'!$E$9+1,1))</f>
        <v>384.05928630855732</v>
      </c>
      <c r="T50" s="59">
        <f t="shared" si="34"/>
        <v>279.93992813630513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9.8424908424908359</v>
      </c>
      <c r="AI50" s="13">
        <f>IF('Données projet'!$A$62&gt;35,AI49+AH50-AQ49,IF(A50&lt;'Données projet'!$A$62,$AF$205^A50,IF(A50='Données projet'!$A$62,'Données projet'!$B$62,AI49+AH50-AQ49)))</f>
        <v>147.63003663003659</v>
      </c>
      <c r="AJ50" s="13">
        <f>AI50*VLOOKUP('Données projet'!$B$10,Paramètres!$A$1:$I$89,3,0)*VLOOKUP('Données projet'!$B$10,Paramètres!$A$1:$I$89,5,0)</f>
        <v>124.36354285714283</v>
      </c>
      <c r="AK50" s="13">
        <f t="shared" si="35"/>
        <v>32.690598775534689</v>
      </c>
      <c r="AL50" s="20">
        <f t="shared" si="4"/>
        <v>273.53596334358002</v>
      </c>
      <c r="AM50" s="59">
        <f t="shared" si="5"/>
        <v>566.86929667691334</v>
      </c>
      <c r="AN50" s="59">
        <f ca="1">AVERAGE(OFFSET($AM$3,0,0,'Données projet'!$E$10+1,1))-AVERAGE(OFFSET($H$3,0,0,'Données projet'!$E$10+1,1))</f>
        <v>312.48716825299158</v>
      </c>
      <c r="AO50" s="59">
        <f t="shared" si="36"/>
        <v>258.68277822755357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200.60351999999995</v>
      </c>
      <c r="BF50" s="13">
        <f t="shared" si="37"/>
        <v>49.87677988675906</v>
      </c>
      <c r="BG50" s="20">
        <f t="shared" si="7"/>
        <v>436.25318896943855</v>
      </c>
      <c r="BH50" s="59">
        <f t="shared" si="8"/>
        <v>729.58652230277187</v>
      </c>
      <c r="BI50" s="59">
        <f ca="1">AVERAGE(OFFSET($BH$3,0,0,'Données projet'!$E$11+1,1))-AVERAGE(OFFSET($H$3,0,0,'Données projet'!$E$11+1,1))</f>
        <v>376.58419691967526</v>
      </c>
      <c r="BJ50" s="59">
        <f t="shared" si="38"/>
        <v>365.76175372075869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33.631543453570067</v>
      </c>
      <c r="BQ50" s="21">
        <f>EXP(-LN(2)/25)*BQ49+(1-EXP(-LN(2)/25))/(LN(2)/25)*Calculateur!BL50*Calculateur!BN50*VLOOKUP('Données projet'!$B$11,Paramètres!$A$1:$I$89,3,0)*0.475*44/12</f>
        <v>10.527039679272908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44.158583132842978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217.67615999999992</v>
      </c>
      <c r="CA50" s="13">
        <f t="shared" si="39"/>
        <v>53.609498850196708</v>
      </c>
      <c r="CB50" s="20">
        <f t="shared" si="10"/>
        <v>472.48918916409235</v>
      </c>
      <c r="CC50" s="59">
        <f t="shared" si="11"/>
        <v>765.82252249742567</v>
      </c>
      <c r="CD50" s="59">
        <f ca="1">AVERAGE(OFFSET($CC$3,0,0,'Données projet'!$E$12+1,1))-AVERAGE(OFFSET($H$3,0,0,'Données projet'!$E$12+1,1))</f>
        <v>405.40026823646758</v>
      </c>
      <c r="CE50" s="59">
        <f t="shared" si="40"/>
        <v>393.0787141050053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44.980733278080116</v>
      </c>
      <c r="CL50" s="21">
        <f>EXP(-LN(2)/25)*CL49+(1-EXP(-LN(2)/25))/(LN(2)/25)*Calculateur!CG50*Calculateur!CI50*VLOOKUP('Données projet'!$B$12,Paramètres!$A$1:$I$89,3,0)*0.475*44/12</f>
        <v>14.079459798651497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59.060193076731615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8.1999999999999993</v>
      </c>
      <c r="CT50" s="12">
        <f>IF('Données projet'!$A$140&gt;35,CT49+CS50-DB49,IF(A50&lt;'Données projet'!$A$140,$CQ$205^A50,IF(A50='Données projet'!$A$140,'Données projet'!$B$140,CT49+CS50-DB49)))</f>
        <v>205.40000000000012</v>
      </c>
      <c r="CU50" s="17">
        <f>CT50*VLOOKUP('Données projet'!$B$13,Paramètres!$A$1:$I$89,3,0)*VLOOKUP('Données projet'!$B$13,Paramètres!$A$1:$I$89,5,0)</f>
        <v>179.43744000000012</v>
      </c>
      <c r="CV50" s="13">
        <f t="shared" si="41"/>
        <v>45.197004138831659</v>
      </c>
      <c r="CW50" s="20">
        <f t="shared" si="13"/>
        <v>391.23832354179859</v>
      </c>
      <c r="CX50" s="59">
        <f t="shared" si="14"/>
        <v>684.57165687513191</v>
      </c>
      <c r="CY50" s="59">
        <f ca="1">AVERAGE(OFFSET($CX$3,0,0,'Données projet'!$E$13+1,1))-AVERAGE(OFFSET($H$3,0,0,'Données projet'!$E$13+1,1))</f>
        <v>381.72225529388083</v>
      </c>
      <c r="CZ50" s="59">
        <f t="shared" si="42"/>
        <v>360.05900046417361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9.2724368771706693</v>
      </c>
      <c r="DG50" s="21">
        <f>EXP(-LN(2)/25)*DG49+(1-EXP(-LN(2)/25))/(LN(2)/25)*Calculateur!DB50*Calculateur!DD50*VLOOKUP('Données projet'!$B$13,Paramètres!$A$1:$I$89,3,0)*0.475*44/12</f>
        <v>17.795927962102144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27.068364839272814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9.3452380952380913</v>
      </c>
      <c r="DO50" s="12">
        <f>IF('Données projet'!$A$166&gt;35,DO49+DN50-DW49,IF(A50&lt;'Données projet'!$A$166,$DL$205^A50,IF(A50='Données projet'!$A$166,'Données projet'!$B$166,DO49+DN50-DW49)))</f>
        <v>175.0073260073261</v>
      </c>
      <c r="DP50" s="17">
        <f>DO50*VLOOKUP('Données projet'!$B$14,Paramètres!$A$1:$I$89,3,0)*VLOOKUP('Données projet'!$B$14,Paramètres!$A$1:$I$89,5,0)</f>
        <v>169.2670857142858</v>
      </c>
      <c r="DQ50" s="13">
        <f t="shared" si="43"/>
        <v>42.925833912589638</v>
      </c>
      <c r="DR50" s="20">
        <f t="shared" si="16"/>
        <v>369.56933501680805</v>
      </c>
      <c r="DS50" s="59">
        <f t="shared" si="17"/>
        <v>662.90266835014131</v>
      </c>
      <c r="DT50" s="59">
        <f ca="1">AVERAGE(OFFSET($DS$3,0,0,'Données projet'!$E$14+1,1))-AVERAGE(OFFSET($H$3,0,0,'Données projet'!$E$14+1,1))</f>
        <v>407.73540492005355</v>
      </c>
      <c r="DU50" s="59">
        <f t="shared" si="44"/>
        <v>296.29416764204774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10.375</v>
      </c>
      <c r="EJ50" s="12">
        <f>IF('Données projet'!$A$192&gt;35,EJ49+EI50-ER49,IF(A50&lt;'Données projet'!$A$192,$EG$205^A50,IF(A50='Données projet'!$A$192,'Données projet'!$B$192,EJ49+EI50-ER49)))</f>
        <v>218.12499999999997</v>
      </c>
      <c r="EK50" s="17">
        <f>EJ50*VLOOKUP('Données projet'!$B$15,Paramètres!$A$1:$I$89,3,0)*VLOOKUP('Données projet'!$B$15,Paramètres!$A$1:$I$89,5,0)</f>
        <v>170.13749999999999</v>
      </c>
      <c r="EL50" s="13">
        <f t="shared" si="45"/>
        <v>43.120817562072411</v>
      </c>
      <c r="EM50" s="20">
        <f t="shared" si="19"/>
        <v>371.42490308727605</v>
      </c>
      <c r="EN50" s="59">
        <f t="shared" si="20"/>
        <v>664.75823642060936</v>
      </c>
      <c r="EO50" s="59">
        <f ca="1">AVERAGE(OFFSET($EN$3,0,0,'Données projet'!$E$15+1,1))-AVERAGE(OFFSET($H$3,0,0,'Données projet'!$E$15+1,1))</f>
        <v>288.80569134263209</v>
      </c>
      <c r="EP50" s="59">
        <f t="shared" si="46"/>
        <v>283.48738729114024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12.13025877770683</v>
      </c>
      <c r="EW50" s="21">
        <f>EXP(-LN(2)/25)*EW49+(1-EXP(-LN(2)/25))/(LN(2)/25)*Calculateur!ER50*Calculateur!ET50*VLOOKUP('Données projet'!$B$15,Paramètres!$A$1:$I$89,3,0)*0.475*44/12</f>
        <v>18.086342859667369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30.216601637374197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657.64686438321587</v>
      </c>
      <c r="S51" s="59">
        <f ca="1">AVERAGE(OFFSET($R$3,0,0,'Données projet'!$E$9+1,1))-AVERAGE(OFFSET($H$3,0,0,'Données projet'!$E$9+1,1))</f>
        <v>384.05928630855732</v>
      </c>
      <c r="T51" s="59">
        <f t="shared" si="34"/>
        <v>279.93992813630513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9.8424908424908359</v>
      </c>
      <c r="AI51" s="13">
        <f>IF('Données projet'!$A$62&gt;35,AI50+AH51-AQ50,IF(A51&lt;'Données projet'!$A$62,$AF$205^A51,IF(A51='Données projet'!$A$62,'Données projet'!$B$62,AI50+AH51-AQ50)))</f>
        <v>157.47252747252742</v>
      </c>
      <c r="AJ51" s="13">
        <f>AI51*VLOOKUP('Données projet'!$B$10,Paramètres!$A$1:$I$89,3,0)*VLOOKUP('Données projet'!$B$10,Paramètres!$A$1:$I$89,5,0)</f>
        <v>132.65485714285711</v>
      </c>
      <c r="AK51" s="13">
        <f t="shared" si="35"/>
        <v>34.609095218679897</v>
      </c>
      <c r="AL51" s="20">
        <f t="shared" si="4"/>
        <v>291.31805036301029</v>
      </c>
      <c r="AM51" s="59">
        <f t="shared" si="5"/>
        <v>584.6513836963436</v>
      </c>
      <c r="AN51" s="59">
        <f ca="1">AVERAGE(OFFSET($AM$3,0,0,'Données projet'!$E$10+1,1))-AVERAGE(OFFSET($H$3,0,0,'Données projet'!$E$10+1,1))</f>
        <v>312.48716825299158</v>
      </c>
      <c r="AO51" s="59">
        <f t="shared" si="36"/>
        <v>258.68277822755357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207.78887999999992</v>
      </c>
      <c r="BF51" s="13">
        <f t="shared" si="37"/>
        <v>51.452103086551489</v>
      </c>
      <c r="BG51" s="20">
        <f t="shared" si="7"/>
        <v>451.51137887574367</v>
      </c>
      <c r="BH51" s="59">
        <f t="shared" si="8"/>
        <v>744.84471220907699</v>
      </c>
      <c r="BI51" s="59">
        <f ca="1">AVERAGE(OFFSET($BH$3,0,0,'Données projet'!$E$11+1,1))-AVERAGE(OFFSET($H$3,0,0,'Données projet'!$E$11+1,1))</f>
        <v>376.58419691967526</v>
      </c>
      <c r="BJ51" s="59">
        <f t="shared" si="38"/>
        <v>365.76175372075869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32.97204939966155</v>
      </c>
      <c r="BQ51" s="21">
        <f>EXP(-LN(2)/25)*BQ50+(1-EXP(-LN(2)/25))/(LN(2)/25)*Calculateur!BL51*Calculateur!BN51*VLOOKUP('Données projet'!$B$11,Paramètres!$A$1:$I$89,3,0)*0.475*44/12</f>
        <v>10.239177225650234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43.211226625311781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225.47303999999994</v>
      </c>
      <c r="CA51" s="13">
        <f t="shared" si="39"/>
        <v>55.302717367103824</v>
      </c>
      <c r="CB51" s="20">
        <f t="shared" si="10"/>
        <v>489.0177774143724</v>
      </c>
      <c r="CC51" s="59">
        <f t="shared" si="11"/>
        <v>782.35111074770566</v>
      </c>
      <c r="CD51" s="59">
        <f ca="1">AVERAGE(OFFSET($CC$3,0,0,'Données projet'!$E$12+1,1))-AVERAGE(OFFSET($H$3,0,0,'Données projet'!$E$12+1,1))</f>
        <v>405.40026823646758</v>
      </c>
      <c r="CE51" s="59">
        <f t="shared" si="40"/>
        <v>393.0787141050053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44.098688534035233</v>
      </c>
      <c r="CL51" s="21">
        <f>EXP(-LN(2)/25)*CL50+(1-EXP(-LN(2)/25))/(LN(2)/25)*Calculateur!CG51*Calculateur!CI51*VLOOKUP('Données projet'!$B$12,Paramètres!$A$1:$I$89,3,0)*0.475*44/12</f>
        <v>13.69445623005076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57.793144764085994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8.1999999999999993</v>
      </c>
      <c r="CT51" s="12">
        <f>IF('Données projet'!$A$140&gt;35,CT50+CS51-DB50,IF(A51&lt;'Données projet'!$A$140,$CQ$205^A51,IF(A51='Données projet'!$A$140,'Données projet'!$B$140,CT50+CS51-DB50)))</f>
        <v>213.60000000000011</v>
      </c>
      <c r="CU51" s="17">
        <f>CT51*VLOOKUP('Données projet'!$B$13,Paramètres!$A$1:$I$89,3,0)*VLOOKUP('Données projet'!$B$13,Paramètres!$A$1:$I$89,5,0)</f>
        <v>186.60096000000013</v>
      </c>
      <c r="CV51" s="13">
        <f t="shared" si="41"/>
        <v>46.787685683664144</v>
      </c>
      <c r="CW51" s="20">
        <f t="shared" si="13"/>
        <v>406.48522456571527</v>
      </c>
      <c r="CX51" s="59">
        <f t="shared" si="14"/>
        <v>699.81855789904853</v>
      </c>
      <c r="CY51" s="59">
        <f ca="1">AVERAGE(OFFSET($CX$3,0,0,'Données projet'!$E$13+1,1))-AVERAGE(OFFSET($H$3,0,0,'Données projet'!$E$13+1,1))</f>
        <v>381.72225529388083</v>
      </c>
      <c r="CZ51" s="59">
        <f t="shared" si="42"/>
        <v>360.05900046417361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9.0906100456374013</v>
      </c>
      <c r="DG51" s="21">
        <f>EXP(-LN(2)/25)*DG50+(1-EXP(-LN(2)/25))/(LN(2)/25)*Calculateur!DB51*Calculateur!DD51*VLOOKUP('Données projet'!$B$13,Paramètres!$A$1:$I$89,3,0)*0.475*44/12</f>
        <v>17.309297376131283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26.399907421768685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184.35256410256409</v>
      </c>
      <c r="DM51" s="12">
        <f>VLOOKUP(A51,'Données projet'!$A$165:$I$185,9,0)</f>
        <v>9.3452380952380913</v>
      </c>
      <c r="DN51" s="12">
        <f t="array" ref="DN51">INDEX(DM:DM,MIN(IF(ISNUMBER(DM51:DM247),ROW(DM51:DM247),"")))</f>
        <v>9.3452380952380913</v>
      </c>
      <c r="DO51" s="12">
        <f>IF('Données projet'!$A$166&gt;35,DO50+DN51-DW50,IF(A51&lt;'Données projet'!$A$166,$DL$205^A51,IF(A51='Données projet'!$A$166,'Données projet'!$B$166,DO50+DN51-DW50)))</f>
        <v>184.3525641025642</v>
      </c>
      <c r="DP51" s="17">
        <f>DO51*VLOOKUP('Données projet'!$B$14,Paramètres!$A$1:$I$89,3,0)*VLOOKUP('Données projet'!$B$14,Paramètres!$A$1:$I$89,5,0)</f>
        <v>178.30580000000009</v>
      </c>
      <c r="DQ51" s="13">
        <f t="shared" si="43"/>
        <v>44.945050675465268</v>
      </c>
      <c r="DR51" s="20">
        <f t="shared" si="16"/>
        <v>388.82856492643549</v>
      </c>
      <c r="DS51" s="59">
        <f t="shared" si="17"/>
        <v>682.1618982597688</v>
      </c>
      <c r="DT51" s="59">
        <f ca="1">AVERAGE(OFFSET($DS$3,0,0,'Données projet'!$E$14+1,1))-AVERAGE(OFFSET($H$3,0,0,'Données projet'!$E$14+1,1))</f>
        <v>407.73540492005355</v>
      </c>
      <c r="DU51" s="59">
        <f t="shared" si="44"/>
        <v>296.29416764204774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48.025641025641022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10.375</v>
      </c>
      <c r="EJ51" s="12">
        <f>IF('Données projet'!$A$192&gt;35,EJ50+EI51-ER50,IF(A51&lt;'Données projet'!$A$192,$EG$205^A51,IF(A51='Données projet'!$A$192,'Données projet'!$B$192,EJ50+EI51-ER50)))</f>
        <v>228.49999999999997</v>
      </c>
      <c r="EK51" s="17">
        <f>EJ51*VLOOKUP('Données projet'!$B$15,Paramètres!$A$1:$I$89,3,0)*VLOOKUP('Données projet'!$B$15,Paramètres!$A$1:$I$89,5,0)</f>
        <v>178.23</v>
      </c>
      <c r="EL51" s="13">
        <f t="shared" si="45"/>
        <v>44.928167580487852</v>
      </c>
      <c r="EM51" s="20">
        <f t="shared" si="19"/>
        <v>388.66714186934956</v>
      </c>
      <c r="EN51" s="59">
        <f t="shared" si="20"/>
        <v>682.00047520268288</v>
      </c>
      <c r="EO51" s="59">
        <f ca="1">AVERAGE(OFFSET($EN$3,0,0,'Données projet'!$E$15+1,1))-AVERAGE(OFFSET($H$3,0,0,'Données projet'!$E$15+1,1))</f>
        <v>288.80569134263209</v>
      </c>
      <c r="EP51" s="59">
        <f t="shared" si="46"/>
        <v>283.48738729114024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11.89239180180329</v>
      </c>
      <c r="EW51" s="21">
        <f>EXP(-LN(2)/25)*EW50+(1-EXP(-LN(2)/25))/(LN(2)/25)*Calculateur!ER51*Calculateur!ET51*VLOOKUP('Données projet'!$B$15,Paramètres!$A$1:$I$89,3,0)*0.475*44/12</f>
        <v>17.591770863050332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29.484162664853621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581.91341142385932</v>
      </c>
      <c r="S52" s="59">
        <f ca="1">AVERAGE(OFFSET($R$3,0,0,'Données projet'!$E$9+1,1))-AVERAGE(OFFSET($H$3,0,0,'Données projet'!$E$9+1,1))</f>
        <v>384.05928630855732</v>
      </c>
      <c r="T52" s="59">
        <f t="shared" si="34"/>
        <v>279.93992813630513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9.8424908424908359</v>
      </c>
      <c r="AI52" s="13">
        <f>IF('Données projet'!$A$62&gt;35,AI51+AH52-AQ51,IF(A52&lt;'Données projet'!$A$62,$AF$205^A52,IF(A52='Données projet'!$A$62,'Données projet'!$B$62,AI51+AH52-AQ51)))</f>
        <v>167.31501831501825</v>
      </c>
      <c r="AJ52" s="13">
        <f>AI52*VLOOKUP('Données projet'!$B$10,Paramètres!$A$1:$I$89,3,0)*VLOOKUP('Données projet'!$B$10,Paramètres!$A$1:$I$89,5,0)</f>
        <v>140.9461714285714</v>
      </c>
      <c r="AK52" s="13">
        <f t="shared" si="35"/>
        <v>36.513675038783468</v>
      </c>
      <c r="AL52" s="20">
        <f t="shared" si="4"/>
        <v>309.0758992639764</v>
      </c>
      <c r="AM52" s="59">
        <f t="shared" si="5"/>
        <v>602.40923259730971</v>
      </c>
      <c r="AN52" s="59">
        <f ca="1">AVERAGE(OFFSET($AM$3,0,0,'Données projet'!$E$10+1,1))-AVERAGE(OFFSET($H$3,0,0,'Données projet'!$E$10+1,1))</f>
        <v>312.48716825299158</v>
      </c>
      <c r="AO52" s="59">
        <f t="shared" si="36"/>
        <v>258.68277822755357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214.97423999999995</v>
      </c>
      <c r="BF52" s="13">
        <f t="shared" si="37"/>
        <v>53.021096827639134</v>
      </c>
      <c r="BG52" s="20">
        <f t="shared" si="7"/>
        <v>466.75854497480481</v>
      </c>
      <c r="BH52" s="59">
        <f t="shared" si="8"/>
        <v>760.09187830813812</v>
      </c>
      <c r="BI52" s="59">
        <f ca="1">AVERAGE(OFFSET($BH$3,0,0,'Données projet'!$E$11+1,1))-AVERAGE(OFFSET($H$3,0,0,'Données projet'!$E$11+1,1))</f>
        <v>376.58419691967526</v>
      </c>
      <c r="BJ52" s="59">
        <f t="shared" si="38"/>
        <v>365.76175372075869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32.325487621898532</v>
      </c>
      <c r="BQ52" s="21">
        <f>EXP(-LN(2)/25)*BQ51+(1-EXP(-LN(2)/25))/(LN(2)/25)*Calculateur!BL52*Calculateur!BN52*VLOOKUP('Données projet'!$B$11,Paramètres!$A$1:$I$89,3,0)*0.475*44/12</f>
        <v>9.9591863859598995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42.284674007858428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233.26991999999993</v>
      </c>
      <c r="CA52" s="13">
        <f t="shared" si="39"/>
        <v>56.989132736134763</v>
      </c>
      <c r="CB52" s="20">
        <f t="shared" si="10"/>
        <v>505.53451684876785</v>
      </c>
      <c r="CC52" s="59">
        <f t="shared" si="11"/>
        <v>798.86785018210117</v>
      </c>
      <c r="CD52" s="59">
        <f ca="1">AVERAGE(OFFSET($CC$3,0,0,'Données projet'!$E$12+1,1))-AVERAGE(OFFSET($H$3,0,0,'Données projet'!$E$12+1,1))</f>
        <v>405.40026823646758</v>
      </c>
      <c r="CE52" s="59">
        <f t="shared" si="40"/>
        <v>393.0787141050053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43.233940149426893</v>
      </c>
      <c r="CL52" s="21">
        <f>EXP(-LN(2)/25)*CL51+(1-EXP(-LN(2)/25))/(LN(2)/25)*Calculateur!CG52*Calculateur!CI52*VLOOKUP('Données projet'!$B$12,Paramètres!$A$1:$I$89,3,0)*0.475*44/12</f>
        <v>13.319980604279868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56.553920753706763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8.1999999999999993</v>
      </c>
      <c r="CT52" s="12">
        <f>IF('Données projet'!$A$140&gt;35,CT51+CS52-DB51,IF(A52&lt;'Données projet'!$A$140,$CQ$205^A52,IF(A52='Données projet'!$A$140,'Données projet'!$B$140,CT51+CS52-DB51)))</f>
        <v>221.8000000000001</v>
      </c>
      <c r="CU52" s="17">
        <f>CT52*VLOOKUP('Données projet'!$B$13,Paramètres!$A$1:$I$89,3,0)*VLOOKUP('Données projet'!$B$13,Paramètres!$A$1:$I$89,5,0)</f>
        <v>193.76448000000011</v>
      </c>
      <c r="CV52" s="13">
        <f t="shared" si="41"/>
        <v>48.371273222646494</v>
      </c>
      <c r="CW52" s="20">
        <f t="shared" si="13"/>
        <v>421.71977019610949</v>
      </c>
      <c r="CX52" s="59">
        <f t="shared" si="14"/>
        <v>715.05310352944275</v>
      </c>
      <c r="CY52" s="59">
        <f ca="1">AVERAGE(OFFSET($CX$3,0,0,'Données projet'!$E$13+1,1))-AVERAGE(OFFSET($H$3,0,0,'Données projet'!$E$13+1,1))</f>
        <v>381.72225529388083</v>
      </c>
      <c r="CZ52" s="59">
        <f t="shared" si="42"/>
        <v>360.05900046417361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8.9123487273670836</v>
      </c>
      <c r="DG52" s="21">
        <f>EXP(-LN(2)/25)*DG51+(1-EXP(-LN(2)/25))/(LN(2)/25)*Calculateur!DB52*Calculateur!DD52*VLOOKUP('Données projet'!$B$13,Paramètres!$A$1:$I$89,3,0)*0.475*44/12</f>
        <v>16.835973729124586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25.748322456491671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8.8736263736263741</v>
      </c>
      <c r="DO52" s="12">
        <f>IF('Données projet'!$A$166&gt;35,DO51+DN52-DW51,IF(A52&lt;'Données projet'!$A$166,$DL$205^A52,IF(A52='Données projet'!$A$166,'Données projet'!$B$166,DO51+DN52-DW51)))</f>
        <v>145.20054945054954</v>
      </c>
      <c r="DP52" s="17">
        <f>DO52*VLOOKUP('Données projet'!$B$14,Paramètres!$A$1:$I$89,3,0)*VLOOKUP('Données projet'!$B$14,Paramètres!$A$1:$I$89,5,0)</f>
        <v>140.43797142857153</v>
      </c>
      <c r="DQ52" s="13">
        <f t="shared" si="43"/>
        <v>36.397320352581886</v>
      </c>
      <c r="DR52" s="20">
        <f t="shared" si="16"/>
        <v>307.98813318550884</v>
      </c>
      <c r="DS52" s="59">
        <f t="shared" si="17"/>
        <v>601.32146651884216</v>
      </c>
      <c r="DT52" s="59">
        <f ca="1">AVERAGE(OFFSET($DS$3,0,0,'Données projet'!$E$14+1,1))-AVERAGE(OFFSET($H$3,0,0,'Données projet'!$E$14+1,1))</f>
        <v>407.73540492005355</v>
      </c>
      <c r="DU52" s="59">
        <f t="shared" si="44"/>
        <v>296.29416764204774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10.375</v>
      </c>
      <c r="EJ52" s="12">
        <f>IF('Données projet'!$A$192&gt;35,EJ51+EI52-ER51,IF(A52&lt;'Données projet'!$A$192,$EG$205^A52,IF(A52='Données projet'!$A$192,'Données projet'!$B$192,EJ51+EI52-ER51)))</f>
        <v>238.87499999999997</v>
      </c>
      <c r="EK52" s="17">
        <f>EJ52*VLOOKUP('Données projet'!$B$15,Paramètres!$A$1:$I$89,3,0)*VLOOKUP('Données projet'!$B$15,Paramètres!$A$1:$I$89,5,0)</f>
        <v>186.32249999999999</v>
      </c>
      <c r="EL52" s="13">
        <f t="shared" si="45"/>
        <v>46.725987276254116</v>
      </c>
      <c r="EM52" s="20">
        <f t="shared" si="19"/>
        <v>405.89278200614257</v>
      </c>
      <c r="EN52" s="59">
        <f t="shared" si="20"/>
        <v>699.22611533947588</v>
      </c>
      <c r="EO52" s="59">
        <f ca="1">AVERAGE(OFFSET($EN$3,0,0,'Données projet'!$E$15+1,1))-AVERAGE(OFFSET($H$3,0,0,'Données projet'!$E$15+1,1))</f>
        <v>288.80569134263209</v>
      </c>
      <c r="EP52" s="59">
        <f t="shared" si="46"/>
        <v>283.48738729114024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11.659189252212689</v>
      </c>
      <c r="EW52" s="21">
        <f>EXP(-LN(2)/25)*EW51+(1-EXP(-LN(2)/25))/(LN(2)/25)*Calculateur!ER52*Calculateur!ET52*VLOOKUP('Données projet'!$B$15,Paramètres!$A$1:$I$89,3,0)*0.475*44/12</f>
        <v>17.110722963689199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28.76991221590189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599.11301458381627</v>
      </c>
      <c r="S53" s="59">
        <f ca="1">AVERAGE(OFFSET($R$3,0,0,'Données projet'!$E$9+1,1))-AVERAGE(OFFSET($H$3,0,0,'Données projet'!$E$9+1,1))</f>
        <v>384.05928630855732</v>
      </c>
      <c r="T53" s="59">
        <f t="shared" si="34"/>
        <v>279.93992813630513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9.8424908424908359</v>
      </c>
      <c r="AI53" s="13">
        <f>IF('Données projet'!$A$62&gt;35,AI52+AH53-AQ52,IF(A53&lt;'Données projet'!$A$62,$AF$205^A53,IF(A53='Données projet'!$A$62,'Données projet'!$B$62,AI52+AH53-AQ52)))</f>
        <v>177.15750915750908</v>
      </c>
      <c r="AJ53" s="13">
        <f>AI53*VLOOKUP('Données projet'!$B$10,Paramètres!$A$1:$I$89,3,0)*VLOOKUP('Données projet'!$B$10,Paramètres!$A$1:$I$89,5,0)</f>
        <v>149.23748571428567</v>
      </c>
      <c r="AK53" s="13">
        <f t="shared" si="35"/>
        <v>38.405250148938364</v>
      </c>
      <c r="AL53" s="20">
        <f t="shared" si="4"/>
        <v>326.81109829511519</v>
      </c>
      <c r="AM53" s="59">
        <f t="shared" si="5"/>
        <v>620.1444316284485</v>
      </c>
      <c r="AN53" s="59">
        <f ca="1">AVERAGE(OFFSET($AM$3,0,0,'Données projet'!$E$10+1,1))-AVERAGE(OFFSET($H$3,0,0,'Données projet'!$E$10+1,1))</f>
        <v>312.48716825299158</v>
      </c>
      <c r="AO53" s="59">
        <f t="shared" si="36"/>
        <v>258.68277822755357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222.15959999999995</v>
      </c>
      <c r="BF53" s="13">
        <f t="shared" si="37"/>
        <v>54.583996923291004</v>
      </c>
      <c r="BG53" s="20">
        <f t="shared" si="7"/>
        <v>481.99509797473166</v>
      </c>
      <c r="BH53" s="59">
        <f t="shared" si="8"/>
        <v>775.32843130806498</v>
      </c>
      <c r="BI53" s="59">
        <f ca="1">AVERAGE(OFFSET($BH$3,0,0,'Données projet'!$E$11+1,1))-AVERAGE(OFFSET($H$3,0,0,'Données projet'!$E$11+1,1))</f>
        <v>376.58419691967526</v>
      </c>
      <c r="BJ53" s="59">
        <f t="shared" si="38"/>
        <v>365.76175372075869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0.40849999999999997</v>
      </c>
      <c r="BN53" s="16">
        <f>IF(ISNA(VLOOKUP(A53,'Données projet'!$A$87:$I$107,6,0)),0%,VLOOKUP(A53,'Données projet'!$A$87:$I$107,6,0)*VLOOKUP('Données projet'!$B$11,Paramètres!$A$1:$I$89,7,0))</f>
        <v>2.1500000000000002E-2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38.644743699817425</v>
      </c>
      <c r="BQ53" s="21">
        <f>EXP(-LN(2)/25)*BQ52+(1-EXP(-LN(2)/25))/(LN(2)/25)*Calculateur!BL53*Calculateur!BN53*VLOOKUP('Données projet'!$B$11,Paramètres!$A$1:$I$89,3,0)*0.475*44/12</f>
        <v>10.051365700784112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48.696109400601536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241.06679999999997</v>
      </c>
      <c r="CA53" s="13">
        <f t="shared" si="39"/>
        <v>58.668998418543559</v>
      </c>
      <c r="CB53" s="20">
        <f t="shared" si="10"/>
        <v>522.03984891229663</v>
      </c>
      <c r="CC53" s="59">
        <f t="shared" si="11"/>
        <v>815.37318224563001</v>
      </c>
      <c r="CD53" s="59">
        <f ca="1">AVERAGE(OFFSET($CC$3,0,0,'Données projet'!$E$12+1,1))-AVERAGE(OFFSET($H$3,0,0,'Données projet'!$E$12+1,1))</f>
        <v>405.40026823646758</v>
      </c>
      <c r="CE53" s="59">
        <f t="shared" si="40"/>
        <v>393.0787141050053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0.50349999999999995</v>
      </c>
      <c r="CI53" s="16">
        <f>IF(ISNA(VLOOKUP(A53,'Données projet'!$A$113:$I$133,6,0)),0%,VLOOKUP(A53,'Données projet'!$A$113:$I$133,6,0)*VLOOKUP('Données projet'!$B$12,Paramètres!$A$1:$I$89,7,0))</f>
        <v>2.6500000000000003E-2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51.685671558934445</v>
      </c>
      <c r="CL53" s="21">
        <f>EXP(-LN(2)/25)*CL52+(1-EXP(-LN(2)/25))/(LN(2)/25)*Calculateur!CG53*Calculateur!CI53*VLOOKUP('Données projet'!$B$12,Paramètres!$A$1:$I$89,3,0)*0.475*44/12</f>
        <v>13.4432664469171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65.128938005851552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230</v>
      </c>
      <c r="CR53" s="12">
        <f>VLOOKUP(A53,'Données projet'!$A$139:$I$159,9,0)</f>
        <v>8.1999999999999993</v>
      </c>
      <c r="CS53" s="12">
        <f t="array" ref="CS53">INDEX(CR:CR,MIN(IF(ISNUMBER(CR53:CR249),ROW(CR53:CR249),"")))</f>
        <v>8.1999999999999993</v>
      </c>
      <c r="CT53" s="12">
        <f>IF('Données projet'!$A$140&gt;35,CT52+CS53-DB52,IF(A53&lt;'Données projet'!$A$140,$CQ$205^A53,IF(A53='Données projet'!$A$140,'Données projet'!$B$140,CT52+CS53-DB52)))</f>
        <v>230.00000000000009</v>
      </c>
      <c r="CU53" s="17">
        <f>CT53*VLOOKUP('Données projet'!$B$13,Paramètres!$A$1:$I$89,3,0)*VLOOKUP('Données projet'!$B$13,Paramètres!$A$1:$I$89,5,0)</f>
        <v>200.92800000000011</v>
      </c>
      <c r="CV53" s="13">
        <f t="shared" si="41"/>
        <v>49.948059057189084</v>
      </c>
      <c r="CW53" s="20">
        <f t="shared" si="13"/>
        <v>436.94246952460452</v>
      </c>
      <c r="CX53" s="59">
        <f t="shared" si="14"/>
        <v>730.27580285793783</v>
      </c>
      <c r="CY53" s="59">
        <f ca="1">AVERAGE(OFFSET($CX$3,0,0,'Données projet'!$E$13+1,1))-AVERAGE(OFFSET($H$3,0,0,'Données projet'!$E$13+1,1))</f>
        <v>381.72225529388083</v>
      </c>
      <c r="CZ53" s="59">
        <f t="shared" si="42"/>
        <v>360.05900046417361</v>
      </c>
      <c r="DA53" s="15">
        <f>IF(ISNA(VLOOKUP(A53,'Données projet'!$A$139:$I$159,3,0)),0,VLOOKUP(A53,'Données projet'!$A$139:$I$159,3,0))</f>
        <v>7</v>
      </c>
      <c r="DB53" s="15" t="str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0.17200000000000001</v>
      </c>
      <c r="DD53" s="16">
        <f>IF(ISNA(VLOOKUP(A53,'Données projet'!$A$139:$I$159,6,0)),0%,VLOOKUP(A53,'Données projet'!$A$139:$I$159,6,0)*VLOOKUP('Données projet'!$B$13,Paramètres!$A$1:$I$89,7,0))</f>
        <v>0.17200000000000001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13.38858166068427</v>
      </c>
      <c r="DG53" s="21">
        <f>EXP(-LN(2)/25)*DG52+(1-EXP(-LN(2)/25))/(LN(2)/25)*Calculateur!DB53*Calculateur!DD53*VLOOKUP('Données projet'!$B$13,Paramètres!$A$1:$I$89,3,0)*0.475*44/12</f>
        <v>21.008279044123622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34.396860704807892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8.8736263736263741</v>
      </c>
      <c r="DO53" s="12">
        <f>IF('Données projet'!$A$166&gt;35,DO52+DN53-DW52,IF(A53&lt;'Données projet'!$A$166,$DL$205^A53,IF(A53='Données projet'!$A$166,'Données projet'!$B$166,DO52+DN53-DW52)))</f>
        <v>154.07417582417591</v>
      </c>
      <c r="DP53" s="17">
        <f>DO53*VLOOKUP('Données projet'!$B$14,Paramètres!$A$1:$I$89,3,0)*VLOOKUP('Données projet'!$B$14,Paramètres!$A$1:$I$89,5,0)</f>
        <v>149.02054285714294</v>
      </c>
      <c r="DQ53" s="13">
        <f t="shared" si="43"/>
        <v>38.355915675338331</v>
      </c>
      <c r="DR53" s="20">
        <f t="shared" si="16"/>
        <v>326.34733194407158</v>
      </c>
      <c r="DS53" s="59">
        <f t="shared" si="17"/>
        <v>619.68066527740484</v>
      </c>
      <c r="DT53" s="59">
        <f ca="1">AVERAGE(OFFSET($DS$3,0,0,'Données projet'!$E$14+1,1))-AVERAGE(OFFSET($H$3,0,0,'Données projet'!$E$14+1,1))</f>
        <v>407.73540492005355</v>
      </c>
      <c r="DU53" s="59">
        <f t="shared" si="44"/>
        <v>296.29416764204774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10.375</v>
      </c>
      <c r="EJ53" s="12">
        <f>IF('Données projet'!$A$192&gt;35,EJ52+EI53-ER52,IF(A53&lt;'Données projet'!$A$192,$EG$205^A53,IF(A53='Données projet'!$A$192,'Données projet'!$B$192,EJ52+EI53-ER52)))</f>
        <v>249.24999999999997</v>
      </c>
      <c r="EK53" s="17">
        <f>EJ53*VLOOKUP('Données projet'!$B$15,Paramètres!$A$1:$I$89,3,0)*VLOOKUP('Données projet'!$B$15,Paramètres!$A$1:$I$89,5,0)</f>
        <v>194.41499999999999</v>
      </c>
      <c r="EL53" s="13">
        <f t="shared" si="45"/>
        <v>48.514737888684969</v>
      </c>
      <c r="EM53" s="20">
        <f t="shared" si="19"/>
        <v>423.10262682279296</v>
      </c>
      <c r="EN53" s="59">
        <f t="shared" si="20"/>
        <v>716.43596015612627</v>
      </c>
      <c r="EO53" s="59">
        <f ca="1">AVERAGE(OFFSET($EN$3,0,0,'Données projet'!$E$15+1,1))-AVERAGE(OFFSET($H$3,0,0,'Données projet'!$E$15+1,1))</f>
        <v>288.80569134263209</v>
      </c>
      <c r="EP53" s="59">
        <f t="shared" si="46"/>
        <v>283.48738729114024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11.43055966238005</v>
      </c>
      <c r="EW53" s="21">
        <f>EXP(-LN(2)/25)*EW52+(1-EXP(-LN(2)/25))/(LN(2)/25)*Calculateur!ER53*Calculateur!ET53*VLOOKUP('Données projet'!$B$15,Paramètres!$A$1:$I$89,3,0)*0.475*44/12</f>
        <v>16.642829344433302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28.07338900681335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616.29111765370533</v>
      </c>
      <c r="S54" s="59">
        <f ca="1">AVERAGE(OFFSET($R$3,0,0,'Données projet'!$E$9+1,1))-AVERAGE(OFFSET($H$3,0,0,'Données projet'!$E$9+1,1))</f>
        <v>384.05928630855732</v>
      </c>
      <c r="T54" s="59">
        <f t="shared" si="34"/>
        <v>279.93992813630513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186.99999999999997</v>
      </c>
      <c r="AG54" s="12">
        <f>VLOOKUP(A54,'Données projet'!$A$61:$I$81,9,0)</f>
        <v>9.8424908424908359</v>
      </c>
      <c r="AH54" s="12">
        <f t="array" ref="AH54">INDEX(AG:AG,MIN(IF(ISNUMBER(AG54:AG250),ROW(AG54:AG250),"")))</f>
        <v>9.8424908424908359</v>
      </c>
      <c r="AI54" s="13">
        <f>IF('Données projet'!$A$62&gt;35,AI53+AH54-AQ53,IF(A54&lt;'Données projet'!$A$62,$AF$205^A54,IF(A54='Données projet'!$A$62,'Données projet'!$B$62,AI53+AH54-AQ53)))</f>
        <v>186.99999999999991</v>
      </c>
      <c r="AJ54" s="13">
        <f>AI54*VLOOKUP('Données projet'!$B$10,Paramètres!$A$1:$I$89,3,0)*VLOOKUP('Données projet'!$B$10,Paramètres!$A$1:$I$89,5,0)</f>
        <v>157.52879999999993</v>
      </c>
      <c r="AK54" s="13">
        <f t="shared" si="35"/>
        <v>40.284625411478977</v>
      </c>
      <c r="AL54" s="20">
        <f t="shared" si="4"/>
        <v>344.52504925832574</v>
      </c>
      <c r="AM54" s="59">
        <f t="shared" si="5"/>
        <v>637.85838259165905</v>
      </c>
      <c r="AN54" s="59">
        <f ca="1">AVERAGE(OFFSET($AM$3,0,0,'Données projet'!$E$10+1,1))-AVERAGE(OFFSET($H$3,0,0,'Données projet'!$E$10+1,1))</f>
        <v>312.48716825299158</v>
      </c>
      <c r="AO54" s="59">
        <f t="shared" si="36"/>
        <v>258.68277822755357</v>
      </c>
      <c r="AP54" s="15">
        <f>IF(ISNA(VLOOKUP(A54,'Données projet'!$A$61:$I$81,3,0)),0,VLOOKUP(A54,'Données projet'!$A$61:$I$81,3,0))</f>
        <v>4</v>
      </c>
      <c r="AQ54" s="15">
        <f>IF(ISNA(VLOOKUP(A54,'Données projet'!$A$61:$I$81,4,0)),0,VLOOKUP(A54,'Données projet'!$A$61:$I$81,4,0))</f>
        <v>39.756410256410255</v>
      </c>
      <c r="AR54" s="16">
        <f>IF(ISNA(VLOOKUP(A54,'Données projet'!$A$61:$I$81,5,0)),0%,VLOOKUP(A54,'Données projet'!$A$61:$I$81,5,0)*VLOOKUP('Données projet'!$B$10,Paramètres!$A$1:$I$89,7,0))</f>
        <v>0.30099999999999999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11.143949303445501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11.143949303445501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212.92127999999991</v>
      </c>
      <c r="BF54" s="13">
        <f t="shared" si="37"/>
        <v>52.57344469809297</v>
      </c>
      <c r="BG54" s="20">
        <f t="shared" si="7"/>
        <v>462.4033121825118</v>
      </c>
      <c r="BH54" s="59">
        <f t="shared" si="8"/>
        <v>755.73664551584511</v>
      </c>
      <c r="BI54" s="59">
        <f ca="1">AVERAGE(OFFSET($BH$3,0,0,'Données projet'!$E$11+1,1))-AVERAGE(OFFSET($H$3,0,0,'Données projet'!$E$11+1,1))</f>
        <v>376.58419691967526</v>
      </c>
      <c r="BJ54" s="59">
        <f t="shared" si="38"/>
        <v>365.76175372075869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37.886943846830221</v>
      </c>
      <c r="BQ54" s="21">
        <f>EXP(-LN(2)/25)*BQ53+(1-EXP(-LN(2)/25))/(LN(2)/25)*Calculateur!BL54*Calculateur!BN54*VLOOKUP('Données projet'!$B$11,Paramètres!$A$1:$I$89,3,0)*0.475*44/12</f>
        <v>9.776510577117822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47.663454423948039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231.04223999999994</v>
      </c>
      <c r="CA54" s="13">
        <f t="shared" si="39"/>
        <v>56.507978852931409</v>
      </c>
      <c r="CB54" s="20">
        <f t="shared" si="10"/>
        <v>500.81663116885539</v>
      </c>
      <c r="CC54" s="59">
        <f t="shared" si="11"/>
        <v>794.14996450218871</v>
      </c>
      <c r="CD54" s="59">
        <f ca="1">AVERAGE(OFFSET($CC$3,0,0,'Données projet'!$E$12+1,1))-AVERAGE(OFFSET($H$3,0,0,'Données projet'!$E$12+1,1))</f>
        <v>405.40026823646758</v>
      </c>
      <c r="CE54" s="59">
        <f t="shared" si="40"/>
        <v>393.0787141050053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50.672147064810538</v>
      </c>
      <c r="CL54" s="21">
        <f>EXP(-LN(2)/25)*CL53+(1-EXP(-LN(2)/25))/(LN(2)/25)*Calculateur!CG54*Calculateur!CI54*VLOOKUP('Données projet'!$B$12,Paramètres!$A$1:$I$89,3,0)*0.475*44/12</f>
        <v>13.075659618975495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63.747806683786031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209.40000000000009</v>
      </c>
      <c r="CU54" s="17">
        <f>CT54*VLOOKUP('Données projet'!$B$13,Paramètres!$A$1:$I$89,3,0)*VLOOKUP('Données projet'!$B$13,Paramètres!$A$1:$I$89,5,0)</f>
        <v>182.93184000000011</v>
      </c>
      <c r="CV54" s="13">
        <f t="shared" si="41"/>
        <v>45.973851929814685</v>
      </c>
      <c r="CW54" s="20">
        <f t="shared" si="13"/>
        <v>398.67741344442743</v>
      </c>
      <c r="CX54" s="59">
        <f t="shared" si="14"/>
        <v>692.01074677776069</v>
      </c>
      <c r="CY54" s="59">
        <f ca="1">AVERAGE(OFFSET($CX$3,0,0,'Données projet'!$E$13+1,1))-AVERAGE(OFFSET($H$3,0,0,'Données projet'!$E$13+1,1))</f>
        <v>381.72225529388083</v>
      </c>
      <c r="CZ54" s="59">
        <f t="shared" si="42"/>
        <v>360.05900046417361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13.126039740546716</v>
      </c>
      <c r="DG54" s="21">
        <f>EXP(-LN(2)/25)*DG53+(1-EXP(-LN(2)/25))/(LN(2)/25)*Calculateur!DB54*Calculateur!DD54*VLOOKUP('Données projet'!$B$13,Paramètres!$A$1:$I$89,3,0)*0.475*44/12</f>
        <v>20.433806548884682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33.559846289431398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8.8736263736263741</v>
      </c>
      <c r="DO54" s="12">
        <f>IF('Données projet'!$A$166&gt;35,DO53+DN54-DW53,IF(A54&lt;'Données projet'!$A$166,$DL$205^A54,IF(A54='Données projet'!$A$166,'Données projet'!$B$166,DO53+DN54-DW53)))</f>
        <v>162.94780219780228</v>
      </c>
      <c r="DP54" s="17">
        <f>DO54*VLOOKUP('Données projet'!$B$14,Paramètres!$A$1:$I$89,3,0)*VLOOKUP('Données projet'!$B$14,Paramètres!$A$1:$I$89,5,0)</f>
        <v>157.60311428571435</v>
      </c>
      <c r="DQ54" s="13">
        <f t="shared" si="43"/>
        <v>40.301417142080439</v>
      </c>
      <c r="DR54" s="20">
        <f t="shared" si="16"/>
        <v>344.68372557007592</v>
      </c>
      <c r="DS54" s="59">
        <f t="shared" si="17"/>
        <v>638.01705890340918</v>
      </c>
      <c r="DT54" s="59">
        <f ca="1">AVERAGE(OFFSET($DS$3,0,0,'Données projet'!$E$14+1,1))-AVERAGE(OFFSET($H$3,0,0,'Données projet'!$E$14+1,1))</f>
        <v>407.73540492005355</v>
      </c>
      <c r="DU54" s="59">
        <f t="shared" si="44"/>
        <v>296.29416764204774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10.375</v>
      </c>
      <c r="EJ54" s="12">
        <f>IF('Données projet'!$A$192&gt;35,EJ53+EI54-ER53,IF(A54&lt;'Données projet'!$A$192,$EG$205^A54,IF(A54='Données projet'!$A$192,'Données projet'!$B$192,EJ53+EI54-ER53)))</f>
        <v>259.625</v>
      </c>
      <c r="EK54" s="17">
        <f>EJ54*VLOOKUP('Données projet'!$B$15,Paramètres!$A$1:$I$89,3,0)*VLOOKUP('Données projet'!$B$15,Paramètres!$A$1:$I$89,5,0)</f>
        <v>202.50749999999999</v>
      </c>
      <c r="EL54" s="13">
        <f t="shared" si="45"/>
        <v>50.294840086606349</v>
      </c>
      <c r="EM54" s="20">
        <f t="shared" si="19"/>
        <v>440.29740898417271</v>
      </c>
      <c r="EN54" s="59">
        <f t="shared" si="20"/>
        <v>733.63074231750602</v>
      </c>
      <c r="EO54" s="59">
        <f ca="1">AVERAGE(OFFSET($EN$3,0,0,'Données projet'!$E$15+1,1))-AVERAGE(OFFSET($H$3,0,0,'Données projet'!$E$15+1,1))</f>
        <v>288.80569134263209</v>
      </c>
      <c r="EP54" s="59">
        <f t="shared" si="46"/>
        <v>283.48738729114024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11.206413359353748</v>
      </c>
      <c r="EW54" s="21">
        <f>EXP(-LN(2)/25)*EW53+(1-EXP(-LN(2)/25))/(LN(2)/25)*Calculateur!ER54*Calculateur!ET54*VLOOKUP('Données projet'!$B$15,Paramètres!$A$1:$I$89,3,0)*0.475*44/12</f>
        <v>16.187730300801416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27.394143660155166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384.05928630855732</v>
      </c>
      <c r="T55" s="59">
        <f t="shared" si="34"/>
        <v>279.93992813630513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9.6987179487179525</v>
      </c>
      <c r="AI55" s="13">
        <f>IF('Données projet'!$A$62&gt;35,AI54+AH55-AQ54,IF(A55&lt;'Données projet'!$A$62,$AF$205^A55,IF(A55='Données projet'!$A$62,'Données projet'!$B$62,AI54+AH55-AQ54)))</f>
        <v>156.94230769230762</v>
      </c>
      <c r="AJ55" s="13">
        <f>AI55*VLOOKUP('Données projet'!$B$10,Paramètres!$A$1:$I$89,3,0)*VLOOKUP('Données projet'!$B$10,Paramètres!$A$1:$I$89,5,0)</f>
        <v>132.20819999999995</v>
      </c>
      <c r="AK55" s="13">
        <f t="shared" si="35"/>
        <v>34.506108247856503</v>
      </c>
      <c r="AL55" s="20">
        <f t="shared" si="4"/>
        <v>290.36075353168332</v>
      </c>
      <c r="AM55" s="59">
        <f t="shared" si="5"/>
        <v>583.69408686501663</v>
      </c>
      <c r="AN55" s="59">
        <f ca="1">AVERAGE(OFFSET($AM$3,0,0,'Données projet'!$E$10+1,1))-AVERAGE(OFFSET($H$3,0,0,'Données projet'!$E$10+1,1))</f>
        <v>312.48716825299158</v>
      </c>
      <c r="AO55" s="59">
        <f t="shared" si="36"/>
        <v>258.68277822755357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10.925423254742848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10.925423254742848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219.08015999999992</v>
      </c>
      <c r="BF55" s="13">
        <f t="shared" si="37"/>
        <v>53.914914316401685</v>
      </c>
      <c r="BG55" s="20">
        <f t="shared" si="7"/>
        <v>475.46642110106609</v>
      </c>
      <c r="BH55" s="59">
        <f t="shared" si="8"/>
        <v>768.79975443439935</v>
      </c>
      <c r="BI55" s="59">
        <f ca="1">AVERAGE(OFFSET($BH$3,0,0,'Données projet'!$E$11+1,1))-AVERAGE(OFFSET($H$3,0,0,'Données projet'!$E$11+1,1))</f>
        <v>376.58419691967526</v>
      </c>
      <c r="BJ55" s="59">
        <f t="shared" si="38"/>
        <v>365.76175372075869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37.144003986747826</v>
      </c>
      <c r="BQ55" s="21">
        <f>EXP(-LN(2)/25)*BQ54+(1-EXP(-LN(2)/25))/(LN(2)/25)*Calculateur!BL55*Calculateur!BN55*VLOOKUP('Données projet'!$B$11,Paramètres!$A$1:$I$89,3,0)*0.475*44/12</f>
        <v>9.5091713812621883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46.653175368010011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237.72527999999994</v>
      </c>
      <c r="CA55" s="13">
        <f t="shared" si="39"/>
        <v>57.949842464086196</v>
      </c>
      <c r="CB55" s="20">
        <f t="shared" si="10"/>
        <v>514.96750495828326</v>
      </c>
      <c r="CC55" s="59">
        <f t="shared" si="11"/>
        <v>808.30083829161663</v>
      </c>
      <c r="CD55" s="59">
        <f ca="1">AVERAGE(OFFSET($CC$3,0,0,'Données projet'!$E$12+1,1))-AVERAGE(OFFSET($H$3,0,0,'Données projet'!$E$12+1,1))</f>
        <v>405.40026823646758</v>
      </c>
      <c r="CE55" s="59">
        <f t="shared" si="40"/>
        <v>393.0787141050053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49.678497167827501</v>
      </c>
      <c r="CL55" s="21">
        <f>EXP(-LN(2)/25)*CL54+(1-EXP(-LN(2)/25))/(LN(2)/25)*Calculateur!CG55*Calculateur!CI55*VLOOKUP('Données projet'!$B$12,Paramètres!$A$1:$I$89,3,0)*0.475*44/12</f>
        <v>12.718105019075555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62.396602186903053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216.8000000000001</v>
      </c>
      <c r="CU55" s="17">
        <f>CT55*VLOOKUP('Données projet'!$B$13,Paramètres!$A$1:$I$89,3,0)*VLOOKUP('Données projet'!$B$13,Paramètres!$A$1:$I$89,5,0)</f>
        <v>189.39648000000011</v>
      </c>
      <c r="CV55" s="13">
        <f t="shared" si="41"/>
        <v>47.406498452084548</v>
      </c>
      <c r="CW55" s="20">
        <f t="shared" si="13"/>
        <v>412.43185413738075</v>
      </c>
      <c r="CX55" s="59">
        <f t="shared" si="14"/>
        <v>705.76518747071407</v>
      </c>
      <c r="CY55" s="59">
        <f ca="1">AVERAGE(OFFSET($CX$3,0,0,'Données projet'!$E$13+1,1))-AVERAGE(OFFSET($H$3,0,0,'Données projet'!$E$13+1,1))</f>
        <v>381.72225529388083</v>
      </c>
      <c r="CZ55" s="59">
        <f t="shared" si="42"/>
        <v>360.05900046417361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12.868646107328301</v>
      </c>
      <c r="DG55" s="21">
        <f>EXP(-LN(2)/25)*DG54+(1-EXP(-LN(2)/25))/(LN(2)/25)*Calculateur!DB55*Calculateur!DD55*VLOOKUP('Données projet'!$B$13,Paramètres!$A$1:$I$89,3,0)*0.475*44/12</f>
        <v>19.875043034238246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32.743689141566549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8.8736263736263741</v>
      </c>
      <c r="DO55" s="12">
        <f>IF('Données projet'!$A$166&gt;35,DO54+DN55-DW54,IF(A55&lt;'Données projet'!$A$166,$DL$205^A55,IF(A55='Données projet'!$A$166,'Données projet'!$B$166,DO54+DN55-DW54)))</f>
        <v>171.82142857142864</v>
      </c>
      <c r="DP55" s="17">
        <f>DO55*VLOOKUP('Données projet'!$B$14,Paramètres!$A$1:$I$89,3,0)*VLOOKUP('Données projet'!$B$14,Paramètres!$A$1:$I$89,5,0)</f>
        <v>166.1856857142858</v>
      </c>
      <c r="DQ55" s="13">
        <f t="shared" si="43"/>
        <v>42.234619090534999</v>
      </c>
      <c r="DR55" s="20">
        <f t="shared" si="16"/>
        <v>362.99869753506283</v>
      </c>
      <c r="DS55" s="59">
        <f t="shared" si="17"/>
        <v>656.33203086839615</v>
      </c>
      <c r="DT55" s="59">
        <f ca="1">AVERAGE(OFFSET($DS$3,0,0,'Données projet'!$E$14+1,1))-AVERAGE(OFFSET($H$3,0,0,'Données projet'!$E$14+1,1))</f>
        <v>407.73540492005355</v>
      </c>
      <c r="DU55" s="59">
        <f t="shared" si="44"/>
        <v>296.29416764204774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270</v>
      </c>
      <c r="EH55" s="12">
        <f>VLOOKUP(A55,'Données projet'!$A$191:$I$211,9,0)</f>
        <v>10.375</v>
      </c>
      <c r="EI55" s="12">
        <f t="array" ref="EI55">INDEX(EH:EH,MIN(IF(ISNUMBER(EH55:EH251),ROW(EH55:EH251),"")))</f>
        <v>10.375</v>
      </c>
      <c r="EJ55" s="12">
        <f>IF('Données projet'!$A$192&gt;35,EJ54+EI55-ER54,IF(A55&lt;'Données projet'!$A$192,$EG$205^A55,IF(A55='Données projet'!$A$192,'Données projet'!$B$192,EJ54+EI55-ER54)))</f>
        <v>270</v>
      </c>
      <c r="EK55" s="17">
        <f>EJ55*VLOOKUP('Données projet'!$B$15,Paramètres!$A$1:$I$89,3,0)*VLOOKUP('Données projet'!$B$15,Paramètres!$A$1:$I$89,5,0)</f>
        <v>210.6</v>
      </c>
      <c r="EL55" s="13">
        <f t="shared" si="45"/>
        <v>52.066679014659961</v>
      </c>
      <c r="EM55" s="20">
        <f t="shared" si="19"/>
        <v>457.47779928386609</v>
      </c>
      <c r="EN55" s="59">
        <f t="shared" si="20"/>
        <v>750.81113261719941</v>
      </c>
      <c r="EO55" s="59">
        <f ca="1">AVERAGE(OFFSET($EN$3,0,0,'Données projet'!$E$15+1,1))-AVERAGE(OFFSET($H$3,0,0,'Données projet'!$E$15+1,1))</f>
        <v>288.80569134263209</v>
      </c>
      <c r="EP55" s="59">
        <f t="shared" si="46"/>
        <v>283.48738729114024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49</v>
      </c>
      <c r="ES55" s="16">
        <f>IF(ISNA(VLOOKUP(A55,'Données projet'!$A$191:$I$211,5,0)),0%,VLOOKUP(A55,'Données projet'!$A$191:$I$211,5,0)*VLOOKUP('Données projet'!$B$15,Paramètres!$A$1:$I$89,7,0))</f>
        <v>0.17200000000000001</v>
      </c>
      <c r="ET55" s="16">
        <f>IF(ISNA(VLOOKUP(A55,'Données projet'!$A$191:$I$211,6,0)),0%,VLOOKUP(A55,'Données projet'!$A$191:$I$211,6,0)*VLOOKUP('Données projet'!$B$15,Paramètres!$A$1:$I$89,7,0))</f>
        <v>0.17200000000000001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18.253847828402936</v>
      </c>
      <c r="EW55" s="21">
        <f>EXP(-LN(2)/25)*EW54+(1-EXP(-LN(2)/25))/(LN(2)/25)*Calculateur!ER55*Calculateur!ET55*VLOOKUP('Données projet'!$B$15,Paramètres!$A$1:$I$89,3,0)*0.475*44/12</f>
        <v>22.983647686305456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41.237495514708392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650.58789839905899</v>
      </c>
      <c r="S56" s="59">
        <f ca="1">AVERAGE(OFFSET($R$3,0,0,'Données projet'!$E$9+1,1))-AVERAGE(OFFSET($H$3,0,0,'Données projet'!$E$9+1,1))</f>
        <v>384.05928630855732</v>
      </c>
      <c r="T56" s="59">
        <f t="shared" si="34"/>
        <v>279.93992813630513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9.6987179487179525</v>
      </c>
      <c r="AI56" s="13">
        <f>IF('Données projet'!$A$62&gt;35,AI55+AH56-AQ55,IF(A56&lt;'Données projet'!$A$62,$AF$205^A56,IF(A56='Données projet'!$A$62,'Données projet'!$B$62,AI55+AH56-AQ55)))</f>
        <v>166.64102564102558</v>
      </c>
      <c r="AJ56" s="13">
        <f>AI56*VLOOKUP('Données projet'!$B$10,Paramètres!$A$1:$I$89,3,0)*VLOOKUP('Données projet'!$B$10,Paramètres!$A$1:$I$89,5,0)</f>
        <v>140.37839999999994</v>
      </c>
      <c r="AK56" s="13">
        <f t="shared" si="35"/>
        <v>36.383677998764099</v>
      </c>
      <c r="AL56" s="20">
        <f t="shared" si="4"/>
        <v>307.86061918118065</v>
      </c>
      <c r="AM56" s="59">
        <f t="shared" si="5"/>
        <v>601.19395251451397</v>
      </c>
      <c r="AN56" s="59">
        <f ca="1">AVERAGE(OFFSET($AM$3,0,0,'Données projet'!$E$10+1,1))-AVERAGE(OFFSET($H$3,0,0,'Données projet'!$E$10+1,1))</f>
        <v>312.48716825299158</v>
      </c>
      <c r="AO56" s="59">
        <f t="shared" si="36"/>
        <v>258.68277822755357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10.711182368567526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10.711182368567526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225.2390399999999</v>
      </c>
      <c r="BF56" s="13">
        <f t="shared" si="37"/>
        <v>55.252000822487368</v>
      </c>
      <c r="BG56" s="20">
        <f t="shared" si="7"/>
        <v>488.5218960991653</v>
      </c>
      <c r="BH56" s="59">
        <f t="shared" si="8"/>
        <v>781.85522943249862</v>
      </c>
      <c r="BI56" s="59">
        <f ca="1">AVERAGE(OFFSET($BH$3,0,0,'Données projet'!$E$11+1,1))-AVERAGE(OFFSET($H$3,0,0,'Données projet'!$E$11+1,1))</f>
        <v>376.58419691967526</v>
      </c>
      <c r="BJ56" s="59">
        <f t="shared" si="38"/>
        <v>365.76175372075869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36.415632724173079</v>
      </c>
      <c r="BQ56" s="21">
        <f>EXP(-LN(2)/25)*BQ55+(1-EXP(-LN(2)/25))/(LN(2)/25)*Calculateur!BL56*Calculateur!BN56*VLOOKUP('Données projet'!$B$11,Paramètres!$A$1:$I$89,3,0)*0.475*44/12</f>
        <v>9.2491425897759836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45.664775313949065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244.40831999999992</v>
      </c>
      <c r="CA56" s="13">
        <f t="shared" si="39"/>
        <v>59.38699493610541</v>
      </c>
      <c r="CB56" s="20">
        <f t="shared" si="10"/>
        <v>529.11017351371675</v>
      </c>
      <c r="CC56" s="59">
        <f t="shared" si="11"/>
        <v>822.44350684705</v>
      </c>
      <c r="CD56" s="59">
        <f ca="1">AVERAGE(OFFSET($CC$3,0,0,'Données projet'!$E$12+1,1))-AVERAGE(OFFSET($H$3,0,0,'Données projet'!$E$12+1,1))</f>
        <v>405.40026823646758</v>
      </c>
      <c r="CE56" s="59">
        <f t="shared" si="40"/>
        <v>393.0787141050053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48.704332139257708</v>
      </c>
      <c r="CL56" s="21">
        <f>EXP(-LN(2)/25)*CL55+(1-EXP(-LN(2)/25))/(LN(2)/25)*Calculateur!CG56*Calculateur!CI56*VLOOKUP('Données projet'!$B$12,Paramètres!$A$1:$I$89,3,0)*0.475*44/12</f>
        <v>12.370327768512858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61.074659907770567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224.2000000000001</v>
      </c>
      <c r="CU56" s="17">
        <f>CT56*VLOOKUP('Données projet'!$B$13,Paramètres!$A$1:$I$89,3,0)*VLOOKUP('Données projet'!$B$13,Paramètres!$A$1:$I$89,5,0)</f>
        <v>195.86112000000011</v>
      </c>
      <c r="CV56" s="13">
        <f t="shared" si="41"/>
        <v>48.833463106716465</v>
      </c>
      <c r="CW56" s="20">
        <f t="shared" si="13"/>
        <v>426.17639891086469</v>
      </c>
      <c r="CX56" s="59">
        <f t="shared" si="14"/>
        <v>719.50973224419795</v>
      </c>
      <c r="CY56" s="59">
        <f ca="1">AVERAGE(OFFSET($CX$3,0,0,'Données projet'!$E$13+1,1))-AVERAGE(OFFSET($H$3,0,0,'Données projet'!$E$13+1,1))</f>
        <v>381.72225529388083</v>
      </c>
      <c r="CZ56" s="59">
        <f t="shared" si="42"/>
        <v>360.05900046417361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12.616299806262685</v>
      </c>
      <c r="DG56" s="21">
        <f>EXP(-LN(2)/25)*DG55+(1-EXP(-LN(2)/25))/(LN(2)/25)*Calculateur!DB56*Calculateur!DD56*VLOOKUP('Données projet'!$B$13,Paramètres!$A$1:$I$89,3,0)*0.475*44/12</f>
        <v>19.331558937283912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31.947858743546597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8.8736263736263741</v>
      </c>
      <c r="DO56" s="12">
        <f>IF('Données projet'!$A$166&gt;35,DO55+DN56-DW55,IF(A56&lt;'Données projet'!$A$166,$DL$205^A56,IF(A56='Données projet'!$A$166,'Données projet'!$B$166,DO55+DN56-DW55)))</f>
        <v>180.69505494505501</v>
      </c>
      <c r="DP56" s="17">
        <f>DO56*VLOOKUP('Données projet'!$B$14,Paramètres!$A$1:$I$89,3,0)*VLOOKUP('Données projet'!$B$14,Paramètres!$A$1:$I$89,5,0)</f>
        <v>174.76825714285721</v>
      </c>
      <c r="DQ56" s="13">
        <f t="shared" si="43"/>
        <v>44.156229177957442</v>
      </c>
      <c r="DR56" s="20">
        <f t="shared" si="16"/>
        <v>381.2934803420855</v>
      </c>
      <c r="DS56" s="59">
        <f t="shared" si="17"/>
        <v>674.62681367541882</v>
      </c>
      <c r="DT56" s="59">
        <f ca="1">AVERAGE(OFFSET($DS$3,0,0,'Données projet'!$E$14+1,1))-AVERAGE(OFFSET($H$3,0,0,'Données projet'!$E$14+1,1))</f>
        <v>407.73540492005355</v>
      </c>
      <c r="DU56" s="59">
        <f t="shared" si="44"/>
        <v>296.29416764204774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9.5</v>
      </c>
      <c r="EJ56" s="12">
        <f>IF('Données projet'!$A$192&gt;35,EJ55+EI56-ER55,IF(A56&lt;'Données projet'!$A$192,$EG$205^A56,IF(A56='Données projet'!$A$192,'Données projet'!$B$192,EJ55+EI56-ER55)))</f>
        <v>230.5</v>
      </c>
      <c r="EK56" s="17">
        <f>EJ56*VLOOKUP('Données projet'!$B$15,Paramètres!$A$1:$I$89,3,0)*VLOOKUP('Données projet'!$B$15,Paramètres!$A$1:$I$89,5,0)</f>
        <v>179.79</v>
      </c>
      <c r="EL56" s="13">
        <f t="shared" si="45"/>
        <v>45.275461861841535</v>
      </c>
      <c r="EM56" s="20">
        <f t="shared" si="19"/>
        <v>391.9890127427073</v>
      </c>
      <c r="EN56" s="59">
        <f t="shared" si="20"/>
        <v>685.32234607604062</v>
      </c>
      <c r="EO56" s="59">
        <f ca="1">AVERAGE(OFFSET($EN$3,0,0,'Données projet'!$E$15+1,1))-AVERAGE(OFFSET($H$3,0,0,'Données projet'!$E$15+1,1))</f>
        <v>288.80569134263209</v>
      </c>
      <c r="EP56" s="59">
        <f t="shared" si="46"/>
        <v>283.48738729114024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17.895901006235764</v>
      </c>
      <c r="EW56" s="21">
        <f>EXP(-LN(2)/25)*EW55+(1-EXP(-LN(2)/25))/(LN(2)/25)*Calculateur!ER56*Calculateur!ET56*VLOOKUP('Données projet'!$B$15,Paramètres!$A$1:$I$89,3,0)*0.475*44/12</f>
        <v>22.355158631665933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40.251059637901697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667.7087794462318</v>
      </c>
      <c r="S57" s="59">
        <f ca="1">AVERAGE(OFFSET($R$3,0,0,'Données projet'!$E$9+1,1))-AVERAGE(OFFSET($H$3,0,0,'Données projet'!$E$9+1,1))</f>
        <v>384.05928630855732</v>
      </c>
      <c r="T57" s="59">
        <f t="shared" si="34"/>
        <v>279.93992813630513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9.6987179487179525</v>
      </c>
      <c r="AI57" s="13">
        <f>IF('Données projet'!$A$62&gt;35,AI56+AH57-AQ56,IF(A57&lt;'Données projet'!$A$62,$AF$205^A57,IF(A57='Données projet'!$A$62,'Données projet'!$B$62,AI56+AH57-AQ56)))</f>
        <v>176.33974358974353</v>
      </c>
      <c r="AJ57" s="13">
        <f>AI57*VLOOKUP('Données projet'!$B$10,Paramètres!$A$1:$I$89,3,0)*VLOOKUP('Données projet'!$B$10,Paramètres!$A$1:$I$89,5,0)</f>
        <v>148.54859999999996</v>
      </c>
      <c r="AK57" s="13">
        <f t="shared" si="35"/>
        <v>38.248563345613874</v>
      </c>
      <c r="AL57" s="20">
        <f t="shared" si="4"/>
        <v>325.33839282694413</v>
      </c>
      <c r="AM57" s="59">
        <f t="shared" si="5"/>
        <v>618.67172616027744</v>
      </c>
      <c r="AN57" s="59">
        <f ca="1">AVERAGE(OFFSET($AM$3,0,0,'Données projet'!$E$10+1,1))-AVERAGE(OFFSET($H$3,0,0,'Données projet'!$E$10+1,1))</f>
        <v>312.48716825299158</v>
      </c>
      <c r="AO57" s="59">
        <f t="shared" si="36"/>
        <v>258.68277822755357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10.501142615496065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10.501142615496065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231.39791999999986</v>
      </c>
      <c r="BF57" s="13">
        <f t="shared" si="37"/>
        <v>56.584837838715806</v>
      </c>
      <c r="BG57" s="20">
        <f t="shared" si="7"/>
        <v>501.5699699024297</v>
      </c>
      <c r="BH57" s="59">
        <f t="shared" si="8"/>
        <v>794.90330323576302</v>
      </c>
      <c r="BI57" s="59">
        <f ca="1">AVERAGE(OFFSET($BH$3,0,0,'Données projet'!$E$11+1,1))-AVERAGE(OFFSET($H$3,0,0,'Données projet'!$E$11+1,1))</f>
        <v>376.58419691967526</v>
      </c>
      <c r="BJ57" s="59">
        <f t="shared" si="38"/>
        <v>365.76175372075869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35.701544377794818</v>
      </c>
      <c r="BQ57" s="21">
        <f>EXP(-LN(2)/25)*BQ56+(1-EXP(-LN(2)/25))/(LN(2)/25)*Calculateur!BL57*Calculateur!BN57*VLOOKUP('Données projet'!$B$11,Paramètres!$A$1:$I$89,3,0)*0.475*44/12</f>
        <v>8.9962242992672898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44.697768677062108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251.0913599999999</v>
      </c>
      <c r="CA57" s="13">
        <f t="shared" si="39"/>
        <v>60.81957989149403</v>
      </c>
      <c r="CB57" s="20">
        <f t="shared" si="10"/>
        <v>543.24488697768527</v>
      </c>
      <c r="CC57" s="59">
        <f t="shared" si="11"/>
        <v>836.57822031101864</v>
      </c>
      <c r="CD57" s="59">
        <f ca="1">AVERAGE(OFFSET($CC$3,0,0,'Données projet'!$E$12+1,1))-AVERAGE(OFFSET($H$3,0,0,'Données projet'!$E$12+1,1))</f>
        <v>405.40026823646758</v>
      </c>
      <c r="CE57" s="59">
        <f t="shared" si="40"/>
        <v>393.0787141050053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47.749269892716178</v>
      </c>
      <c r="CL57" s="21">
        <f>EXP(-LN(2)/25)*CL56+(1-EXP(-LN(2)/25))/(LN(2)/25)*Calculateur!CG57*Calculateur!CI57*VLOOKUP('Données projet'!$B$12,Paramètres!$A$1:$I$89,3,0)*0.475*44/12</f>
        <v>12.032060505155609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59.781330397871784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231.60000000000011</v>
      </c>
      <c r="CU57" s="17">
        <f>CT57*VLOOKUP('Données projet'!$B$13,Paramètres!$A$1:$I$89,3,0)*VLOOKUP('Données projet'!$B$13,Paramètres!$A$1:$I$89,5,0)</f>
        <v>202.32576000000014</v>
      </c>
      <c r="CV57" s="13">
        <f t="shared" si="41"/>
        <v>50.254954935552938</v>
      </c>
      <c r="CW57" s="20">
        <f t="shared" si="13"/>
        <v>439.91141184608824</v>
      </c>
      <c r="CX57" s="59">
        <f t="shared" si="14"/>
        <v>733.24474517942156</v>
      </c>
      <c r="CY57" s="59">
        <f ca="1">AVERAGE(OFFSET($CX$3,0,0,'Données projet'!$E$13+1,1))-AVERAGE(OFFSET($H$3,0,0,'Données projet'!$E$13+1,1))</f>
        <v>381.72225529388083</v>
      </c>
      <c r="CZ57" s="59">
        <f t="shared" si="42"/>
        <v>360.05900046417361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12.368901862244918</v>
      </c>
      <c r="DG57" s="21">
        <f>EXP(-LN(2)/25)*DG56+(1-EXP(-LN(2)/25))/(LN(2)/25)*Calculateur!DB57*Calculateur!DD57*VLOOKUP('Données projet'!$B$13,Paramètres!$A$1:$I$89,3,0)*0.475*44/12</f>
        <v>18.80293644154138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31.171838303786298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8.8736263736263741</v>
      </c>
      <c r="DO57" s="12">
        <f>IF('Données projet'!$A$166&gt;35,DO56+DN57-DW56,IF(A57&lt;'Données projet'!$A$166,$DL$205^A57,IF(A57='Données projet'!$A$166,'Données projet'!$B$166,DO56+DN57-DW56)))</f>
        <v>189.56868131868137</v>
      </c>
      <c r="DP57" s="17">
        <f>DO57*VLOOKUP('Données projet'!$B$14,Paramètres!$A$1:$I$89,3,0)*VLOOKUP('Données projet'!$B$14,Paramètres!$A$1:$I$89,5,0)</f>
        <v>183.35082857142862</v>
      </c>
      <c r="DQ57" s="13">
        <f t="shared" si="43"/>
        <v>46.066881631326424</v>
      </c>
      <c r="DR57" s="20">
        <f t="shared" si="16"/>
        <v>399.56917860313166</v>
      </c>
      <c r="DS57" s="59">
        <f t="shared" si="17"/>
        <v>692.90251193646498</v>
      </c>
      <c r="DT57" s="59">
        <f ca="1">AVERAGE(OFFSET($DS$3,0,0,'Données projet'!$E$14+1,1))-AVERAGE(OFFSET($H$3,0,0,'Données projet'!$E$14+1,1))</f>
        <v>407.73540492005355</v>
      </c>
      <c r="DU57" s="59">
        <f t="shared" si="44"/>
        <v>296.29416764204774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9.5</v>
      </c>
      <c r="EJ57" s="12">
        <f>IF('Données projet'!$A$192&gt;35,EJ56+EI57-ER56,IF(A57&lt;'Données projet'!$A$192,$EG$205^A57,IF(A57='Données projet'!$A$192,'Données projet'!$B$192,EJ56+EI57-ER56)))</f>
        <v>240</v>
      </c>
      <c r="EK57" s="17">
        <f>EJ57*VLOOKUP('Données projet'!$B$15,Paramètres!$A$1:$I$89,3,0)*VLOOKUP('Données projet'!$B$15,Paramètres!$A$1:$I$89,5,0)</f>
        <v>187.20000000000002</v>
      </c>
      <c r="EL57" s="13">
        <f t="shared" si="45"/>
        <v>46.920378730551299</v>
      </c>
      <c r="EM57" s="20">
        <f t="shared" si="19"/>
        <v>407.75965962237683</v>
      </c>
      <c r="EN57" s="59">
        <f t="shared" si="20"/>
        <v>701.09299295571009</v>
      </c>
      <c r="EO57" s="59">
        <f ca="1">AVERAGE(OFFSET($EN$3,0,0,'Données projet'!$E$15+1,1))-AVERAGE(OFFSET($H$3,0,0,'Données projet'!$E$15+1,1))</f>
        <v>288.80569134263209</v>
      </c>
      <c r="EP57" s="59">
        <f t="shared" si="46"/>
        <v>283.48738729114024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17.544973302925285</v>
      </c>
      <c r="EW57" s="21">
        <f>EXP(-LN(2)/25)*EW56+(1-EXP(-LN(2)/25))/(LN(2)/25)*Calculateur!ER57*Calculateur!ET57*VLOOKUP('Données projet'!$B$15,Paramètres!$A$1:$I$89,3,0)*0.475*44/12</f>
        <v>21.74385564327633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39.288828946201619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384.05928630855732</v>
      </c>
      <c r="T58" s="59">
        <f t="shared" si="34"/>
        <v>279.93992813630513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9.6987179487179525</v>
      </c>
      <c r="AI58" s="13">
        <f>IF('Données projet'!$A$62&gt;35,AI57+AH58-AQ57,IF(A58&lt;'Données projet'!$A$62,$AF$205^A58,IF(A58='Données projet'!$A$62,'Données projet'!$B$62,AI57+AH58-AQ57)))</f>
        <v>186.03846153846149</v>
      </c>
      <c r="AJ58" s="13">
        <f>AI58*VLOOKUP('Données projet'!$B$10,Paramètres!$A$1:$I$89,3,0)*VLOOKUP('Données projet'!$B$10,Paramètres!$A$1:$I$89,5,0)</f>
        <v>156.71879999999999</v>
      </c>
      <c r="AK58" s="13">
        <f t="shared" si="35"/>
        <v>40.101541455573681</v>
      </c>
      <c r="AL58" s="20">
        <f t="shared" si="4"/>
        <v>342.79542803512413</v>
      </c>
      <c r="AM58" s="59">
        <f t="shared" si="5"/>
        <v>636.12876136845739</v>
      </c>
      <c r="AN58" s="59">
        <f ca="1">AVERAGE(OFFSET($AM$3,0,0,'Données projet'!$E$10+1,1))-AVERAGE(OFFSET($H$3,0,0,'Données projet'!$E$10+1,1))</f>
        <v>312.48716825299158</v>
      </c>
      <c r="AO58" s="59">
        <f t="shared" si="36"/>
        <v>258.68277822755357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10.295221613870735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10.295221613870735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237.55679999999987</v>
      </c>
      <c r="BF58" s="13">
        <f t="shared" si="37"/>
        <v>57.913551469467308</v>
      </c>
      <c r="BG58" s="20">
        <f t="shared" si="7"/>
        <v>514.61086214265526</v>
      </c>
      <c r="BH58" s="59">
        <f t="shared" si="8"/>
        <v>807.94419547598864</v>
      </c>
      <c r="BI58" s="59">
        <f ca="1">AVERAGE(OFFSET($BH$3,0,0,'Données projet'!$E$11+1,1))-AVERAGE(OFFSET($H$3,0,0,'Données projet'!$E$11+1,1))</f>
        <v>376.58419691967526</v>
      </c>
      <c r="BJ58" s="59">
        <f t="shared" si="38"/>
        <v>365.76175372075869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0.40419999999999995</v>
      </c>
      <c r="BN58" s="16">
        <f>IF(ISNA(VLOOKUP(A58,'Données projet'!$A$87:$I$107,6,0)),0%,VLOOKUP(A58,'Données projet'!$A$87:$I$107,6,0)*VLOOKUP('Données projet'!$B$11,Paramètres!$A$1:$I$89,7,0))</f>
        <v>2.58E-2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40.898557355407654</v>
      </c>
      <c r="BQ58" s="21">
        <f>EXP(-LN(2)/25)*BQ57+(1-EXP(-LN(2)/25))/(LN(2)/25)*Calculateur!BL58*Calculateur!BN58*VLOOKUP('Données projet'!$B$11,Paramètres!$A$1:$I$89,3,0)*0.475*44/12</f>
        <v>9.1251505427143496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50.023707898122005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257.7743999999999</v>
      </c>
      <c r="CA58" s="13">
        <f t="shared" si="39"/>
        <v>62.247732872134243</v>
      </c>
      <c r="CB58" s="20">
        <f t="shared" si="10"/>
        <v>557.37188141896695</v>
      </c>
      <c r="CC58" s="59">
        <f t="shared" si="11"/>
        <v>850.70521475230021</v>
      </c>
      <c r="CD58" s="59">
        <f ca="1">AVERAGE(OFFSET($CC$3,0,0,'Données projet'!$E$12+1,1))-AVERAGE(OFFSET($H$3,0,0,'Données projet'!$E$12+1,1))</f>
        <v>405.40026823646758</v>
      </c>
      <c r="CE58" s="59">
        <f t="shared" si="40"/>
        <v>393.0787141050053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0.49819999999999998</v>
      </c>
      <c r="CI58" s="16">
        <f>IF(ISNA(VLOOKUP(A58,'Données projet'!$A$113:$I$133,6,0)),0%,VLOOKUP(A58,'Données projet'!$A$113:$I$133,6,0)*VLOOKUP('Données projet'!$B$12,Paramètres!$A$1:$I$89,7,0))</f>
        <v>3.1800000000000002E-2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54.700049743526421</v>
      </c>
      <c r="CL58" s="21">
        <f>EXP(-LN(2)/25)*CL57+(1-EXP(-LN(2)/25))/(LN(2)/25)*Calculateur!CG58*Calculateur!CI58*VLOOKUP('Données projet'!$B$12,Paramètres!$A$1:$I$89,3,0)*0.475*44/12</f>
        <v>12.204493773852986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66.904543517379409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239.00000000000011</v>
      </c>
      <c r="CU58" s="17">
        <f>CT58*VLOOKUP('Données projet'!$B$13,Paramètres!$A$1:$I$89,3,0)*VLOOKUP('Données projet'!$B$13,Paramètres!$A$1:$I$89,5,0)</f>
        <v>208.79040000000015</v>
      </c>
      <c r="CV58" s="13">
        <f t="shared" si="41"/>
        <v>51.671168863475195</v>
      </c>
      <c r="CW58" s="20">
        <f t="shared" si="13"/>
        <v>453.63723243721955</v>
      </c>
      <c r="CX58" s="59">
        <f t="shared" si="14"/>
        <v>746.97056577055287</v>
      </c>
      <c r="CY58" s="59">
        <f ca="1">AVERAGE(OFFSET($CX$3,0,0,'Données projet'!$E$13+1,1))-AVERAGE(OFFSET($H$3,0,0,'Données projet'!$E$13+1,1))</f>
        <v>381.72225529388083</v>
      </c>
      <c r="CZ58" s="59">
        <f t="shared" si="42"/>
        <v>360.05900046417361</v>
      </c>
      <c r="DA58" s="15">
        <f>IF(ISNA(VLOOKUP(A58,'Données projet'!$A$139:$I$159,3,0)),0,VLOOKUP(A58,'Données projet'!$A$139:$I$159,3,0))</f>
        <v>8</v>
      </c>
      <c r="DB58" s="15" t="str">
        <f>IF(ISNA(VLOOKUP(A58,'Données projet'!$A$139:$I$159,4,0)),0,VLOOKUP(A58,'Données projet'!$A$139:$I$159,4,0))</f>
        <v>26</v>
      </c>
      <c r="DC58" s="16">
        <f>IF(ISNA(VLOOKUP(A58,'Données projet'!$A$139:$I$159,5,0)),0%,VLOOKUP(A58,'Données projet'!$A$139:$I$159,5,0)*VLOOKUP('Données projet'!$B$13,Paramètres!$A$1:$I$89,7,0))</f>
        <v>0.215</v>
      </c>
      <c r="DD58" s="16">
        <f>IF(ISNA(VLOOKUP(A58,'Données projet'!$A$139:$I$159,6,0)),0%,VLOOKUP(A58,'Données projet'!$A$139:$I$159,6,0)*VLOOKUP('Données projet'!$B$13,Paramètres!$A$1:$I$89,7,0))</f>
        <v>0.17200000000000001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17.524835823711815</v>
      </c>
      <c r="DG58" s="21">
        <f>EXP(-LN(2)/25)*DG57+(1-EXP(-LN(2)/25))/(LN(2)/25)*Calculateur!DB58*Calculateur!DD58*VLOOKUP('Données projet'!$B$13,Paramètres!$A$1:$I$89,3,0)*0.475*44/12</f>
        <v>22.590548921875065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40.11538474558688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198.44230769230768</v>
      </c>
      <c r="DM58" s="12">
        <f>VLOOKUP(A58,'Données projet'!$A$165:$I$185,9,0)</f>
        <v>8.8736263736263741</v>
      </c>
      <c r="DN58" s="12">
        <f t="array" ref="DN58">INDEX(DM:DM,MIN(IF(ISNUMBER(DM58:DM254),ROW(DM58:DM254),"")))</f>
        <v>8.8736263736263741</v>
      </c>
      <c r="DO58" s="12">
        <f>IF('Données projet'!$A$166&gt;35,DO57+DN58-DW57,IF(A58&lt;'Données projet'!$A$166,$DL$205^A58,IF(A58='Données projet'!$A$166,'Données projet'!$B$166,DO57+DN58-DW57)))</f>
        <v>198.44230769230774</v>
      </c>
      <c r="DP58" s="17">
        <f>DO58*VLOOKUP('Données projet'!$B$14,Paramètres!$A$1:$I$89,3,0)*VLOOKUP('Données projet'!$B$14,Paramètres!$A$1:$I$89,5,0)</f>
        <v>191.93340000000003</v>
      </c>
      <c r="DQ58" s="13">
        <f t="shared" si="43"/>
        <v>47.967147946365976</v>
      </c>
      <c r="DR58" s="20">
        <f t="shared" si="16"/>
        <v>417.8267876732541</v>
      </c>
      <c r="DS58" s="59">
        <f t="shared" si="17"/>
        <v>711.16012100658736</v>
      </c>
      <c r="DT58" s="59">
        <f ca="1">AVERAGE(OFFSET($DS$3,0,0,'Données projet'!$E$14+1,1))-AVERAGE(OFFSET($H$3,0,0,'Données projet'!$E$14+1,1))</f>
        <v>407.73540492005355</v>
      </c>
      <c r="DU58" s="59">
        <f t="shared" si="44"/>
        <v>296.29416764204774</v>
      </c>
      <c r="DV58" s="15">
        <f>IF(ISNA(VLOOKUP(A58,'Données projet'!$A$165:$I$185,3,0)),0,VLOOKUP(A58,'Données projet'!$A$165:$I$185,3,0))</f>
        <v>4</v>
      </c>
      <c r="DW58" s="15">
        <f>IF(ISNA(VLOOKUP(A58,'Données projet'!$A$165:$I$185,4,0)),0,VLOOKUP(A58,'Données projet'!$A$165:$I$185,4,0))</f>
        <v>45.147435897435898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9.5</v>
      </c>
      <c r="EJ58" s="12">
        <f>IF('Données projet'!$A$192&gt;35,EJ57+EI58-ER57,IF(A58&lt;'Données projet'!$A$192,$EG$205^A58,IF(A58='Données projet'!$A$192,'Données projet'!$B$192,EJ57+EI58-ER57)))</f>
        <v>249.5</v>
      </c>
      <c r="EK58" s="17">
        <f>EJ58*VLOOKUP('Données projet'!$B$15,Paramètres!$A$1:$I$89,3,0)*VLOOKUP('Données projet'!$B$15,Paramètres!$A$1:$I$89,5,0)</f>
        <v>194.61</v>
      </c>
      <c r="EL58" s="13">
        <f t="shared" si="45"/>
        <v>48.557731991923845</v>
      </c>
      <c r="EM58" s="20">
        <f t="shared" si="19"/>
        <v>423.51713321926735</v>
      </c>
      <c r="EN58" s="59">
        <f t="shared" si="20"/>
        <v>716.85046655260066</v>
      </c>
      <c r="EO58" s="59">
        <f ca="1">AVERAGE(OFFSET($EN$3,0,0,'Données projet'!$E$15+1,1))-AVERAGE(OFFSET($H$3,0,0,'Données projet'!$E$15+1,1))</f>
        <v>288.80569134263209</v>
      </c>
      <c r="EP58" s="59">
        <f t="shared" si="46"/>
        <v>283.48738729114024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17.200927077831963</v>
      </c>
      <c r="EW58" s="21">
        <f>EXP(-LN(2)/25)*EW57+(1-EXP(-LN(2)/25))/(LN(2)/25)*Calculateur!ER58*Calculateur!ET58*VLOOKUP('Données projet'!$B$15,Paramètres!$A$1:$I$89,3,0)*0.475*44/12</f>
        <v>21.149268767251268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38.350195845083235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613.81694592255144</v>
      </c>
      <c r="S59" s="59">
        <f ca="1">AVERAGE(OFFSET($R$3,0,0,'Données projet'!$E$9+1,1))-AVERAGE(OFFSET($H$3,0,0,'Données projet'!$E$9+1,1))</f>
        <v>384.05928630855732</v>
      </c>
      <c r="T59" s="59">
        <f t="shared" si="34"/>
        <v>279.93992813630513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9.6987179487179525</v>
      </c>
      <c r="AI59" s="13">
        <f>IF('Données projet'!$A$62&gt;35,AI58+AH59-AQ58,IF(A59&lt;'Données projet'!$A$62,$AF$205^A59,IF(A59='Données projet'!$A$62,'Données projet'!$B$62,AI58+AH59-AQ58)))</f>
        <v>195.73717948717945</v>
      </c>
      <c r="AJ59" s="13">
        <f>AI59*VLOOKUP('Données projet'!$B$10,Paramètres!$A$1:$I$89,3,0)*VLOOKUP('Données projet'!$B$10,Paramètres!$A$1:$I$89,5,0)</f>
        <v>164.88899999999998</v>
      </c>
      <c r="AK59" s="13">
        <f t="shared" si="35"/>
        <v>41.943303887152503</v>
      </c>
      <c r="AL59" s="20">
        <f t="shared" si="4"/>
        <v>360.23292927012386</v>
      </c>
      <c r="AM59" s="59">
        <f t="shared" si="5"/>
        <v>653.56626260345718</v>
      </c>
      <c r="AN59" s="59">
        <f ca="1">AVERAGE(OFFSET($AM$3,0,0,'Données projet'!$E$10+1,1))-AVERAGE(OFFSET($H$3,0,0,'Données projet'!$E$10+1,1))</f>
        <v>312.48716825299158</v>
      </c>
      <c r="AO59" s="59">
        <f t="shared" si="36"/>
        <v>258.68277822755357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10.093338597487868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10.093338597487868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229.78487999999984</v>
      </c>
      <c r="BF59" s="13">
        <f t="shared" si="37"/>
        <v>56.236165024777975</v>
      </c>
      <c r="BG59" s="20">
        <f t="shared" si="7"/>
        <v>498.15332008482136</v>
      </c>
      <c r="BH59" s="59">
        <f t="shared" si="8"/>
        <v>791.48665341815467</v>
      </c>
      <c r="BI59" s="59">
        <f ca="1">AVERAGE(OFFSET($BH$3,0,0,'Données projet'!$E$11+1,1))-AVERAGE(OFFSET($H$3,0,0,'Données projet'!$E$11+1,1))</f>
        <v>376.58419691967526</v>
      </c>
      <c r="BJ59" s="59">
        <f t="shared" si="38"/>
        <v>365.76175372075869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40.096561591324921</v>
      </c>
      <c r="BQ59" s="21">
        <f>EXP(-LN(2)/25)*BQ58+(1-EXP(-LN(2)/25))/(LN(2)/25)*Calculateur!BL59*Calculateur!BN59*VLOOKUP('Données projet'!$B$11,Paramètres!$A$1:$I$89,3,0)*0.475*44/12</f>
        <v>8.8756228212530139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48.972184412577931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249.34103999999988</v>
      </c>
      <c r="CA59" s="13">
        <f t="shared" si="39"/>
        <v>60.444812818312201</v>
      </c>
      <c r="CB59" s="20">
        <f t="shared" si="10"/>
        <v>539.54369365856019</v>
      </c>
      <c r="CC59" s="59">
        <f t="shared" si="11"/>
        <v>832.87702699189344</v>
      </c>
      <c r="CD59" s="59">
        <f ca="1">AVERAGE(OFFSET($CC$3,0,0,'Données projet'!$E$12+1,1))-AVERAGE(OFFSET($H$3,0,0,'Données projet'!$E$12+1,1))</f>
        <v>405.40026823646758</v>
      </c>
      <c r="CE59" s="59">
        <f t="shared" si="40"/>
        <v>393.0787141050053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53.627415131791814</v>
      </c>
      <c r="CL59" s="21">
        <f>EXP(-LN(2)/25)*CL58+(1-EXP(-LN(2)/25))/(LN(2)/25)*Calculateur!CG59*Calculateur!CI59*VLOOKUP('Données projet'!$B$12,Paramètres!$A$1:$I$89,3,0)*0.475*44/12</f>
        <v>11.870761249800543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65.498176381592359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6.6</v>
      </c>
      <c r="CT59" s="12">
        <f>IF('Données projet'!$A$140&gt;35,CT58+CS59-DB58,IF(A59&lt;'Données projet'!$A$140,$CQ$205^A59,IF(A59='Données projet'!$A$140,'Données projet'!$B$140,CT58+CS59-DB58)))</f>
        <v>219.60000000000011</v>
      </c>
      <c r="CU59" s="17">
        <f>CT59*VLOOKUP('Données projet'!$B$13,Paramètres!$A$1:$I$89,3,0)*VLOOKUP('Données projet'!$B$13,Paramètres!$A$1:$I$89,5,0)</f>
        <v>191.84256000000011</v>
      </c>
      <c r="CV59" s="13">
        <f t="shared" si="41"/>
        <v>47.947087613384845</v>
      </c>
      <c r="CW59" s="20">
        <f t="shared" si="13"/>
        <v>417.6336362599788</v>
      </c>
      <c r="CX59" s="59">
        <f t="shared" si="14"/>
        <v>710.96696959331211</v>
      </c>
      <c r="CY59" s="59">
        <f ca="1">AVERAGE(OFFSET($CX$3,0,0,'Données projet'!$E$13+1,1))-AVERAGE(OFFSET($H$3,0,0,'Données projet'!$E$13+1,1))</f>
        <v>381.72225529388083</v>
      </c>
      <c r="CZ59" s="59">
        <f t="shared" si="42"/>
        <v>360.05900046417361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17.18118448230322</v>
      </c>
      <c r="DG59" s="21">
        <f>EXP(-LN(2)/25)*DG58+(1-EXP(-LN(2)/25))/(LN(2)/25)*Calculateur!DB59*Calculateur!DD59*VLOOKUP('Données projet'!$B$13,Paramètres!$A$1:$I$89,3,0)*0.475*44/12</f>
        <v>21.972809173621055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39.153993655924275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8.374198717948719</v>
      </c>
      <c r="DO59" s="12">
        <f>IF('Données projet'!$A$166&gt;35,DO58+DN59-DW58,IF(A59&lt;'Données projet'!$A$166,$DL$205^A59,IF(A59='Données projet'!$A$166,'Données projet'!$B$166,DO58+DN59-DW58)))</f>
        <v>161.66907051282055</v>
      </c>
      <c r="DP59" s="17">
        <f>DO59*VLOOKUP('Données projet'!$B$14,Paramètres!$A$1:$I$89,3,0)*VLOOKUP('Données projet'!$B$14,Paramètres!$A$1:$I$89,5,0)</f>
        <v>156.36632500000005</v>
      </c>
      <c r="DQ59" s="13">
        <f t="shared" si="43"/>
        <v>40.021837314253894</v>
      </c>
      <c r="DR59" s="20">
        <f t="shared" si="16"/>
        <v>342.04271603065894</v>
      </c>
      <c r="DS59" s="59">
        <f t="shared" si="17"/>
        <v>635.37604936399225</v>
      </c>
      <c r="DT59" s="59">
        <f ca="1">AVERAGE(OFFSET($DS$3,0,0,'Données projet'!$E$14+1,1))-AVERAGE(OFFSET($H$3,0,0,'Données projet'!$E$14+1,1))</f>
        <v>407.73540492005355</v>
      </c>
      <c r="DU59" s="59">
        <f t="shared" si="44"/>
        <v>296.29416764204774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9.5</v>
      </c>
      <c r="EJ59" s="12">
        <f>IF('Données projet'!$A$192&gt;35,EJ58+EI59-ER58,IF(A59&lt;'Données projet'!$A$192,$EG$205^A59,IF(A59='Données projet'!$A$192,'Données projet'!$B$192,EJ58+EI59-ER58)))</f>
        <v>259</v>
      </c>
      <c r="EK59" s="17">
        <f>EJ59*VLOOKUP('Données projet'!$B$15,Paramètres!$A$1:$I$89,3,0)*VLOOKUP('Données projet'!$B$15,Paramètres!$A$1:$I$89,5,0)</f>
        <v>202.02</v>
      </c>
      <c r="EL59" s="13">
        <f t="shared" si="45"/>
        <v>50.187842607873506</v>
      </c>
      <c r="EM59" s="20">
        <f t="shared" si="19"/>
        <v>439.26199254204636</v>
      </c>
      <c r="EN59" s="59">
        <f t="shared" si="20"/>
        <v>732.59532587537967</v>
      </c>
      <c r="EO59" s="59">
        <f ca="1">AVERAGE(OFFSET($EN$3,0,0,'Données projet'!$E$15+1,1))-AVERAGE(OFFSET($H$3,0,0,'Données projet'!$E$15+1,1))</f>
        <v>288.80569134263209</v>
      </c>
      <c r="EP59" s="59">
        <f t="shared" si="46"/>
        <v>283.48738729114024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16.863627389365245</v>
      </c>
      <c r="EW59" s="21">
        <f>EXP(-LN(2)/25)*EW58+(1-EXP(-LN(2)/25))/(LN(2)/25)*Calculateur!ER59*Calculateur!ET59*VLOOKUP('Données projet'!$B$15,Paramètres!$A$1:$I$89,3,0)*0.475*44/12</f>
        <v>20.570940900619075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37.43456828998432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630.01236372120707</v>
      </c>
      <c r="S60" s="59">
        <f ca="1">AVERAGE(OFFSET($R$3,0,0,'Données projet'!$E$9+1,1))-AVERAGE(OFFSET($H$3,0,0,'Données projet'!$E$9+1,1))</f>
        <v>384.05928630855732</v>
      </c>
      <c r="T60" s="59">
        <f t="shared" si="34"/>
        <v>279.93992813630513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9.6987179487179525</v>
      </c>
      <c r="AI60" s="13">
        <f>IF('Données projet'!$A$62&gt;35,AI59+AH60-AQ59,IF(A60&lt;'Données projet'!$A$62,$AF$205^A60,IF(A60='Données projet'!$A$62,'Données projet'!$B$62,AI59+AH60-AQ59)))</f>
        <v>205.4358974358974</v>
      </c>
      <c r="AJ60" s="13">
        <f>AI60*VLOOKUP('Données projet'!$B$10,Paramètres!$A$1:$I$89,3,0)*VLOOKUP('Données projet'!$B$10,Paramètres!$A$1:$I$89,5,0)</f>
        <v>173.0592</v>
      </c>
      <c r="AK60" s="13">
        <f t="shared" si="35"/>
        <v>43.774469794261023</v>
      </c>
      <c r="AL60" s="20">
        <f t="shared" si="4"/>
        <v>377.65197489167127</v>
      </c>
      <c r="AM60" s="59">
        <f t="shared" si="5"/>
        <v>670.98530822500459</v>
      </c>
      <c r="AN60" s="59">
        <f ca="1">AVERAGE(OFFSET($AM$3,0,0,'Données projet'!$E$10+1,1))-AVERAGE(OFFSET($H$3,0,0,'Données projet'!$E$10+1,1))</f>
        <v>312.48716825299158</v>
      </c>
      <c r="AO60" s="59">
        <f t="shared" si="36"/>
        <v>258.68277822755357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9.895414383919789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9.895414383919789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235.21055999999984</v>
      </c>
      <c r="BF60" s="13">
        <f t="shared" si="37"/>
        <v>57.407853322119394</v>
      </c>
      <c r="BG60" s="20">
        <f t="shared" si="7"/>
        <v>509.64373653602433</v>
      </c>
      <c r="BH60" s="59">
        <f t="shared" si="8"/>
        <v>802.97706986935759</v>
      </c>
      <c r="BI60" s="59">
        <f ca="1">AVERAGE(OFFSET($BH$3,0,0,'Données projet'!$E$11+1,1))-AVERAGE(OFFSET($H$3,0,0,'Données projet'!$E$11+1,1))</f>
        <v>376.58419691967526</v>
      </c>
      <c r="BJ60" s="59">
        <f t="shared" si="38"/>
        <v>365.76175372075869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39.310292475006733</v>
      </c>
      <c r="BQ60" s="21">
        <f>EXP(-LN(2)/25)*BQ59+(1-EXP(-LN(2)/25))/(LN(2)/25)*Calculateur!BL60*Calculateur!BN60*VLOOKUP('Données projet'!$B$11,Paramètres!$A$1:$I$89,3,0)*0.475*44/12</f>
        <v>8.6329184484571311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47.943210923463866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255.22847999999985</v>
      </c>
      <c r="CA60" s="13">
        <f t="shared" si="39"/>
        <v>61.704188876103551</v>
      </c>
      <c r="CB60" s="20">
        <f t="shared" si="10"/>
        <v>551.99106495921342</v>
      </c>
      <c r="CC60" s="59">
        <f t="shared" si="11"/>
        <v>845.32439829254668</v>
      </c>
      <c r="CD60" s="59">
        <f ca="1">AVERAGE(OFFSET($CC$3,0,0,'Données projet'!$E$12+1,1))-AVERAGE(OFFSET($H$3,0,0,'Données projet'!$E$12+1,1))</f>
        <v>405.40026823646758</v>
      </c>
      <c r="CE60" s="59">
        <f t="shared" si="40"/>
        <v>393.0787141050053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52.575814230550812</v>
      </c>
      <c r="CL60" s="21">
        <f>EXP(-LN(2)/25)*CL59+(1-EXP(-LN(2)/25))/(LN(2)/25)*Calculateur!CG60*Calculateur!CI60*VLOOKUP('Données projet'!$B$12,Paramètres!$A$1:$I$89,3,0)*0.475*44/12</f>
        <v>11.546154659168543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64.121968889719355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6.6</v>
      </c>
      <c r="CT60" s="12">
        <f>IF('Données projet'!$A$140&gt;35,CT59+CS60-DB59,IF(A60&lt;'Données projet'!$A$140,$CQ$205^A60,IF(A60='Données projet'!$A$140,'Données projet'!$B$140,CT59+CS60-DB59)))</f>
        <v>226.2000000000001</v>
      </c>
      <c r="CU60" s="17">
        <f>CT60*VLOOKUP('Données projet'!$B$13,Paramètres!$A$1:$I$89,3,0)*VLOOKUP('Données projet'!$B$13,Paramètres!$A$1:$I$89,5,0)</f>
        <v>197.60832000000011</v>
      </c>
      <c r="CV60" s="13">
        <f t="shared" si="41"/>
        <v>49.218181392381403</v>
      </c>
      <c r="CW60" s="20">
        <f t="shared" si="13"/>
        <v>429.88948992506448</v>
      </c>
      <c r="CX60" s="59">
        <f t="shared" si="14"/>
        <v>723.22282325839774</v>
      </c>
      <c r="CY60" s="59">
        <f ca="1">AVERAGE(OFFSET($CX$3,0,0,'Données projet'!$E$13+1,1))-AVERAGE(OFFSET($H$3,0,0,'Données projet'!$E$13+1,1))</f>
        <v>381.72225529388083</v>
      </c>
      <c r="CZ60" s="59">
        <f t="shared" si="42"/>
        <v>360.05900046417361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16.844271934093022</v>
      </c>
      <c r="DG60" s="21">
        <f>EXP(-LN(2)/25)*DG59+(1-EXP(-LN(2)/25))/(LN(2)/25)*Calculateur!DB60*Calculateur!DD60*VLOOKUP('Données projet'!$B$13,Paramètres!$A$1:$I$89,3,0)*0.475*44/12</f>
        <v>21.371961551268573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38.216233485361599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8.374198717948719</v>
      </c>
      <c r="DO60" s="12">
        <f>IF('Données projet'!$A$166&gt;35,DO59+DN60-DW59,IF(A60&lt;'Données projet'!$A$166,$DL$205^A60,IF(A60='Données projet'!$A$166,'Données projet'!$B$166,DO59+DN60-DW59)))</f>
        <v>170.04326923076928</v>
      </c>
      <c r="DP60" s="17">
        <f>DO60*VLOOKUP('Données projet'!$B$14,Paramètres!$A$1:$I$89,3,0)*VLOOKUP('Données projet'!$B$14,Paramètres!$A$1:$I$89,5,0)</f>
        <v>164.46585000000007</v>
      </c>
      <c r="DQ60" s="13">
        <f t="shared" si="43"/>
        <v>41.848180802016721</v>
      </c>
      <c r="DR60" s="20">
        <f t="shared" si="16"/>
        <v>359.33027031351253</v>
      </c>
      <c r="DS60" s="59">
        <f t="shared" si="17"/>
        <v>652.66360364684579</v>
      </c>
      <c r="DT60" s="59">
        <f ca="1">AVERAGE(OFFSET($DS$3,0,0,'Données projet'!$E$14+1,1))-AVERAGE(OFFSET($H$3,0,0,'Données projet'!$E$14+1,1))</f>
        <v>407.73540492005355</v>
      </c>
      <c r="DU60" s="59">
        <f t="shared" si="44"/>
        <v>296.29416764204774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9.5</v>
      </c>
      <c r="EJ60" s="12">
        <f>IF('Données projet'!$A$192&gt;35,EJ59+EI60-ER59,IF(A60&lt;'Données projet'!$A$192,$EG$205^A60,IF(A60='Données projet'!$A$192,'Données projet'!$B$192,EJ59+EI60-ER59)))</f>
        <v>268.5</v>
      </c>
      <c r="EK60" s="17">
        <f>EJ60*VLOOKUP('Données projet'!$B$15,Paramètres!$A$1:$I$89,3,0)*VLOOKUP('Données projet'!$B$15,Paramètres!$A$1:$I$89,5,0)</f>
        <v>209.43</v>
      </c>
      <c r="EL60" s="13">
        <f t="shared" si="45"/>
        <v>51.811006660589165</v>
      </c>
      <c r="EM60" s="20">
        <f t="shared" si="19"/>
        <v>454.99475326719272</v>
      </c>
      <c r="EN60" s="59">
        <f t="shared" si="20"/>
        <v>748.32808660052603</v>
      </c>
      <c r="EO60" s="59">
        <f ca="1">AVERAGE(OFFSET($EN$3,0,0,'Données projet'!$E$15+1,1))-AVERAGE(OFFSET($H$3,0,0,'Données projet'!$E$15+1,1))</f>
        <v>288.80569134263209</v>
      </c>
      <c r="EP60" s="59">
        <f t="shared" si="46"/>
        <v>283.48738729114024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16.532941942056862</v>
      </c>
      <c r="EW60" s="21">
        <f>EXP(-LN(2)/25)*EW59+(1-EXP(-LN(2)/25))/(LN(2)/25)*Calculateur!ER60*Calculateur!ET60*VLOOKUP('Données projet'!$B$15,Paramètres!$A$1:$I$89,3,0)*0.475*44/12</f>
        <v>20.008427439912879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36.541369381969744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646.19063274187693</v>
      </c>
      <c r="S61" s="59">
        <f ca="1">AVERAGE(OFFSET($R$3,0,0,'Données projet'!$E$9+1,1))-AVERAGE(OFFSET($H$3,0,0,'Données projet'!$E$9+1,1))</f>
        <v>384.05928630855732</v>
      </c>
      <c r="T61" s="59">
        <f t="shared" si="34"/>
        <v>279.93992813630513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215.13461538461539</v>
      </c>
      <c r="AG61" s="12">
        <f>VLOOKUP(A61,'Données projet'!$A$61:$I$81,9,0)</f>
        <v>9.6987179487179525</v>
      </c>
      <c r="AH61" s="12">
        <f t="array" ref="AH61">INDEX(AG:AG,MIN(IF(ISNUMBER(AG61:AG257),ROW(AG61:AG257),"")))</f>
        <v>9.6987179487179525</v>
      </c>
      <c r="AI61" s="13">
        <f>IF('Données projet'!$A$62&gt;35,AI60+AH61-AQ60,IF(A61&lt;'Données projet'!$A$62,$AF$205^A61,IF(A61='Données projet'!$A$62,'Données projet'!$B$62,AI60+AH61-AQ60)))</f>
        <v>215.13461538461536</v>
      </c>
      <c r="AJ61" s="13">
        <f>AI61*VLOOKUP('Données projet'!$B$10,Paramètres!$A$1:$I$89,3,0)*VLOOKUP('Données projet'!$B$10,Paramètres!$A$1:$I$89,5,0)</f>
        <v>181.2294</v>
      </c>
      <c r="AK61" s="13">
        <f t="shared" si="35"/>
        <v>45.595596566178862</v>
      </c>
      <c r="AL61" s="20">
        <f t="shared" si="4"/>
        <v>395.05353568609485</v>
      </c>
      <c r="AM61" s="59">
        <f t="shared" si="5"/>
        <v>688.3868690194281</v>
      </c>
      <c r="AN61" s="59">
        <f ca="1">AVERAGE(OFFSET($AM$3,0,0,'Données projet'!$E$10+1,1))-AVERAGE(OFFSET($H$3,0,0,'Données projet'!$E$10+1,1))</f>
        <v>312.48716825299158</v>
      </c>
      <c r="AO61" s="59">
        <f t="shared" si="36"/>
        <v>258.68277822755357</v>
      </c>
      <c r="AP61" s="15">
        <f>IF(ISNA(VLOOKUP(A61,'Données projet'!$A$61:$I$81,3,0)),0,VLOOKUP(A61,'Données projet'!$A$61:$I$81,3,0))</f>
        <v>5</v>
      </c>
      <c r="AQ61" s="15">
        <f>IF(ISNA(VLOOKUP(A61,'Données projet'!$A$61:$I$81,4,0)),0,VLOOKUP(A61,'Données projet'!$A$61:$I$81,4,0))</f>
        <v>38.141025641025642</v>
      </c>
      <c r="AR61" s="16">
        <f>IF(ISNA(VLOOKUP(A61,'Données projet'!$A$61:$I$81,5,0)),0%,VLOOKUP(A61,'Données projet'!$A$61:$I$81,5,0)*VLOOKUP('Données projet'!$B$10,Paramètres!$A$1:$I$89,7,0))</f>
        <v>0.30099999999999999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20.392519095070426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20.392519095070426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240.63623999999982</v>
      </c>
      <c r="BF61" s="13">
        <f t="shared" si="37"/>
        <v>58.576399517863109</v>
      </c>
      <c r="BG61" s="20">
        <f t="shared" si="7"/>
        <v>521.12868049361134</v>
      </c>
      <c r="BH61" s="59">
        <f t="shared" si="8"/>
        <v>814.46201382694471</v>
      </c>
      <c r="BI61" s="59">
        <f ca="1">AVERAGE(OFFSET($BH$3,0,0,'Données projet'!$E$11+1,1))-AVERAGE(OFFSET($H$3,0,0,'Données projet'!$E$11+1,1))</f>
        <v>376.58419691967526</v>
      </c>
      <c r="BJ61" s="59">
        <f t="shared" si="38"/>
        <v>365.76175372075869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38.53944161648274</v>
      </c>
      <c r="BQ61" s="21">
        <f>EXP(-LN(2)/25)*BQ60+(1-EXP(-LN(2)/25))/(LN(2)/25)*Calculateur!BL61*Calculateur!BN61*VLOOKUP('Données projet'!$B$11,Paramètres!$A$1:$I$89,3,0)*0.475*44/12</f>
        <v>8.3968508394986205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46.936292455981359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261.11591999999985</v>
      </c>
      <c r="CA61" s="13">
        <f t="shared" si="39"/>
        <v>62.960187681145797</v>
      </c>
      <c r="CB61" s="20">
        <f t="shared" si="10"/>
        <v>564.43255421132858</v>
      </c>
      <c r="CC61" s="59">
        <f t="shared" si="11"/>
        <v>857.76588754466184</v>
      </c>
      <c r="CD61" s="59">
        <f ca="1">AVERAGE(OFFSET($CC$3,0,0,'Données projet'!$E$12+1,1))-AVERAGE(OFFSET($H$3,0,0,'Données projet'!$E$12+1,1))</f>
        <v>405.40026823646758</v>
      </c>
      <c r="CE61" s="59">
        <f t="shared" si="40"/>
        <v>393.0787141050053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51.54483458156993</v>
      </c>
      <c r="CL61" s="21">
        <f>EXP(-LN(2)/25)*CL60+(1-EXP(-LN(2)/25))/(LN(2)/25)*Calculateur!CG61*Calculateur!CI61*VLOOKUP('Données projet'!$B$12,Paramètres!$A$1:$I$89,3,0)*0.475*44/12</f>
        <v>11.230424452827695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62.775259034397621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6.6</v>
      </c>
      <c r="CT61" s="12">
        <f>IF('Données projet'!$A$140&gt;35,CT60+CS61-DB60,IF(A61&lt;'Données projet'!$A$140,$CQ$205^A61,IF(A61='Données projet'!$A$140,'Données projet'!$B$140,CT60+CS61-DB60)))</f>
        <v>232.8000000000001</v>
      </c>
      <c r="CU61" s="17">
        <f>CT61*VLOOKUP('Données projet'!$B$13,Paramètres!$A$1:$I$89,3,0)*VLOOKUP('Données projet'!$B$13,Paramètres!$A$1:$I$89,5,0)</f>
        <v>203.37408000000013</v>
      </c>
      <c r="CV61" s="13">
        <f t="shared" si="41"/>
        <v>50.484964849140624</v>
      </c>
      <c r="CW61" s="20">
        <f t="shared" si="13"/>
        <v>442.1378364455868</v>
      </c>
      <c r="CX61" s="59">
        <f t="shared" si="14"/>
        <v>735.47116977892006</v>
      </c>
      <c r="CY61" s="59">
        <f ca="1">AVERAGE(OFFSET($CX$3,0,0,'Données projet'!$E$13+1,1))-AVERAGE(OFFSET($H$3,0,0,'Données projet'!$E$13+1,1))</f>
        <v>381.72225529388083</v>
      </c>
      <c r="CZ61" s="59">
        <f t="shared" si="42"/>
        <v>360.05900046417361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16.513966035456864</v>
      </c>
      <c r="DG61" s="21">
        <f>EXP(-LN(2)/25)*DG60+(1-EXP(-LN(2)/25))/(LN(2)/25)*Calculateur!DB61*Calculateur!DD61*VLOOKUP('Données projet'!$B$13,Paramètres!$A$1:$I$89,3,0)*0.475*44/12</f>
        <v>20.787544138746522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37.301510174203386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8.374198717948719</v>
      </c>
      <c r="DO61" s="12">
        <f>IF('Données projet'!$A$166&gt;35,DO60+DN61-DW60,IF(A61&lt;'Données projet'!$A$166,$DL$205^A61,IF(A61='Données projet'!$A$166,'Données projet'!$B$166,DO60+DN61-DW60)))</f>
        <v>178.41746794871801</v>
      </c>
      <c r="DP61" s="17">
        <f>DO61*VLOOKUP('Données projet'!$B$14,Paramètres!$A$1:$I$89,3,0)*VLOOKUP('Données projet'!$B$14,Paramètres!$A$1:$I$89,5,0)</f>
        <v>172.56537500000005</v>
      </c>
      <c r="DQ61" s="13">
        <f t="shared" si="43"/>
        <v>43.664080443774232</v>
      </c>
      <c r="DR61" s="20">
        <f t="shared" si="16"/>
        <v>376.59963489790681</v>
      </c>
      <c r="DS61" s="59">
        <f t="shared" si="17"/>
        <v>669.93296823124012</v>
      </c>
      <c r="DT61" s="59">
        <f ca="1">AVERAGE(OFFSET($DS$3,0,0,'Données projet'!$E$14+1,1))-AVERAGE(OFFSET($H$3,0,0,'Données projet'!$E$14+1,1))</f>
        <v>407.73540492005355</v>
      </c>
      <c r="DU61" s="59">
        <f t="shared" si="44"/>
        <v>296.29416764204774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9.5</v>
      </c>
      <c r="EJ61" s="12">
        <f>IF('Données projet'!$A$192&gt;35,EJ60+EI61-ER60,IF(A61&lt;'Données projet'!$A$192,$EG$205^A61,IF(A61='Données projet'!$A$192,'Données projet'!$B$192,EJ60+EI61-ER60)))</f>
        <v>278</v>
      </c>
      <c r="EK61" s="17">
        <f>EJ61*VLOOKUP('Données projet'!$B$15,Paramètres!$A$1:$I$89,3,0)*VLOOKUP('Données projet'!$B$15,Paramètres!$A$1:$I$89,5,0)</f>
        <v>216.84</v>
      </c>
      <c r="EL61" s="13">
        <f t="shared" si="45"/>
        <v>53.427498092567944</v>
      </c>
      <c r="EM61" s="20">
        <f t="shared" si="19"/>
        <v>470.71589251122253</v>
      </c>
      <c r="EN61" s="59">
        <f t="shared" si="20"/>
        <v>764.04922584455585</v>
      </c>
      <c r="EO61" s="59">
        <f ca="1">AVERAGE(OFFSET($EN$3,0,0,'Données projet'!$E$15+1,1))-AVERAGE(OFFSET($H$3,0,0,'Données projet'!$E$15+1,1))</f>
        <v>288.80569134263209</v>
      </c>
      <c r="EP61" s="59">
        <f t="shared" si="46"/>
        <v>283.48738729114024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16.208741034671988</v>
      </c>
      <c r="EW61" s="21">
        <f>EXP(-LN(2)/25)*EW60+(1-EXP(-LN(2)/25))/(LN(2)/25)*Calculateur!ER61*Calculateur!ET61*VLOOKUP('Données projet'!$B$15,Paramètres!$A$1:$I$89,3,0)*0.475*44/12</f>
        <v>19.461295939370991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35.670036974042979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662.35264979219312</v>
      </c>
      <c r="S62" s="59">
        <f ca="1">AVERAGE(OFFSET($R$3,0,0,'Données projet'!$E$9+1,1))-AVERAGE(OFFSET($H$3,0,0,'Données projet'!$E$9+1,1))</f>
        <v>384.05928630855732</v>
      </c>
      <c r="T62" s="59">
        <f t="shared" si="34"/>
        <v>279.93992813630513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9.4423076923076916</v>
      </c>
      <c r="AI62" s="13">
        <f>IF('Données projet'!$A$62&gt;35,AI61+AH62-AQ61,IF(A62&lt;'Données projet'!$A$62,$AF$205^A62,IF(A62='Données projet'!$A$62,'Données projet'!$B$62,AI61+AH62-AQ61)))</f>
        <v>186.4358974358974</v>
      </c>
      <c r="AJ62" s="13">
        <f>AI62*VLOOKUP('Données projet'!$B$10,Paramètres!$A$1:$I$89,3,0)*VLOOKUP('Données projet'!$B$10,Paramètres!$A$1:$I$89,5,0)</f>
        <v>157.05359999999999</v>
      </c>
      <c r="AK62" s="13">
        <f t="shared" si="35"/>
        <v>40.177229479699292</v>
      </c>
      <c r="AL62" s="20">
        <f t="shared" si="4"/>
        <v>343.51036134380956</v>
      </c>
      <c r="AM62" s="59">
        <f t="shared" si="5"/>
        <v>636.84369467714282</v>
      </c>
      <c r="AN62" s="59">
        <f ca="1">AVERAGE(OFFSET($AM$3,0,0,'Données projet'!$E$10+1,1))-AVERAGE(OFFSET($H$3,0,0,'Données projet'!$E$10+1,1))</f>
        <v>312.48716825299158</v>
      </c>
      <c r="AO62" s="59">
        <f t="shared" si="36"/>
        <v>258.68277822755357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19.992634233824571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19.992634233824571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246.06191999999979</v>
      </c>
      <c r="BF62" s="13">
        <f t="shared" si="37"/>
        <v>59.741882613953308</v>
      </c>
      <c r="BG62" s="20">
        <f t="shared" si="7"/>
        <v>532.60828955263503</v>
      </c>
      <c r="BH62" s="59">
        <f t="shared" si="8"/>
        <v>825.9416228859684</v>
      </c>
      <c r="BI62" s="59">
        <f ca="1">AVERAGE(OFFSET($BH$3,0,0,'Données projet'!$E$11+1,1))-AVERAGE(OFFSET($H$3,0,0,'Données projet'!$E$11+1,1))</f>
        <v>376.58419691967526</v>
      </c>
      <c r="BJ62" s="59">
        <f t="shared" si="38"/>
        <v>365.76175372075869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37.783706673121806</v>
      </c>
      <c r="BQ62" s="21">
        <f>EXP(-LN(2)/25)*BQ61+(1-EXP(-LN(2)/25))/(LN(2)/25)*Calculateur!BL62*Calculateur!BN62*VLOOKUP('Données projet'!$B$11,Paramètres!$A$1:$I$89,3,0)*0.475*44/12</f>
        <v>8.1672385117213366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45.950945184843142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267.00335999999982</v>
      </c>
      <c r="CA62" s="13">
        <f t="shared" si="39"/>
        <v>64.212894147794728</v>
      </c>
      <c r="CB62" s="20">
        <f t="shared" si="10"/>
        <v>576.86830930740882</v>
      </c>
      <c r="CC62" s="59">
        <f t="shared" si="11"/>
        <v>870.20164264074219</v>
      </c>
      <c r="CD62" s="59">
        <f ca="1">AVERAGE(OFFSET($CC$3,0,0,'Données projet'!$E$12+1,1))-AVERAGE(OFFSET($H$3,0,0,'Données projet'!$E$12+1,1))</f>
        <v>405.40026823646758</v>
      </c>
      <c r="CE62" s="59">
        <f t="shared" si="40"/>
        <v>393.0787141050053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50.534071814670071</v>
      </c>
      <c r="CL62" s="21">
        <f>EXP(-LN(2)/25)*CL61+(1-EXP(-LN(2)/25))/(LN(2)/25)*Calculateur!CG62*Calculateur!CI62*VLOOKUP('Données projet'!$B$12,Paramètres!$A$1:$I$89,3,0)*0.475*44/12</f>
        <v>10.923327905582767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61.457399720252837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6.6</v>
      </c>
      <c r="CT62" s="12">
        <f>IF('Données projet'!$A$140&gt;35,CT61+CS62-DB61,IF(A62&lt;'Données projet'!$A$140,$CQ$205^A62,IF(A62='Données projet'!$A$140,'Données projet'!$B$140,CT61+CS62-DB61)))</f>
        <v>239.40000000000009</v>
      </c>
      <c r="CU62" s="17">
        <f>CT62*VLOOKUP('Données projet'!$B$13,Paramètres!$A$1:$I$89,3,0)*VLOOKUP('Données projet'!$B$13,Paramètres!$A$1:$I$89,5,0)</f>
        <v>209.13984000000008</v>
      </c>
      <c r="CV62" s="13">
        <f t="shared" si="41"/>
        <v>51.747574219710266</v>
      </c>
      <c r="CW62" s="20">
        <f t="shared" si="13"/>
        <v>454.37891309932888</v>
      </c>
      <c r="CX62" s="59">
        <f t="shared" si="14"/>
        <v>747.71224643266214</v>
      </c>
      <c r="CY62" s="59">
        <f ca="1">AVERAGE(OFFSET($CX$3,0,0,'Données projet'!$E$13+1,1))-AVERAGE(OFFSET($H$3,0,0,'Données projet'!$E$13+1,1))</f>
        <v>381.72225529388083</v>
      </c>
      <c r="CZ62" s="59">
        <f t="shared" si="42"/>
        <v>360.05900046417361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16.190137234026256</v>
      </c>
      <c r="DG62" s="21">
        <f>EXP(-LN(2)/25)*DG61+(1-EXP(-LN(2)/25))/(LN(2)/25)*Calculateur!DB62*Calculateur!DD62*VLOOKUP('Données projet'!$B$13,Paramètres!$A$1:$I$89,3,0)*0.475*44/12</f>
        <v>20.219107651103062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36.409244885129318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8.374198717948719</v>
      </c>
      <c r="DO62" s="12">
        <f>IF('Données projet'!$A$166&gt;35,DO61+DN62-DW61,IF(A62&lt;'Données projet'!$A$166,$DL$205^A62,IF(A62='Données projet'!$A$166,'Données projet'!$B$166,DO61+DN62-DW61)))</f>
        <v>186.79166666666674</v>
      </c>
      <c r="DP62" s="17">
        <f>DO62*VLOOKUP('Données projet'!$B$14,Paramètres!$A$1:$I$89,3,0)*VLOOKUP('Données projet'!$B$14,Paramètres!$A$1:$I$89,5,0)</f>
        <v>180.66490000000007</v>
      </c>
      <c r="DQ62" s="13">
        <f t="shared" si="43"/>
        <v>45.470082407936609</v>
      </c>
      <c r="DR62" s="20">
        <f t="shared" si="16"/>
        <v>393.85176102715633</v>
      </c>
      <c r="DS62" s="59">
        <f t="shared" si="17"/>
        <v>687.18509436048964</v>
      </c>
      <c r="DT62" s="59">
        <f ca="1">AVERAGE(OFFSET($DS$3,0,0,'Données projet'!$E$14+1,1))-AVERAGE(OFFSET($H$3,0,0,'Données projet'!$E$14+1,1))</f>
        <v>407.73540492005355</v>
      </c>
      <c r="DU62" s="59">
        <f t="shared" si="44"/>
        <v>296.29416764204774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9.5</v>
      </c>
      <c r="EJ62" s="12">
        <f>IF('Données projet'!$A$192&gt;35,EJ61+EI62-ER61,IF(A62&lt;'Données projet'!$A$192,$EG$205^A62,IF(A62='Données projet'!$A$192,'Données projet'!$B$192,EJ61+EI62-ER61)))</f>
        <v>287.5</v>
      </c>
      <c r="EK62" s="17">
        <f>EJ62*VLOOKUP('Données projet'!$B$15,Paramètres!$A$1:$I$89,3,0)*VLOOKUP('Données projet'!$B$15,Paramètres!$A$1:$I$89,5,0)</f>
        <v>224.25</v>
      </c>
      <c r="EL62" s="13">
        <f t="shared" si="45"/>
        <v>55.037571061589858</v>
      </c>
      <c r="EM62" s="20">
        <f t="shared" si="19"/>
        <v>486.42585293226904</v>
      </c>
      <c r="EN62" s="59">
        <f t="shared" si="20"/>
        <v>779.75918626560235</v>
      </c>
      <c r="EO62" s="59">
        <f ca="1">AVERAGE(OFFSET($EN$3,0,0,'Données projet'!$E$15+1,1))-AVERAGE(OFFSET($H$3,0,0,'Données projet'!$E$15+1,1))</f>
        <v>288.80569134263209</v>
      </c>
      <c r="EP62" s="59">
        <f t="shared" si="46"/>
        <v>283.48738729114024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15.890897509337904</v>
      </c>
      <c r="EW62" s="21">
        <f>EXP(-LN(2)/25)*EW61+(1-EXP(-LN(2)/25))/(LN(2)/25)*Calculateur!ER62*Calculateur!ET62*VLOOKUP('Données projet'!$B$15,Paramètres!$A$1:$I$89,3,0)*0.475*44/12</f>
        <v>18.929125778483819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34.820023287821726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384.05928630855732</v>
      </c>
      <c r="T63" s="59">
        <f t="shared" si="34"/>
        <v>279.93992813630513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9.4423076923076916</v>
      </c>
      <c r="AI63" s="13">
        <f>IF('Données projet'!$A$62&gt;35,AI62+AH63-AQ62,IF(A63&lt;'Données projet'!$A$62,$AF$205^A63,IF(A63='Données projet'!$A$62,'Données projet'!$B$62,AI62+AH63-AQ62)))</f>
        <v>195.87820512820508</v>
      </c>
      <c r="AJ63" s="13">
        <f>AI63*VLOOKUP('Données projet'!$B$10,Paramètres!$A$1:$I$89,3,0)*VLOOKUP('Données projet'!$B$10,Paramètres!$A$1:$I$89,5,0)</f>
        <v>165.00779999999997</v>
      </c>
      <c r="AK63" s="13">
        <f t="shared" si="35"/>
        <v>41.97000472530214</v>
      </c>
      <c r="AL63" s="20">
        <f t="shared" si="4"/>
        <v>360.48634322990119</v>
      </c>
      <c r="AM63" s="59">
        <f t="shared" si="5"/>
        <v>653.81967656323445</v>
      </c>
      <c r="AN63" s="59">
        <f ca="1">AVERAGE(OFFSET($AM$3,0,0,'Données projet'!$E$10+1,1))-AVERAGE(OFFSET($H$3,0,0,'Données projet'!$E$10+1,1))</f>
        <v>312.48716825299158</v>
      </c>
      <c r="AO63" s="59">
        <f t="shared" si="36"/>
        <v>258.68277822755357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19.600590870802066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19.600590870802066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251.48759999999979</v>
      </c>
      <c r="BF63" s="13">
        <f t="shared" si="37"/>
        <v>60.904377929400603</v>
      </c>
      <c r="BG63" s="20">
        <f t="shared" si="7"/>
        <v>544.08269489370571</v>
      </c>
      <c r="BH63" s="59">
        <f t="shared" si="8"/>
        <v>837.41602822703908</v>
      </c>
      <c r="BI63" s="59">
        <f ca="1">AVERAGE(OFFSET($BH$3,0,0,'Données projet'!$E$11+1,1))-AVERAGE(OFFSET($H$3,0,0,'Données projet'!$E$11+1,1))</f>
        <v>376.58419691967526</v>
      </c>
      <c r="BJ63" s="59">
        <f t="shared" si="38"/>
        <v>365.76175372075869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0.40419999999999995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42.612273135501908</v>
      </c>
      <c r="BQ63" s="21">
        <f>EXP(-LN(2)/25)*BQ62+(1-EXP(-LN(2)/25))/(LN(2)/25)*Calculateur!BL63*Calculateur!BN63*VLOOKUP('Données projet'!$B$11,Paramètres!$A$1:$I$89,3,0)*0.475*44/12</f>
        <v>7.9439049451219095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50.556178080623816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272.89079999999979</v>
      </c>
      <c r="CA63" s="13">
        <f t="shared" si="39"/>
        <v>65.462389231846373</v>
      </c>
      <c r="CB63" s="20">
        <f t="shared" si="10"/>
        <v>589.29847124546529</v>
      </c>
      <c r="CC63" s="59">
        <f t="shared" si="11"/>
        <v>882.63180457879866</v>
      </c>
      <c r="CD63" s="59">
        <f ca="1">AVERAGE(OFFSET($CC$3,0,0,'Données projet'!$E$12+1,1))-AVERAGE(OFFSET($H$3,0,0,'Données projet'!$E$12+1,1))</f>
        <v>405.40026823646758</v>
      </c>
      <c r="CE63" s="59">
        <f t="shared" si="40"/>
        <v>393.0787141050053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0.49819999999999998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56.992070403395161</v>
      </c>
      <c r="CL63" s="21">
        <f>EXP(-LN(2)/25)*CL62+(1-EXP(-LN(2)/25))/(LN(2)/25)*Calculateur!CG63*Calculateur!CI63*VLOOKUP('Données projet'!$B$12,Paramètres!$A$1:$I$89,3,0)*0.475*44/12</f>
        <v>10.624628929571756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67.616699332966917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246</v>
      </c>
      <c r="CR63" s="12">
        <f>VLOOKUP(A63,'Données projet'!$A$139:$I$159,9,0)</f>
        <v>6.6</v>
      </c>
      <c r="CS63" s="12">
        <f t="array" ref="CS63">INDEX(CR:CR,MIN(IF(ISNUMBER(CR63:CR259),ROW(CR63:CR259),"")))</f>
        <v>6.6</v>
      </c>
      <c r="CT63" s="12">
        <f>IF('Données projet'!$A$140&gt;35,CT62+CS63-DB62,IF(A63&lt;'Données projet'!$A$140,$CQ$205^A63,IF(A63='Données projet'!$A$140,'Données projet'!$B$140,CT62+CS63-DB62)))</f>
        <v>246.00000000000009</v>
      </c>
      <c r="CU63" s="17">
        <f>CT63*VLOOKUP('Données projet'!$B$13,Paramètres!$A$1:$I$89,3,0)*VLOOKUP('Données projet'!$B$13,Paramètres!$A$1:$I$89,5,0)</f>
        <v>214.90560000000008</v>
      </c>
      <c r="CV63" s="13">
        <f t="shared" si="41"/>
        <v>53.006137800892326</v>
      </c>
      <c r="CW63" s="20">
        <f t="shared" si="13"/>
        <v>466.61294333655428</v>
      </c>
      <c r="CX63" s="59">
        <f t="shared" si="14"/>
        <v>759.94627666988754</v>
      </c>
      <c r="CY63" s="59">
        <f ca="1">AVERAGE(OFFSET($CX$3,0,0,'Données projet'!$E$13+1,1))-AVERAGE(OFFSET($H$3,0,0,'Données projet'!$E$13+1,1))</f>
        <v>381.72225529388083</v>
      </c>
      <c r="CZ63" s="59">
        <f t="shared" si="42"/>
        <v>360.05900046417361</v>
      </c>
      <c r="DA63" s="15">
        <f>IF(ISNA(VLOOKUP(A63,'Données projet'!$A$139:$I$159,3,0)),0,VLOOKUP(A63,'Données projet'!$A$139:$I$159,3,0))</f>
        <v>9</v>
      </c>
      <c r="DB63" s="15" t="str">
        <f>IF(ISNA(VLOOKUP(A63,'Données projet'!$A$139:$I$159,4,0)),0,VLOOKUP(A63,'Données projet'!$A$139:$I$159,4,0))</f>
        <v>24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0.17200000000000001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20.855871363445164</v>
      </c>
      <c r="DG63" s="21">
        <f>EXP(-LN(2)/25)*DG62+(1-EXP(-LN(2)/25))/(LN(2)/25)*Calculateur!DB63*Calculateur!DD63*VLOOKUP('Données projet'!$B$13,Paramètres!$A$1:$I$89,3,0)*0.475*44/12</f>
        <v>23.63708871938184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44.492960082827004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8.374198717948719</v>
      </c>
      <c r="DO63" s="12">
        <f>IF('Données projet'!$A$166&gt;35,DO62+DN63-DW62,IF(A63&lt;'Données projet'!$A$166,$DL$205^A63,IF(A63='Données projet'!$A$166,'Données projet'!$B$166,DO62+DN63-DW62)))</f>
        <v>195.16586538461547</v>
      </c>
      <c r="DP63" s="17">
        <f>DO63*VLOOKUP('Données projet'!$B$14,Paramètres!$A$1:$I$89,3,0)*VLOOKUP('Données projet'!$B$14,Paramètres!$A$1:$I$89,5,0)</f>
        <v>188.7644250000001</v>
      </c>
      <c r="DQ63" s="13">
        <f t="shared" si="43"/>
        <v>47.266681123022828</v>
      </c>
      <c r="DR63" s="20">
        <f t="shared" si="16"/>
        <v>411.08750983093159</v>
      </c>
      <c r="DS63" s="59">
        <f t="shared" si="17"/>
        <v>704.42084316426485</v>
      </c>
      <c r="DT63" s="59">
        <f ca="1">AVERAGE(OFFSET($DS$3,0,0,'Données projet'!$E$14+1,1))-AVERAGE(OFFSET($H$3,0,0,'Données projet'!$E$14+1,1))</f>
        <v>407.73540492005355</v>
      </c>
      <c r="DU63" s="59">
        <f t="shared" si="44"/>
        <v>296.29416764204774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297</v>
      </c>
      <c r="EH63" s="12">
        <f>VLOOKUP(A63,'Données projet'!$A$191:$I$211,9,0)</f>
        <v>9.5</v>
      </c>
      <c r="EI63" s="12">
        <f t="array" ref="EI63">INDEX(EH:EH,MIN(IF(ISNUMBER(EH63:EH259),ROW(EH63:EH259),"")))</f>
        <v>9.5</v>
      </c>
      <c r="EJ63" s="12">
        <f>IF('Données projet'!$A$192&gt;35,EJ62+EI63-ER62,IF(A63&lt;'Données projet'!$A$192,$EG$205^A63,IF(A63='Données projet'!$A$192,'Données projet'!$B$192,EJ62+EI63-ER62)))</f>
        <v>297</v>
      </c>
      <c r="EK63" s="17">
        <f>EJ63*VLOOKUP('Données projet'!$B$15,Paramètres!$A$1:$I$89,3,0)*VLOOKUP('Données projet'!$B$15,Paramètres!$A$1:$I$89,5,0)</f>
        <v>231.66</v>
      </c>
      <c r="EL63" s="13">
        <f t="shared" si="45"/>
        <v>56.641461975682766</v>
      </c>
      <c r="EM63" s="20">
        <f t="shared" si="19"/>
        <v>502.12504627431412</v>
      </c>
      <c r="EN63" s="59">
        <f t="shared" si="20"/>
        <v>795.45837960764743</v>
      </c>
      <c r="EO63" s="59">
        <f ca="1">AVERAGE(OFFSET($EN$3,0,0,'Données projet'!$E$15+1,1))-AVERAGE(OFFSET($H$3,0,0,'Données projet'!$E$15+1,1))</f>
        <v>288.80569134263209</v>
      </c>
      <c r="EP63" s="59">
        <f t="shared" si="46"/>
        <v>283.48738729114024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0.17200000000000001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24.292493686110973</v>
      </c>
      <c r="EW63" s="21">
        <f>EXP(-LN(2)/25)*EW62+(1-EXP(-LN(2)/25))/(LN(2)/25)*Calculateur!ER63*Calculateur!ET63*VLOOKUP('Données projet'!$B$15,Paramètres!$A$1:$I$89,3,0)*0.475*44/12</f>
        <v>25.354627653472416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49.647121339583393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384.05928630855732</v>
      </c>
      <c r="T64" s="59">
        <f t="shared" si="34"/>
        <v>279.93992813630513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9.4423076923076916</v>
      </c>
      <c r="AI64" s="13">
        <f>IF('Données projet'!$A$62&gt;35,AI63+AH64-AQ63,IF(A64&lt;'Données projet'!$A$62,$AF$205^A64,IF(A64='Données projet'!$A$62,'Données projet'!$B$62,AI63+AH64-AQ63)))</f>
        <v>205.32051282051276</v>
      </c>
      <c r="AJ64" s="13">
        <f>AI64*VLOOKUP('Données projet'!$B$10,Paramètres!$A$1:$I$89,3,0)*VLOOKUP('Données projet'!$B$10,Paramètres!$A$1:$I$89,5,0)</f>
        <v>172.96199999999996</v>
      </c>
      <c r="AK64" s="13">
        <f t="shared" si="35"/>
        <v>43.752744664753898</v>
      </c>
      <c r="AL64" s="20">
        <f t="shared" si="4"/>
        <v>377.44484695777965</v>
      </c>
      <c r="AM64" s="59">
        <f t="shared" si="5"/>
        <v>670.7781802911129</v>
      </c>
      <c r="AN64" s="59">
        <f ca="1">AVERAGE(OFFSET($AM$3,0,0,'Données projet'!$E$10+1,1))-AVERAGE(OFFSET($H$3,0,0,'Données projet'!$E$10+1,1))</f>
        <v>312.48716825299158</v>
      </c>
      <c r="AO64" s="59">
        <f t="shared" si="36"/>
        <v>258.68277822755357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19.216235239005591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19.216235239005591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243.42239999999978</v>
      </c>
      <c r="BF64" s="13">
        <f t="shared" si="37"/>
        <v>59.175268615646175</v>
      </c>
      <c r="BG64" s="20">
        <f t="shared" si="7"/>
        <v>527.02427283891677</v>
      </c>
      <c r="BH64" s="59">
        <f t="shared" si="8"/>
        <v>820.35760617225014</v>
      </c>
      <c r="BI64" s="59">
        <f ca="1">AVERAGE(OFFSET($BH$3,0,0,'Données projet'!$E$11+1,1))-AVERAGE(OFFSET($H$3,0,0,'Données projet'!$E$11+1,1))</f>
        <v>376.58419691967526</v>
      </c>
      <c r="BJ64" s="59">
        <f t="shared" si="38"/>
        <v>365.76175372075869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41.77667245023494</v>
      </c>
      <c r="BQ64" s="21">
        <f>EXP(-LN(2)/25)*BQ63+(1-EXP(-LN(2)/25))/(LN(2)/25)*Calculateur!BL64*Calculateur!BN64*VLOOKUP('Données projet'!$B$11,Paramètres!$A$1:$I$89,3,0)*0.475*44/12</f>
        <v>7.7266784466457459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49.50335089688069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264.13919999999979</v>
      </c>
      <c r="CA64" s="13">
        <f t="shared" si="39"/>
        <v>63.60387543087441</v>
      </c>
      <c r="CB64" s="20">
        <f t="shared" si="10"/>
        <v>570.81918970877257</v>
      </c>
      <c r="CC64" s="59">
        <f t="shared" si="11"/>
        <v>864.15252304210594</v>
      </c>
      <c r="CD64" s="59">
        <f ca="1">AVERAGE(OFFSET($CC$3,0,0,'Données projet'!$E$12+1,1))-AVERAGE(OFFSET($H$3,0,0,'Données projet'!$E$12+1,1))</f>
        <v>405.40026823646758</v>
      </c>
      <c r="CE64" s="59">
        <f t="shared" si="40"/>
        <v>393.0787141050053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55.874490664515093</v>
      </c>
      <c r="CL64" s="21">
        <f>EXP(-LN(2)/25)*CL63+(1-EXP(-LN(2)/25))/(LN(2)/25)*Calculateur!CG64*Calculateur!CI64*VLOOKUP('Données projet'!$B$12,Paramètres!$A$1:$I$89,3,0)*0.475*44/12</f>
        <v>10.334097892767664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66.208588557282752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228.00000000000009</v>
      </c>
      <c r="CU64" s="17">
        <f>CT64*VLOOKUP('Données projet'!$B$13,Paramètres!$A$1:$I$89,3,0)*VLOOKUP('Données projet'!$B$13,Paramètres!$A$1:$I$89,5,0)</f>
        <v>199.18080000000012</v>
      </c>
      <c r="CV64" s="13">
        <f t="shared" si="41"/>
        <v>49.564089376413726</v>
      </c>
      <c r="CW64" s="20">
        <f t="shared" si="13"/>
        <v>433.2306823305874</v>
      </c>
      <c r="CX64" s="59">
        <f t="shared" si="14"/>
        <v>726.56401566392071</v>
      </c>
      <c r="CY64" s="59">
        <f ca="1">AVERAGE(OFFSET($CX$3,0,0,'Données projet'!$E$13+1,1))-AVERAGE(OFFSET($H$3,0,0,'Données projet'!$E$13+1,1))</f>
        <v>381.72225529388083</v>
      </c>
      <c r="CZ64" s="59">
        <f t="shared" si="42"/>
        <v>360.05900046417361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20.44690044683346</v>
      </c>
      <c r="DG64" s="21">
        <f>EXP(-LN(2)/25)*DG63+(1-EXP(-LN(2)/25))/(LN(2)/25)*Calculateur!DB64*Calculateur!DD64*VLOOKUP('Données projet'!$B$13,Paramètres!$A$1:$I$89,3,0)*0.475*44/12</f>
        <v>22.990731285329872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43.437631732163332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8.374198717948719</v>
      </c>
      <c r="DO64" s="12">
        <f>IF('Données projet'!$A$166&gt;35,DO63+DN64-DW63,IF(A64&lt;'Données projet'!$A$166,$DL$205^A64,IF(A64='Données projet'!$A$166,'Données projet'!$B$166,DO63+DN64-DW63)))</f>
        <v>203.5400641025642</v>
      </c>
      <c r="DP64" s="17">
        <f>DO64*VLOOKUP('Données projet'!$B$14,Paramètres!$A$1:$I$89,3,0)*VLOOKUP('Données projet'!$B$14,Paramètres!$A$1:$I$89,5,0)</f>
        <v>196.8639500000001</v>
      </c>
      <c r="DQ64" s="13">
        <f t="shared" si="43"/>
        <v>49.054326187818369</v>
      </c>
      <c r="DR64" s="20">
        <f t="shared" si="16"/>
        <v>428.30766436045047</v>
      </c>
      <c r="DS64" s="59">
        <f t="shared" si="17"/>
        <v>721.64099769378379</v>
      </c>
      <c r="DT64" s="59">
        <f ca="1">AVERAGE(OFFSET($DS$3,0,0,'Données projet'!$E$14+1,1))-AVERAGE(OFFSET($H$3,0,0,'Données projet'!$E$14+1,1))</f>
        <v>407.73540492005355</v>
      </c>
      <c r="DU64" s="59">
        <f t="shared" si="44"/>
        <v>296.29416764204774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8.6666666666666661</v>
      </c>
      <c r="EJ64" s="12">
        <f>IF('Données projet'!$A$192&gt;35,EJ63+EI64-ER63,IF(A64&lt;'Données projet'!$A$192,$EG$205^A64,IF(A64='Données projet'!$A$192,'Données projet'!$B$192,EJ63+EI64-ER63)))</f>
        <v>258.66666666666669</v>
      </c>
      <c r="EK64" s="17">
        <f>EJ64*VLOOKUP('Données projet'!$B$15,Paramètres!$A$1:$I$89,3,0)*VLOOKUP('Données projet'!$B$15,Paramètres!$A$1:$I$89,5,0)</f>
        <v>201.76000000000002</v>
      </c>
      <c r="EL64" s="13">
        <f t="shared" si="45"/>
        <v>50.130765000424212</v>
      </c>
      <c r="EM64" s="20">
        <f t="shared" si="19"/>
        <v>438.70974904240552</v>
      </c>
      <c r="EN64" s="59">
        <f t="shared" si="20"/>
        <v>732.04308237573878</v>
      </c>
      <c r="EO64" s="59">
        <f ca="1">AVERAGE(OFFSET($EN$3,0,0,'Données projet'!$E$15+1,1))-AVERAGE(OFFSET($H$3,0,0,'Données projet'!$E$15+1,1))</f>
        <v>288.80569134263209</v>
      </c>
      <c r="EP64" s="59">
        <f t="shared" si="46"/>
        <v>283.48738729114024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23.816132701884431</v>
      </c>
      <c r="EW64" s="21">
        <f>EXP(-LN(2)/25)*EW63+(1-EXP(-LN(2)/25))/(LN(2)/25)*Calculateur!ER64*Calculateur!ET64*VLOOKUP('Données projet'!$B$15,Paramètres!$A$1:$I$89,3,0)*0.475*44/12</f>
        <v>24.661304026946294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48.477436728830725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710.74894900400648</v>
      </c>
      <c r="S65" s="59">
        <f ca="1">AVERAGE(OFFSET($R$3,0,0,'Données projet'!$E$9+1,1))-AVERAGE(OFFSET($H$3,0,0,'Données projet'!$E$9+1,1))</f>
        <v>384.05928630855732</v>
      </c>
      <c r="T65" s="59">
        <f t="shared" si="34"/>
        <v>279.93992813630513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9.4423076923076916</v>
      </c>
      <c r="AI65" s="13">
        <f>IF('Données projet'!$A$62&gt;35,AI64+AH65-AQ64,IF(A65&lt;'Données projet'!$A$62,$AF$205^A65,IF(A65='Données projet'!$A$62,'Données projet'!$B$62,AI64+AH65-AQ64)))</f>
        <v>214.76282051282044</v>
      </c>
      <c r="AJ65" s="13">
        <f>AI65*VLOOKUP('Données projet'!$B$10,Paramètres!$A$1:$I$89,3,0)*VLOOKUP('Données projet'!$B$10,Paramètres!$A$1:$I$89,5,0)</f>
        <v>180.91619999999995</v>
      </c>
      <c r="AK65" s="13">
        <f t="shared" si="35"/>
        <v>45.525963516202388</v>
      </c>
      <c r="AL65" s="20">
        <f t="shared" si="4"/>
        <v>394.38676812405242</v>
      </c>
      <c r="AM65" s="59">
        <f t="shared" si="5"/>
        <v>687.72010145738568</v>
      </c>
      <c r="AN65" s="59">
        <f ca="1">AVERAGE(OFFSET($AM$3,0,0,'Données projet'!$E$10+1,1))-AVERAGE(OFFSET($H$3,0,0,'Données projet'!$E$10+1,1))</f>
        <v>312.48716825299158</v>
      </c>
      <c r="AO65" s="59">
        <f t="shared" si="36"/>
        <v>258.68277822755357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18.839416586714862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18.839416586714862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247.82159999999982</v>
      </c>
      <c r="BF65" s="13">
        <f t="shared" si="37"/>
        <v>60.119231945607517</v>
      </c>
      <c r="BG65" s="20">
        <f t="shared" si="7"/>
        <v>536.330282305266</v>
      </c>
      <c r="BH65" s="59">
        <f t="shared" si="8"/>
        <v>829.66361563859937</v>
      </c>
      <c r="BI65" s="59">
        <f ca="1">AVERAGE(OFFSET($BH$3,0,0,'Données projet'!$E$11+1,1))-AVERAGE(OFFSET($H$3,0,0,'Données projet'!$E$11+1,1))</f>
        <v>376.58419691967526</v>
      </c>
      <c r="BJ65" s="59">
        <f t="shared" si="38"/>
        <v>365.76175372075869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40.957457384739961</v>
      </c>
      <c r="BQ65" s="21">
        <f>EXP(-LN(2)/25)*BQ64+(1-EXP(-LN(2)/25))/(LN(2)/25)*Calculateur!BL65*Calculateur!BN65*VLOOKUP('Données projet'!$B$11,Paramètres!$A$1:$I$89,3,0)*0.475*44/12</f>
        <v>7.5153920181938583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48.472849402933818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268.91279999999978</v>
      </c>
      <c r="CA65" s="13">
        <f t="shared" si="39"/>
        <v>64.618483855217065</v>
      </c>
      <c r="CB65" s="20">
        <f t="shared" si="10"/>
        <v>580.90031938116931</v>
      </c>
      <c r="CC65" s="59">
        <f t="shared" si="11"/>
        <v>874.23365271450257</v>
      </c>
      <c r="CD65" s="59">
        <f ca="1">AVERAGE(OFFSET($CC$3,0,0,'Données projet'!$E$12+1,1))-AVERAGE(OFFSET($H$3,0,0,'Données projet'!$E$12+1,1))</f>
        <v>405.40026823646758</v>
      </c>
      <c r="CE65" s="59">
        <f t="shared" si="40"/>
        <v>393.0787141050053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54.778825982658127</v>
      </c>
      <c r="CL65" s="21">
        <f>EXP(-LN(2)/25)*CL64+(1-EXP(-LN(2)/25))/(LN(2)/25)*Calculateur!CG65*Calculateur!CI65*VLOOKUP('Données projet'!$B$12,Paramètres!$A$1:$I$89,3,0)*0.475*44/12</f>
        <v>10.051511442443344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64.830337425101476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234.00000000000009</v>
      </c>
      <c r="CU65" s="17">
        <f>CT65*VLOOKUP('Données projet'!$B$13,Paramètres!$A$1:$I$89,3,0)*VLOOKUP('Données projet'!$B$13,Paramètres!$A$1:$I$89,5,0)</f>
        <v>204.4224000000001</v>
      </c>
      <c r="CV65" s="13">
        <f t="shared" si="41"/>
        <v>50.714836797527312</v>
      </c>
      <c r="CW65" s="20">
        <f t="shared" si="13"/>
        <v>444.3640207556935</v>
      </c>
      <c r="CX65" s="59">
        <f t="shared" si="14"/>
        <v>737.69735408902682</v>
      </c>
      <c r="CY65" s="59">
        <f ca="1">AVERAGE(OFFSET($CX$3,0,0,'Données projet'!$E$13+1,1))-AVERAGE(OFFSET($H$3,0,0,'Données projet'!$E$13+1,1))</f>
        <v>381.72225529388083</v>
      </c>
      <c r="CZ65" s="59">
        <f t="shared" si="42"/>
        <v>360.05900046417361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20.045949200448881</v>
      </c>
      <c r="DG65" s="21">
        <f>EXP(-LN(2)/25)*DG64+(1-EXP(-LN(2)/25))/(LN(2)/25)*Calculateur!DB65*Calculateur!DD65*VLOOKUP('Données projet'!$B$13,Paramètres!$A$1:$I$89,3,0)*0.475*44/12</f>
        <v>22.362048529302513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42.407997729751393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8.374198717948719</v>
      </c>
      <c r="DO65" s="12">
        <f>IF('Données projet'!$A$166&gt;35,DO64+DN65-DW64,IF(A65&lt;'Données projet'!$A$166,$DL$205^A65,IF(A65='Données projet'!$A$166,'Données projet'!$B$166,DO64+DN65-DW64)))</f>
        <v>211.91426282051293</v>
      </c>
      <c r="DP65" s="17">
        <f>DO65*VLOOKUP('Données projet'!$B$14,Paramètres!$A$1:$I$89,3,0)*VLOOKUP('Données projet'!$B$14,Paramètres!$A$1:$I$89,5,0)</f>
        <v>204.96347500000013</v>
      </c>
      <c r="DQ65" s="13">
        <f t="shared" si="43"/>
        <v>50.833428112287699</v>
      </c>
      <c r="DR65" s="20">
        <f t="shared" si="16"/>
        <v>445.51293958723454</v>
      </c>
      <c r="DS65" s="59">
        <f t="shared" si="17"/>
        <v>738.8462729205678</v>
      </c>
      <c r="DT65" s="59">
        <f ca="1">AVERAGE(OFFSET($DS$3,0,0,'Données projet'!$E$14+1,1))-AVERAGE(OFFSET($H$3,0,0,'Données projet'!$E$14+1,1))</f>
        <v>407.73540492005355</v>
      </c>
      <c r="DU65" s="59">
        <f t="shared" si="44"/>
        <v>296.29416764204774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8.6666666666666661</v>
      </c>
      <c r="EJ65" s="12">
        <f>IF('Données projet'!$A$192&gt;35,EJ64+EI65-ER64,IF(A65&lt;'Données projet'!$A$192,$EG$205^A65,IF(A65='Données projet'!$A$192,'Données projet'!$B$192,EJ64+EI65-ER64)))</f>
        <v>267.33333333333337</v>
      </c>
      <c r="EK65" s="17">
        <f>EJ65*VLOOKUP('Données projet'!$B$15,Paramètres!$A$1:$I$89,3,0)*VLOOKUP('Données projet'!$B$15,Paramètres!$A$1:$I$89,5,0)</f>
        <v>208.52000000000004</v>
      </c>
      <c r="EL65" s="13">
        <f t="shared" si="45"/>
        <v>51.612035456318509</v>
      </c>
      <c r="EM65" s="20">
        <f t="shared" si="19"/>
        <v>453.06329508642142</v>
      </c>
      <c r="EN65" s="59">
        <f t="shared" si="20"/>
        <v>746.39662841975473</v>
      </c>
      <c r="EO65" s="59">
        <f ca="1">AVERAGE(OFFSET($EN$3,0,0,'Données projet'!$E$15+1,1))-AVERAGE(OFFSET($H$3,0,0,'Données projet'!$E$15+1,1))</f>
        <v>288.80569134263209</v>
      </c>
      <c r="EP65" s="59">
        <f t="shared" si="46"/>
        <v>283.48738729114024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23.349112866007061</v>
      </c>
      <c r="EW65" s="21">
        <f>EXP(-LN(2)/25)*EW64+(1-EXP(-LN(2)/25))/(LN(2)/25)*Calculateur!ER65*Calculateur!ET65*VLOOKUP('Données projet'!$B$15,Paramètres!$A$1:$I$89,3,0)*0.475*44/12</f>
        <v>23.986939371447832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47.336052237454894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726.85338617845832</v>
      </c>
      <c r="S66" s="59">
        <f ca="1">AVERAGE(OFFSET($R$3,0,0,'Données projet'!$E$9+1,1))-AVERAGE(OFFSET($H$3,0,0,'Données projet'!$E$9+1,1))</f>
        <v>384.05928630855732</v>
      </c>
      <c r="T66" s="59">
        <f t="shared" si="34"/>
        <v>279.93992813630513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9.4423076923076916</v>
      </c>
      <c r="AI66" s="13">
        <f>IF('Données projet'!$A$62&gt;35,AI65+AH66-AQ65,IF(A66&lt;'Données projet'!$A$62,$AF$205^A66,IF(A66='Données projet'!$A$62,'Données projet'!$B$62,AI65+AH66-AQ65)))</f>
        <v>224.20512820512812</v>
      </c>
      <c r="AJ66" s="13">
        <f>AI66*VLOOKUP('Données projet'!$B$10,Paramètres!$A$1:$I$89,3,0)*VLOOKUP('Données projet'!$B$10,Paramètres!$A$1:$I$89,5,0)</f>
        <v>188.87039999999993</v>
      </c>
      <c r="AK66" s="13">
        <f t="shared" si="35"/>
        <v>47.290127724640193</v>
      </c>
      <c r="AL66" s="20">
        <f t="shared" si="4"/>
        <v>411.31291912041485</v>
      </c>
      <c r="AM66" s="59">
        <f t="shared" si="5"/>
        <v>704.64625245374816</v>
      </c>
      <c r="AN66" s="59">
        <f ca="1">AVERAGE(OFFSET($AM$3,0,0,'Données projet'!$E$10+1,1))-AVERAGE(OFFSET($H$3,0,0,'Données projet'!$E$10+1,1))</f>
        <v>312.48716825299158</v>
      </c>
      <c r="AO66" s="59">
        <f t="shared" si="36"/>
        <v>258.68277822755357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18.469987118358869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18.469987118358869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252.2207999999998</v>
      </c>
      <c r="BF66" s="13">
        <f t="shared" si="37"/>
        <v>61.061246695931573</v>
      </c>
      <c r="BG66" s="20">
        <f t="shared" si="7"/>
        <v>545.63289799541383</v>
      </c>
      <c r="BH66" s="59">
        <f t="shared" si="8"/>
        <v>838.9662313287472</v>
      </c>
      <c r="BI66" s="59">
        <f ca="1">AVERAGE(OFFSET($BH$3,0,0,'Données projet'!$E$11+1,1))-AVERAGE(OFFSET($H$3,0,0,'Données projet'!$E$11+1,1))</f>
        <v>376.58419691967526</v>
      </c>
      <c r="BJ66" s="59">
        <f t="shared" si="38"/>
        <v>365.76175372075869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40.154306627007486</v>
      </c>
      <c r="BQ66" s="21">
        <f>EXP(-LN(2)/25)*BQ65+(1-EXP(-LN(2)/25))/(LN(2)/25)*Calculateur!BL66*Calculateur!BN66*VLOOKUP('Données projet'!$B$11,Paramètres!$A$1:$I$89,3,0)*0.475*44/12</f>
        <v>7.309883228239058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47.464189855246545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273.68639999999976</v>
      </c>
      <c r="CA66" s="13">
        <f t="shared" si="39"/>
        <v>65.630997870536959</v>
      </c>
      <c r="CB66" s="20">
        <f t="shared" si="10"/>
        <v>590.97780129118485</v>
      </c>
      <c r="CC66" s="59">
        <f t="shared" si="11"/>
        <v>884.31113462451822</v>
      </c>
      <c r="CD66" s="59">
        <f ca="1">AVERAGE(OFFSET($CC$3,0,0,'Données projet'!$E$12+1,1))-AVERAGE(OFFSET($H$3,0,0,'Données projet'!$E$12+1,1))</f>
        <v>405.40026823646758</v>
      </c>
      <c r="CE66" s="59">
        <f t="shared" si="40"/>
        <v>393.0787141050053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53.704646616922908</v>
      </c>
      <c r="CL66" s="21">
        <f>EXP(-LN(2)/25)*CL65+(1-EXP(-LN(2)/25))/(LN(2)/25)*Calculateur!CG66*Calculateur!CI66*VLOOKUP('Données projet'!$B$12,Paramètres!$A$1:$I$89,3,0)*0.475*44/12</f>
        <v>9.7766523334637174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63.481298950386623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240.00000000000009</v>
      </c>
      <c r="CU66" s="17">
        <f>CT66*VLOOKUP('Données projet'!$B$13,Paramètres!$A$1:$I$89,3,0)*VLOOKUP('Données projet'!$B$13,Paramètres!$A$1:$I$89,5,0)</f>
        <v>209.6640000000001</v>
      </c>
      <c r="CV66" s="13">
        <f t="shared" si="41"/>
        <v>51.862154403304537</v>
      </c>
      <c r="CW66" s="20">
        <f t="shared" si="13"/>
        <v>455.49138558575561</v>
      </c>
      <c r="CX66" s="59">
        <f t="shared" si="14"/>
        <v>748.82471891908892</v>
      </c>
      <c r="CY66" s="59">
        <f ca="1">AVERAGE(OFFSET($CX$3,0,0,'Données projet'!$E$13+1,1))-AVERAGE(OFFSET($H$3,0,0,'Données projet'!$E$13+1,1))</f>
        <v>381.72225529388083</v>
      </c>
      <c r="CZ66" s="59">
        <f t="shared" si="42"/>
        <v>360.05900046417361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19.652860363449793</v>
      </c>
      <c r="DG66" s="21">
        <f>EXP(-LN(2)/25)*DG65+(1-EXP(-LN(2)/25))/(LN(2)/25)*Calculateur!DB66*Calculateur!DD66*VLOOKUP('Données projet'!$B$13,Paramètres!$A$1:$I$89,3,0)*0.475*44/12</f>
        <v>21.750557136299712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41.403417499749509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220.28846153846152</v>
      </c>
      <c r="DM66" s="12">
        <f>VLOOKUP(A66,'Données projet'!$A$165:$I$185,9,0)</f>
        <v>8.374198717948719</v>
      </c>
      <c r="DN66" s="12">
        <f t="array" ref="DN66">INDEX(DM:DM,MIN(IF(ISNUMBER(DM66:DM262),ROW(DM66:DM262),"")))</f>
        <v>8.374198717948719</v>
      </c>
      <c r="DO66" s="12">
        <f>IF('Données projet'!$A$166&gt;35,DO65+DN66-DW65,IF(A66&lt;'Données projet'!$A$166,$DL$205^A66,IF(A66='Données projet'!$A$166,'Données projet'!$B$166,DO65+DN66-DW65)))</f>
        <v>220.28846153846166</v>
      </c>
      <c r="DP66" s="17">
        <f>DO66*VLOOKUP('Données projet'!$B$14,Paramètres!$A$1:$I$89,3,0)*VLOOKUP('Données projet'!$B$14,Paramètres!$A$1:$I$89,5,0)</f>
        <v>213.06300000000013</v>
      </c>
      <c r="DQ66" s="13">
        <f t="shared" si="43"/>
        <v>52.604363125497073</v>
      </c>
      <c r="DR66" s="20">
        <f t="shared" si="16"/>
        <v>462.70399077690763</v>
      </c>
      <c r="DS66" s="59">
        <f t="shared" si="17"/>
        <v>756.03732411024089</v>
      </c>
      <c r="DT66" s="59">
        <f ca="1">AVERAGE(OFFSET($DS$3,0,0,'Données projet'!$E$14+1,1))-AVERAGE(OFFSET($H$3,0,0,'Données projet'!$E$14+1,1))</f>
        <v>407.73540492005355</v>
      </c>
      <c r="DU66" s="59">
        <f t="shared" si="44"/>
        <v>296.29416764204774</v>
      </c>
      <c r="DV66" s="15">
        <f>IF(ISNA(VLOOKUP(A66,'Données projet'!$A$165:$I$185,3,0)),0,VLOOKUP(A66,'Données projet'!$A$165:$I$185,3,0))</f>
        <v>5</v>
      </c>
      <c r="DW66" s="15">
        <f>IF(ISNA(VLOOKUP(A66,'Données projet'!$A$165:$I$185,4,0)),0,VLOOKUP(A66,'Données projet'!$A$165:$I$185,4,0))</f>
        <v>41.724358974358978</v>
      </c>
      <c r="DX66" s="16">
        <f>IF(ISNA(VLOOKUP(A66,'Données projet'!$A$165:$I$185,5,0)),0%,VLOOKUP(A66,'Données projet'!$A$165:$I$185,5,0)*VLOOKUP('Données projet'!$B$14,Paramètres!$A$1:$I$89,7,0))</f>
        <v>0.30099999999999999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13.428254604249105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13.428254604249105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8.6666666666666661</v>
      </c>
      <c r="EJ66" s="12">
        <f>IF('Données projet'!$A$192&gt;35,EJ65+EI66-ER65,IF(A66&lt;'Données projet'!$A$192,$EG$205^A66,IF(A66='Données projet'!$A$192,'Données projet'!$B$192,EJ65+EI66-ER65)))</f>
        <v>276.00000000000006</v>
      </c>
      <c r="EK66" s="17">
        <f>EJ66*VLOOKUP('Données projet'!$B$15,Paramètres!$A$1:$I$89,3,0)*VLOOKUP('Données projet'!$B$15,Paramètres!$A$1:$I$89,5,0)</f>
        <v>215.28000000000006</v>
      </c>
      <c r="EL66" s="13">
        <f t="shared" si="45"/>
        <v>53.087725740853138</v>
      </c>
      <c r="EM66" s="20">
        <f t="shared" si="19"/>
        <v>467.40712233198593</v>
      </c>
      <c r="EN66" s="59">
        <f t="shared" si="20"/>
        <v>760.74045566531925</v>
      </c>
      <c r="EO66" s="59">
        <f ca="1">AVERAGE(OFFSET($EN$3,0,0,'Données projet'!$E$15+1,1))-AVERAGE(OFFSET($H$3,0,0,'Données projet'!$E$15+1,1))</f>
        <v>288.80569134263209</v>
      </c>
      <c r="EP66" s="59">
        <f t="shared" si="46"/>
        <v>283.48738729114024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22.891251004257274</v>
      </c>
      <c r="EW66" s="21">
        <f>EXP(-LN(2)/25)*EW65+(1-EXP(-LN(2)/25))/(LN(2)/25)*Calculateur!ER66*Calculateur!ET66*VLOOKUP('Données projet'!$B$15,Paramètres!$A$1:$I$89,3,0)*0.475*44/12</f>
        <v>23.331015252917272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46.222266257174546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662.10688083137347</v>
      </c>
      <c r="S67" s="59">
        <f ca="1">AVERAGE(OFFSET($R$3,0,0,'Données projet'!$E$9+1,1))-AVERAGE(OFFSET($H$3,0,0,'Données projet'!$E$9+1,1))</f>
        <v>384.05928630855732</v>
      </c>
      <c r="T67" s="59">
        <f t="shared" si="34"/>
        <v>279.93992813630513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9.4423076923076916</v>
      </c>
      <c r="AI67" s="13">
        <f>IF('Données projet'!$A$62&gt;35,AI66+AH67-AQ66,IF(A67&lt;'Données projet'!$A$62,$AF$205^A67,IF(A67='Données projet'!$A$62,'Données projet'!$B$62,AI66+AH67-AQ66)))</f>
        <v>233.6474358974358</v>
      </c>
      <c r="AJ67" s="13">
        <f>AI67*VLOOKUP('Données projet'!$B$10,Paramètres!$A$1:$I$89,3,0)*VLOOKUP('Données projet'!$B$10,Paramètres!$A$1:$I$89,5,0)</f>
        <v>196.82459999999995</v>
      </c>
      <c r="AK67" s="13">
        <f t="shared" si="35"/>
        <v>49.045662224272554</v>
      </c>
      <c r="AL67" s="20">
        <f t="shared" si="4"/>
        <v>428.22404004060792</v>
      </c>
      <c r="AM67" s="59">
        <f t="shared" si="5"/>
        <v>721.55737337394123</v>
      </c>
      <c r="AN67" s="59">
        <f ca="1">AVERAGE(OFFSET($AM$3,0,0,'Données projet'!$E$10+1,1))-AVERAGE(OFFSET($H$3,0,0,'Données projet'!$E$10+1,1))</f>
        <v>312.48716825299158</v>
      </c>
      <c r="AO67" s="59">
        <f t="shared" si="36"/>
        <v>258.68277822755357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18.10780193654761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18.10780193654761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256.61999999999978</v>
      </c>
      <c r="BF67" s="13">
        <f t="shared" si="37"/>
        <v>62.001350774926514</v>
      </c>
      <c r="BG67" s="20">
        <f t="shared" si="7"/>
        <v>554.9321859329965</v>
      </c>
      <c r="BH67" s="59">
        <f t="shared" si="8"/>
        <v>848.26551926632987</v>
      </c>
      <c r="BI67" s="59">
        <f ca="1">AVERAGE(OFFSET($BH$3,0,0,'Données projet'!$E$11+1,1))-AVERAGE(OFFSET($H$3,0,0,'Données projet'!$E$11+1,1))</f>
        <v>376.58419691967526</v>
      </c>
      <c r="BJ67" s="59">
        <f t="shared" si="38"/>
        <v>365.76175372075869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39.366905165760556</v>
      </c>
      <c r="BQ67" s="21">
        <f>EXP(-LN(2)/25)*BQ66+(1-EXP(-LN(2)/25))/(LN(2)/25)*Calculateur!BL67*Calculateur!BN67*VLOOKUP('Données projet'!$B$11,Paramètres!$A$1:$I$89,3,0)*0.475*44/12</f>
        <v>7.1099940869528089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46.476899252713366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278.45999999999981</v>
      </c>
      <c r="CA67" s="13">
        <f t="shared" si="39"/>
        <v>66.641458222154824</v>
      </c>
      <c r="CB67" s="20">
        <f t="shared" si="10"/>
        <v>601.05170640358597</v>
      </c>
      <c r="CC67" s="59">
        <f t="shared" si="11"/>
        <v>894.38503973691923</v>
      </c>
      <c r="CD67" s="59">
        <f ca="1">AVERAGE(OFFSET($CC$3,0,0,'Données projet'!$E$12+1,1))-AVERAGE(OFFSET($H$3,0,0,'Données projet'!$E$12+1,1))</f>
        <v>405.40026823646758</v>
      </c>
      <c r="CE67" s="59">
        <f t="shared" si="40"/>
        <v>393.0787141050053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52.651531253365043</v>
      </c>
      <c r="CL67" s="21">
        <f>EXP(-LN(2)/25)*CL66+(1-EXP(-LN(2)/25))/(LN(2)/25)*Calculateur!CG67*Calculateur!CI67*VLOOKUP('Données projet'!$B$12,Paramètres!$A$1:$I$89,3,0)*0.475*44/12</f>
        <v>9.5093092612733514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62.160840514638394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246.00000000000009</v>
      </c>
      <c r="CU67" s="17">
        <f>CT67*VLOOKUP('Données projet'!$B$13,Paramètres!$A$1:$I$89,3,0)*VLOOKUP('Données projet'!$B$13,Paramètres!$A$1:$I$89,5,0)</f>
        <v>214.90560000000008</v>
      </c>
      <c r="CV67" s="13">
        <f t="shared" si="41"/>
        <v>53.006137800892326</v>
      </c>
      <c r="CW67" s="20">
        <f t="shared" si="13"/>
        <v>466.61294333655428</v>
      </c>
      <c r="CX67" s="59">
        <f t="shared" si="14"/>
        <v>759.94627666988754</v>
      </c>
      <c r="CY67" s="59">
        <f ca="1">AVERAGE(OFFSET($CX$3,0,0,'Données projet'!$E$13+1,1))-AVERAGE(OFFSET($H$3,0,0,'Données projet'!$E$13+1,1))</f>
        <v>381.72225529388083</v>
      </c>
      <c r="CZ67" s="59">
        <f t="shared" si="42"/>
        <v>360.05900046417361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19.26747975878374</v>
      </c>
      <c r="DG67" s="21">
        <f>EXP(-LN(2)/25)*DG66+(1-EXP(-LN(2)/25))/(LN(2)/25)*Calculateur!DB67*Calculateur!DD67*VLOOKUP('Données projet'!$B$13,Paramètres!$A$1:$I$89,3,0)*0.475*44/12</f>
        <v>21.155787007595507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40.423266766379243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8.1001602564102626</v>
      </c>
      <c r="DO67" s="12">
        <f>IF('Données projet'!$A$166&gt;35,DO66+DN67-DW66,IF(A67&lt;'Données projet'!$A$166,$DL$205^A67,IF(A67='Données projet'!$A$166,'Données projet'!$B$166,DO66+DN67-DW66)))</f>
        <v>186.66426282051296</v>
      </c>
      <c r="DP67" s="17">
        <f>DO67*VLOOKUP('Données projet'!$B$14,Paramètres!$A$1:$I$89,3,0)*VLOOKUP('Données projet'!$B$14,Paramètres!$A$1:$I$89,5,0)</f>
        <v>180.54167500000014</v>
      </c>
      <c r="DQ67" s="13">
        <f t="shared" si="43"/>
        <v>45.44267779110703</v>
      </c>
      <c r="DR67" s="20">
        <f t="shared" si="16"/>
        <v>393.58941444451165</v>
      </c>
      <c r="DS67" s="59">
        <f t="shared" si="17"/>
        <v>686.92274777784496</v>
      </c>
      <c r="DT67" s="59">
        <f ca="1">AVERAGE(OFFSET($DS$3,0,0,'Données projet'!$E$14+1,1))-AVERAGE(OFFSET($H$3,0,0,'Données projet'!$E$14+1,1))</f>
        <v>407.73540492005355</v>
      </c>
      <c r="DU67" s="59">
        <f t="shared" si="44"/>
        <v>296.29416764204774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13.16493472188635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13.16493472188635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8.6666666666666661</v>
      </c>
      <c r="EJ67" s="12">
        <f>IF('Données projet'!$A$192&gt;35,EJ66+EI67-ER66,IF(A67&lt;'Données projet'!$A$192,$EG$205^A67,IF(A67='Données projet'!$A$192,'Données projet'!$B$192,EJ66+EI67-ER66)))</f>
        <v>284.66666666666674</v>
      </c>
      <c r="EK67" s="17">
        <f>EJ67*VLOOKUP('Données projet'!$B$15,Paramètres!$A$1:$I$89,3,0)*VLOOKUP('Données projet'!$B$15,Paramètres!$A$1:$I$89,5,0)</f>
        <v>222.04000000000008</v>
      </c>
      <c r="EL67" s="13">
        <f t="shared" si="45"/>
        <v>54.558031180803596</v>
      </c>
      <c r="EM67" s="20">
        <f t="shared" si="19"/>
        <v>481.74157097323308</v>
      </c>
      <c r="EN67" s="59">
        <f t="shared" si="20"/>
        <v>775.0749043065664</v>
      </c>
      <c r="EO67" s="59">
        <f ca="1">AVERAGE(OFFSET($EN$3,0,0,'Données projet'!$E$15+1,1))-AVERAGE(OFFSET($H$3,0,0,'Données projet'!$E$15+1,1))</f>
        <v>288.80569134263209</v>
      </c>
      <c r="EP67" s="59">
        <f t="shared" si="46"/>
        <v>283.48738729114024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22.442367534348239</v>
      </c>
      <c r="EW67" s="21">
        <f>EXP(-LN(2)/25)*EW66+(1-EXP(-LN(2)/25))/(LN(2)/25)*Calculateur!ER67*Calculateur!ET67*VLOOKUP('Données projet'!$B$15,Paramètres!$A$1:$I$89,3,0)*0.475*44/12</f>
        <v>22.693027413901479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45.135394948249719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677.72553329460266</v>
      </c>
      <c r="S68" s="59">
        <f ca="1">AVERAGE(OFFSET($R$3,0,0,'Données projet'!$E$9+1,1))-AVERAGE(OFFSET($H$3,0,0,'Données projet'!$E$9+1,1))</f>
        <v>384.05928630855732</v>
      </c>
      <c r="T68" s="59">
        <f t="shared" si="34"/>
        <v>279.93992813630513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243.08974358974359</v>
      </c>
      <c r="AG68" s="12">
        <f>VLOOKUP(A68,'Données projet'!$A$61:$I$81,9,0)</f>
        <v>9.4423076923076916</v>
      </c>
      <c r="AH68" s="12">
        <f t="array" ref="AH68">INDEX(AG:AG,MIN(IF(ISNUMBER(AG68:AG264),ROW(AG68:AG264),"")))</f>
        <v>9.4423076923076916</v>
      </c>
      <c r="AI68" s="13">
        <f>IF('Données projet'!$A$62&gt;35,AI67+AH68-AQ67,IF(A68&lt;'Données projet'!$A$62,$AF$205^A68,IF(A68='Données projet'!$A$62,'Données projet'!$B$62,AI67+AH68-AQ67)))</f>
        <v>243.08974358974348</v>
      </c>
      <c r="AJ68" s="13">
        <f>AI68*VLOOKUP('Données projet'!$B$10,Paramètres!$A$1:$I$89,3,0)*VLOOKUP('Données projet'!$B$10,Paramètres!$A$1:$I$89,5,0)</f>
        <v>204.7787999999999</v>
      </c>
      <c r="AK68" s="13">
        <f t="shared" si="35"/>
        <v>50.792955660067982</v>
      </c>
      <c r="AL68" s="20">
        <f t="shared" ref="AL68:AL131" si="58">(AJ68+AK68)*0.475*44/12</f>
        <v>445.12080777461819</v>
      </c>
      <c r="AM68" s="59">
        <f t="shared" ref="AM68:AM131" si="59">AL68+(AD68+AE68)*44/12</f>
        <v>738.4541411079515</v>
      </c>
      <c r="AN68" s="59">
        <f ca="1">AVERAGE(OFFSET($AM$3,0,0,'Données projet'!$E$10+1,1))-AVERAGE(OFFSET($H$3,0,0,'Données projet'!$E$10+1,1))</f>
        <v>312.48716825299158</v>
      </c>
      <c r="AO68" s="59">
        <f t="shared" si="36"/>
        <v>258.68277822755357</v>
      </c>
      <c r="AP68" s="15">
        <f>IF(ISNA(VLOOKUP(A68,'Données projet'!$A$61:$I$81,3,0)),0,VLOOKUP(A68,'Données projet'!$A$61:$I$81,3,0))</f>
        <v>6</v>
      </c>
      <c r="AQ68" s="15">
        <f>IF(ISNA(VLOOKUP(A68,'Données projet'!$A$61:$I$81,4,0)),0,VLOOKUP(A68,'Données projet'!$A$61:$I$81,4,0))</f>
        <v>39.615384615384613</v>
      </c>
      <c r="AR68" s="16">
        <f>IF(ISNA(VLOOKUP(A68,'Données projet'!$A$61:$I$81,5,0)),0%,VLOOKUP(A68,'Données projet'!$A$61:$I$81,5,0)*VLOOKUP('Données projet'!$B$10,Paramètres!$A$1:$I$89,7,0))</f>
        <v>0.30099999999999999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28.857137994478379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28.857137994478379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261.01919999999978</v>
      </c>
      <c r="BF68" s="13">
        <f t="shared" si="37"/>
        <v>62.939580716713571</v>
      </c>
      <c r="BG68" s="20">
        <f t="shared" ref="BG68:BG131" si="61">(BE68+BF68)*0.475*44/12</f>
        <v>564.22820974827573</v>
      </c>
      <c r="BH68" s="59">
        <f t="shared" ref="BH68:BH131" si="62">BG68+(AY68+AZ68)*44/12</f>
        <v>857.56154308160899</v>
      </c>
      <c r="BI68" s="59">
        <f ca="1">AVERAGE(OFFSET($BH$3,0,0,'Données projet'!$E$11+1,1))-AVERAGE(OFFSET($H$3,0,0,'Données projet'!$E$11+1,1))</f>
        <v>376.58419691967526</v>
      </c>
      <c r="BJ68" s="59">
        <f t="shared" si="38"/>
        <v>365.76175372075869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0.40419999999999995</v>
      </c>
      <c r="BN68" s="16">
        <f>IF(ISNA(VLOOKUP(A68,'Données projet'!$A$87:$I$107,6,0)),0%,VLOOKUP(A68,'Données projet'!$A$87:$I$107,6,0)*VLOOKUP('Données projet'!$B$11,Paramètres!$A$1:$I$89,7,0))</f>
        <v>2.58E-2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43.836809488740769</v>
      </c>
      <c r="BQ68" s="21">
        <f>EXP(-LN(2)/25)*BQ67+(1-EXP(-LN(2)/25))/(LN(2)/25)*Calculateur!BL68*Calculateur!BN68*VLOOKUP('Données projet'!$B$11,Paramètres!$A$1:$I$89,3,0)*0.475*44/12</f>
        <v>7.2488406758590989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51.085650164599869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283.2335999999998</v>
      </c>
      <c r="CA68" s="13">
        <f t="shared" si="39"/>
        <v>67.649904178362377</v>
      </c>
      <c r="CB68" s="20">
        <f t="shared" ref="CB68:CB131" si="64">(BZ68+CA68)*0.475*44/12</f>
        <v>611.12210311064734</v>
      </c>
      <c r="CC68" s="59">
        <f t="shared" ref="CC68:CC131" si="65">CB68+(BT68+BU68)*44/12</f>
        <v>904.45543644398072</v>
      </c>
      <c r="CD68" s="59">
        <f ca="1">AVERAGE(OFFSET($CC$3,0,0,'Données projet'!$E$12+1,1))-AVERAGE(OFFSET($H$3,0,0,'Données projet'!$E$12+1,1))</f>
        <v>405.40026823646758</v>
      </c>
      <c r="CE68" s="59">
        <f t="shared" si="40"/>
        <v>393.0787141050053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0.49819999999999998</v>
      </c>
      <c r="CI68" s="16">
        <f>IF(ISNA(VLOOKUP(A68,'Données projet'!$A$113:$I$133,6,0)),0%,VLOOKUP(A68,'Données projet'!$A$113:$I$133,6,0)*VLOOKUP('Données projet'!$B$12,Paramètres!$A$1:$I$89,7,0))</f>
        <v>3.1800000000000002E-2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58.629834759062973</v>
      </c>
      <c r="CL68" s="21">
        <f>EXP(-LN(2)/25)*CL67+(1-EXP(-LN(2)/25))/(LN(2)/25)*Calculateur!CG68*Calculateur!CI68*VLOOKUP('Données projet'!$B$12,Paramètres!$A$1:$I$89,3,0)*0.475*44/12</f>
        <v>9.6950105625171421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68.324845321580113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252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252.00000000000009</v>
      </c>
      <c r="CU68" s="17">
        <f>CT68*VLOOKUP('Données projet'!$B$13,Paramètres!$A$1:$I$89,3,0)*VLOOKUP('Données projet'!$B$13,Paramètres!$A$1:$I$89,5,0)</f>
        <v>220.14720000000011</v>
      </c>
      <c r="CV68" s="13">
        <f t="shared" si="41"/>
        <v>54.146877667769687</v>
      </c>
      <c r="CW68" s="20">
        <f t="shared" ref="CW68:CW131" si="67">(CU68+CV68)*0.475*44/12</f>
        <v>477.72885193803239</v>
      </c>
      <c r="CX68" s="59">
        <f t="shared" ref="CX68:CX131" si="68">CW68+(CO68+CP68)*44/12</f>
        <v>771.06218527136571</v>
      </c>
      <c r="CY68" s="59">
        <f ca="1">AVERAGE(OFFSET($CX$3,0,0,'Données projet'!$E$13+1,1))-AVERAGE(OFFSET($H$3,0,0,'Données projet'!$E$13+1,1))</f>
        <v>381.72225529388083</v>
      </c>
      <c r="CZ68" s="59">
        <f t="shared" si="42"/>
        <v>360.05900046417361</v>
      </c>
      <c r="DA68" s="15">
        <f>IF(ISNA(VLOOKUP(A68,'Données projet'!$A$139:$I$159,3,0)),0,VLOOKUP(A68,'Données projet'!$A$139:$I$159,3,0))</f>
        <v>10</v>
      </c>
      <c r="DB68" s="15" t="str">
        <f>IF(ISNA(VLOOKUP(A68,'Données projet'!$A$139:$I$159,4,0)),0,VLOOKUP(A68,'Données projet'!$A$139:$I$159,4,0))</f>
        <v>22</v>
      </c>
      <c r="DC68" s="16">
        <f>IF(ISNA(VLOOKUP(A68,'Données projet'!$A$139:$I$159,5,0)),0%,VLOOKUP(A68,'Données projet'!$A$139:$I$159,5,0)*VLOOKUP('Données projet'!$B$13,Paramètres!$A$1:$I$89,7,0))</f>
        <v>0.25800000000000001</v>
      </c>
      <c r="DD68" s="16">
        <f>IF(ISNA(VLOOKUP(A68,'Données projet'!$A$139:$I$159,6,0)),0%,VLOOKUP(A68,'Données projet'!$A$139:$I$159,6,0)*VLOOKUP('Données projet'!$B$13,Paramètres!$A$1:$I$89,7,0))</f>
        <v>0.129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24.371190362842707</v>
      </c>
      <c r="DG68" s="21">
        <f>EXP(-LN(2)/25)*DG67+(1-EXP(-LN(2)/25))/(LN(2)/25)*Calculateur!DB68*Calculateur!DD68*VLOOKUP('Données projet'!$B$13,Paramètres!$A$1:$I$89,3,0)*0.475*44/12</f>
        <v>23.307256520152279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47.67844688299499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8.1001602564102626</v>
      </c>
      <c r="DO68" s="12">
        <f>IF('Données projet'!$A$166&gt;35,DO67+DN68-DW67,IF(A68&lt;'Données projet'!$A$166,$DL$205^A68,IF(A68='Données projet'!$A$166,'Données projet'!$B$166,DO67+DN68-DW67)))</f>
        <v>194.76442307692321</v>
      </c>
      <c r="DP68" s="17">
        <f>DO68*VLOOKUP('Données projet'!$B$14,Paramètres!$A$1:$I$89,3,0)*VLOOKUP('Données projet'!$B$14,Paramètres!$A$1:$I$89,5,0)</f>
        <v>188.37615000000014</v>
      </c>
      <c r="DQ68" s="13">
        <f t="shared" si="43"/>
        <v>47.180763525887613</v>
      </c>
      <c r="DR68" s="20">
        <f t="shared" ref="DR68:DR131" si="70">(DP68+DQ68)*0.475*44/12</f>
        <v>410.26162439092121</v>
      </c>
      <c r="DS68" s="59">
        <f t="shared" ref="DS68:DS131" si="71">DR68+(DJ68+DK68)*44/12</f>
        <v>703.59495772425453</v>
      </c>
      <c r="DT68" s="59">
        <f ca="1">AVERAGE(OFFSET($DS$3,0,0,'Données projet'!$E$14+1,1))-AVERAGE(OFFSET($H$3,0,0,'Données projet'!$E$14+1,1))</f>
        <v>407.73540492005355</v>
      </c>
      <c r="DU68" s="59">
        <f t="shared" si="44"/>
        <v>296.29416764204774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12.906778381807461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12.906778381807461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8.6666666666666661</v>
      </c>
      <c r="EJ68" s="12">
        <f>IF('Données projet'!$A$192&gt;35,EJ67+EI68-ER67,IF(A68&lt;'Données projet'!$A$192,$EG$205^A68,IF(A68='Données projet'!$A$192,'Données projet'!$B$192,EJ67+EI68-ER67)))</f>
        <v>293.33333333333343</v>
      </c>
      <c r="EK68" s="17">
        <f>EJ68*VLOOKUP('Données projet'!$B$15,Paramètres!$A$1:$I$89,3,0)*VLOOKUP('Données projet'!$B$15,Paramètres!$A$1:$I$89,5,0)</f>
        <v>228.80000000000007</v>
      </c>
      <c r="EL68" s="13">
        <f t="shared" si="45"/>
        <v>56.023134533701196</v>
      </c>
      <c r="EM68" s="20">
        <f t="shared" ref="EM68:EM131" si="73">(EK68+EL68)*0.475*44/12</f>
        <v>496.06695931286299</v>
      </c>
      <c r="EN68" s="59">
        <f t="shared" ref="EN68:EN131" si="74">EM68+(EE68+EF68)*44/12</f>
        <v>789.40029264619625</v>
      </c>
      <c r="EO68" s="59">
        <f ca="1">AVERAGE(OFFSET($EN$3,0,0,'Données projet'!$E$15+1,1))-AVERAGE(OFFSET($H$3,0,0,'Données projet'!$E$15+1,1))</f>
        <v>288.80569134263209</v>
      </c>
      <c r="EP68" s="59">
        <f t="shared" si="46"/>
        <v>283.48738729114024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22.002286395492241</v>
      </c>
      <c r="EW68" s="21">
        <f>EXP(-LN(2)/25)*EW67+(1-EXP(-LN(2)/25))/(LN(2)/25)*Calculateur!ER68*Calculateur!ET68*VLOOKUP('Données projet'!$B$15,Paramètres!$A$1:$I$89,3,0)*0.475*44/12</f>
        <v>22.072485385893899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44.07477178138614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693.33039899429878</v>
      </c>
      <c r="S69" s="59">
        <f ca="1">AVERAGE(OFFSET($R$3,0,0,'Données projet'!$E$9+1,1))-AVERAGE(OFFSET($H$3,0,0,'Données projet'!$E$9+1,1))</f>
        <v>384.05928630855732</v>
      </c>
      <c r="T69" s="59">
        <f t="shared" ref="T69:T132" si="88">$T$3</f>
        <v>279.93992813630513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9.0815018315018357</v>
      </c>
      <c r="AI69" s="13">
        <f>IF('Données projet'!$A$62&gt;35,AI68+AH69-AQ68,IF(A69&lt;'Données projet'!$A$62,$AF$205^A69,IF(A69='Données projet'!$A$62,'Données projet'!$B$62,AI68+AH69-AQ68)))</f>
        <v>212.5558608058607</v>
      </c>
      <c r="AJ69" s="13">
        <f>AI69*VLOOKUP('Données projet'!$B$10,Paramètres!$A$1:$I$89,3,0)*VLOOKUP('Données projet'!$B$10,Paramètres!$A$1:$I$89,5,0)</f>
        <v>179.05705714285708</v>
      </c>
      <c r="AK69" s="13">
        <f t="shared" ref="AK69:AK132" si="89">EXP(-1.0587+0.8836*LN(AJ69)+0.284)</f>
        <v>45.112334667500271</v>
      </c>
      <c r="AL69" s="20">
        <f t="shared" si="58"/>
        <v>390.42835740303912</v>
      </c>
      <c r="AM69" s="59">
        <f t="shared" si="59"/>
        <v>683.76169073637243</v>
      </c>
      <c r="AN69" s="59">
        <f ca="1">AVERAGE(OFFSET($AM$3,0,0,'Données projet'!$E$10+1,1))-AVERAGE(OFFSET($H$3,0,0,'Données projet'!$E$10+1,1))</f>
        <v>312.48716825299158</v>
      </c>
      <c r="AO69" s="59">
        <f t="shared" ref="AO69:AO132" si="90">$AO$3</f>
        <v>258.68277822755357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28.291267119522868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28.291267119522868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253.1006399999998</v>
      </c>
      <c r="BF69" s="13">
        <f t="shared" ref="BF69:BF132" si="91">EXP(-1.0587+0.8836*LN(BE69)+0.284)</f>
        <v>61.249419177028884</v>
      </c>
      <c r="BG69" s="20">
        <f t="shared" si="61"/>
        <v>547.4930197333249</v>
      </c>
      <c r="BH69" s="59">
        <f t="shared" si="62"/>
        <v>840.82635306665816</v>
      </c>
      <c r="BI69" s="59">
        <f ca="1">AVERAGE(OFFSET($BH$3,0,0,'Données projet'!$E$11+1,1))-AVERAGE(OFFSET($H$3,0,0,'Données projet'!$E$11+1,1))</f>
        <v>376.58419691967526</v>
      </c>
      <c r="BJ69" s="59">
        <f t="shared" ref="BJ69:BJ132" si="92">$BJ$3</f>
        <v>365.76175372075869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42.977196392480209</v>
      </c>
      <c r="BQ69" s="21">
        <f>EXP(-LN(2)/25)*BQ68+(1-EXP(-LN(2)/25))/(LN(2)/25)*Calculateur!BL69*Calculateur!BN69*VLOOKUP('Données projet'!$B$11,Paramètres!$A$1:$I$89,3,0)*0.475*44/12</f>
        <v>7.0506207463777679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50.027817138857976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274.64111999999977</v>
      </c>
      <c r="CA69" s="13">
        <f t="shared" ref="CA69:CA132" si="93">EXP(-1.0587+0.8836*LN(BZ69)+0.284)</f>
        <v>65.833252956609641</v>
      </c>
      <c r="CB69" s="20">
        <f t="shared" si="64"/>
        <v>592.99286623276123</v>
      </c>
      <c r="CC69" s="59">
        <f t="shared" si="65"/>
        <v>886.3261995660946</v>
      </c>
      <c r="CD69" s="59">
        <f ca="1">AVERAGE(OFFSET($CC$3,0,0,'Données projet'!$E$12+1,1))-AVERAGE(OFFSET($H$3,0,0,'Données projet'!$E$12+1,1))</f>
        <v>405.40026823646758</v>
      </c>
      <c r="CE69" s="59">
        <f t="shared" ref="CE69:CE132" si="94">$CE$3</f>
        <v>393.0787141050053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57.480139460105882</v>
      </c>
      <c r="CL69" s="21">
        <f>EXP(-LN(2)/25)*CL68+(1-EXP(-LN(2)/25))/(LN(2)/25)*Calculateur!CG69*Calculateur!CI69*VLOOKUP('Données projet'!$B$12,Paramètres!$A$1:$I$89,3,0)*0.475*44/12</f>
        <v>9.4298999888466639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66.910039448952546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5.4</v>
      </c>
      <c r="CT69" s="12">
        <f>IF('Données projet'!$A$140&gt;35,CT68+CS69-DB68,IF(A69&lt;'Données projet'!$A$140,$CQ$205^A69,IF(A69='Données projet'!$A$140,'Données projet'!$B$140,CT68+CS69-DB68)))</f>
        <v>235.40000000000009</v>
      </c>
      <c r="CU69" s="17">
        <f>CT69*VLOOKUP('Données projet'!$B$13,Paramètres!$A$1:$I$89,3,0)*VLOOKUP('Données projet'!$B$13,Paramètres!$A$1:$I$89,5,0)</f>
        <v>205.64544000000012</v>
      </c>
      <c r="CV69" s="13">
        <f t="shared" ref="CV69:CV132" si="95">EXP(-1.0587+0.8836*LN(CU69)+0.284)</f>
        <v>50.982847417614401</v>
      </c>
      <c r="CW69" s="20">
        <f t="shared" si="67"/>
        <v>446.96093391901189</v>
      </c>
      <c r="CX69" s="59">
        <f t="shared" si="68"/>
        <v>740.29426725234521</v>
      </c>
      <c r="CY69" s="59">
        <f ca="1">AVERAGE(OFFSET($CX$3,0,0,'Données projet'!$E$13+1,1))-AVERAGE(OFFSET($H$3,0,0,'Données projet'!$E$13+1,1))</f>
        <v>381.72225529388083</v>
      </c>
      <c r="CZ69" s="59">
        <f t="shared" ref="CZ69:CZ132" si="96">$CZ$3</f>
        <v>360.05900046417361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23.893286184785691</v>
      </c>
      <c r="DG69" s="21">
        <f>EXP(-LN(2)/25)*DG68+(1-EXP(-LN(2)/25))/(LN(2)/25)*Calculateur!DB69*Calculateur!DD69*VLOOKUP('Données projet'!$B$13,Paramètres!$A$1:$I$89,3,0)*0.475*44/12</f>
        <v>22.669918364933363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46.563204549719053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8.1001602564102626</v>
      </c>
      <c r="DO69" s="12">
        <f>IF('Données projet'!$A$166&gt;35,DO68+DN69-DW68,IF(A69&lt;'Données projet'!$A$166,$DL$205^A69,IF(A69='Données projet'!$A$166,'Données projet'!$B$166,DO68+DN69-DW68)))</f>
        <v>202.86458333333348</v>
      </c>
      <c r="DP69" s="17">
        <f>DO69*VLOOKUP('Données projet'!$B$14,Paramètres!$A$1:$I$89,3,0)*VLOOKUP('Données projet'!$B$14,Paramètres!$A$1:$I$89,5,0)</f>
        <v>196.21062500000014</v>
      </c>
      <c r="DQ69" s="13">
        <f t="shared" ref="DQ69:DQ132" si="97">EXP(-1.0587+0.8836*LN(DP69)+0.284)</f>
        <v>48.910452928557959</v>
      </c>
      <c r="DR69" s="20">
        <f t="shared" si="70"/>
        <v>426.91921072557199</v>
      </c>
      <c r="DS69" s="59">
        <f t="shared" si="71"/>
        <v>720.2525440589053</v>
      </c>
      <c r="DT69" s="59">
        <f ca="1">AVERAGE(OFFSET($DS$3,0,0,'Données projet'!$E$14+1,1))-AVERAGE(OFFSET($H$3,0,0,'Données projet'!$E$14+1,1))</f>
        <v>407.73540492005355</v>
      </c>
      <c r="DU69" s="59">
        <f t="shared" ref="DU69:DU132" si="98">$DU$3</f>
        <v>296.29416764204774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12.653684330097699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12.653684330097699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8.6666666666666661</v>
      </c>
      <c r="EJ69" s="12">
        <f>IF('Données projet'!$A$192&gt;35,EJ68+EI69-ER68,IF(A69&lt;'Données projet'!$A$192,$EG$205^A69,IF(A69='Données projet'!$A$192,'Données projet'!$B$192,EJ68+EI69-ER68)))</f>
        <v>302.00000000000011</v>
      </c>
      <c r="EK69" s="17">
        <f>EJ69*VLOOKUP('Données projet'!$B$15,Paramètres!$A$1:$I$89,3,0)*VLOOKUP('Données projet'!$B$15,Paramètres!$A$1:$I$89,5,0)</f>
        <v>235.56000000000009</v>
      </c>
      <c r="EL69" s="13">
        <f t="shared" ref="EL69:EL132" si="99">EXP(-1.0587+0.8836*LN(EK69)+0.284)</f>
        <v>57.483207143847771</v>
      </c>
      <c r="EM69" s="20">
        <f t="shared" si="73"/>
        <v>510.38358577553487</v>
      </c>
      <c r="EN69" s="59">
        <f t="shared" si="74"/>
        <v>803.71691910886818</v>
      </c>
      <c r="EO69" s="59">
        <f ca="1">AVERAGE(OFFSET($EN$3,0,0,'Données projet'!$E$15+1,1))-AVERAGE(OFFSET($H$3,0,0,'Données projet'!$E$15+1,1))</f>
        <v>288.80569134263209</v>
      </c>
      <c r="EP69" s="59">
        <f t="shared" ref="EP69:EP132" si="100">$EP$3</f>
        <v>283.48738729114024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21.57083497934622</v>
      </c>
      <c r="EW69" s="21">
        <f>EXP(-LN(2)/25)*EW68+(1-EXP(-LN(2)/25))/(LN(2)/25)*Calculateur!ER69*Calculateur!ET69*VLOOKUP('Données projet'!$B$15,Paramètres!$A$1:$I$89,3,0)*0.475*44/12</f>
        <v>21.468912112275071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43.039747091621294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708.92209140410228</v>
      </c>
      <c r="S70" s="59">
        <f ca="1">AVERAGE(OFFSET($R$3,0,0,'Données projet'!$E$9+1,1))-AVERAGE(OFFSET($H$3,0,0,'Données projet'!$E$9+1,1))</f>
        <v>384.05928630855732</v>
      </c>
      <c r="T70" s="59">
        <f t="shared" si="88"/>
        <v>279.93992813630513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9.0815018315018357</v>
      </c>
      <c r="AI70" s="13">
        <f>IF('Données projet'!$A$62&gt;35,AI69+AH70-AQ69,IF(A70&lt;'Données projet'!$A$62,$AF$205^A70,IF(A70='Données projet'!$A$62,'Données projet'!$B$62,AI69+AH70-AQ69)))</f>
        <v>221.63736263736254</v>
      </c>
      <c r="AJ70" s="13">
        <f>AI70*VLOOKUP('Données projet'!$B$10,Paramètres!$A$1:$I$89,3,0)*VLOOKUP('Données projet'!$B$10,Paramètres!$A$1:$I$89,5,0)</f>
        <v>186.70731428571423</v>
      </c>
      <c r="AK70" s="13">
        <f t="shared" si="89"/>
        <v>46.811247783346438</v>
      </c>
      <c r="AL70" s="20">
        <f t="shared" si="58"/>
        <v>406.71149560361397</v>
      </c>
      <c r="AM70" s="59">
        <f t="shared" si="59"/>
        <v>700.04482893694728</v>
      </c>
      <c r="AN70" s="59">
        <f ca="1">AVERAGE(OFFSET($AM$3,0,0,'Données projet'!$E$10+1,1))-AVERAGE(OFFSET($H$3,0,0,'Données projet'!$E$10+1,1))</f>
        <v>312.48716825299158</v>
      </c>
      <c r="AO70" s="59">
        <f t="shared" si="90"/>
        <v>258.68277822755357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27.736492627278082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27.736492627278082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256.91327999999976</v>
      </c>
      <c r="BF70" s="13">
        <f t="shared" si="91"/>
        <v>62.063957347667916</v>
      </c>
      <c r="BG70" s="20">
        <f t="shared" si="61"/>
        <v>555.55202171385451</v>
      </c>
      <c r="BH70" s="59">
        <f t="shared" si="62"/>
        <v>848.88535504718789</v>
      </c>
      <c r="BI70" s="59">
        <f ca="1">AVERAGE(OFFSET($BH$3,0,0,'Données projet'!$E$11+1,1))-AVERAGE(OFFSET($H$3,0,0,'Données projet'!$E$11+1,1))</f>
        <v>376.58419691967526</v>
      </c>
      <c r="BJ70" s="59">
        <f t="shared" si="92"/>
        <v>365.76175372075869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42.134439784725103</v>
      </c>
      <c r="BQ70" s="21">
        <f>EXP(-LN(2)/25)*BQ69+(1-EXP(-LN(2)/25))/(LN(2)/25)*Calculateur!BL70*Calculateur!BN70*VLOOKUP('Données projet'!$B$11,Paramètres!$A$1:$I$89,3,0)*0.475*44/12</f>
        <v>6.8578211512920371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48.992260936017139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278.77823999999976</v>
      </c>
      <c r="CA70" s="13">
        <f t="shared" si="93"/>
        <v>66.70875019643654</v>
      </c>
      <c r="CB70" s="20">
        <f t="shared" si="64"/>
        <v>601.7231745921265</v>
      </c>
      <c r="CC70" s="59">
        <f t="shared" si="65"/>
        <v>895.05650792545975</v>
      </c>
      <c r="CD70" s="59">
        <f ca="1">AVERAGE(OFFSET($CC$3,0,0,'Données projet'!$E$12+1,1))-AVERAGE(OFFSET($H$3,0,0,'Données projet'!$E$12+1,1))</f>
        <v>405.40026823646758</v>
      </c>
      <c r="CE70" s="59">
        <f t="shared" si="94"/>
        <v>393.0787141050053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56.352988984716447</v>
      </c>
      <c r="CL70" s="21">
        <f>EXP(-LN(2)/25)*CL69+(1-EXP(-LN(2)/25))/(LN(2)/25)*Calculateur!CG70*Calculateur!CI70*VLOOKUP('Données projet'!$B$12,Paramètres!$A$1:$I$89,3,0)*0.475*44/12</f>
        <v>9.1720388777547637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65.525027862471205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5.4</v>
      </c>
      <c r="CT70" s="12">
        <f>IF('Données projet'!$A$140&gt;35,CT69+CS70-DB69,IF(A70&lt;'Données projet'!$A$140,$CQ$205^A70,IF(A70='Données projet'!$A$140,'Données projet'!$B$140,CT69+CS70-DB69)))</f>
        <v>240.8000000000001</v>
      </c>
      <c r="CU70" s="17">
        <f>CT70*VLOOKUP('Données projet'!$B$13,Paramètres!$A$1:$I$89,3,0)*VLOOKUP('Données projet'!$B$13,Paramètres!$A$1:$I$89,5,0)</f>
        <v>210.3628800000001</v>
      </c>
      <c r="CV70" s="13">
        <f t="shared" si="95"/>
        <v>52.014876138342963</v>
      </c>
      <c r="CW70" s="20">
        <f t="shared" si="67"/>
        <v>456.97459194094745</v>
      </c>
      <c r="CX70" s="59">
        <f t="shared" si="68"/>
        <v>750.30792527428071</v>
      </c>
      <c r="CY70" s="59">
        <f ca="1">AVERAGE(OFFSET($CX$3,0,0,'Données projet'!$E$13+1,1))-AVERAGE(OFFSET($H$3,0,0,'Données projet'!$E$13+1,1))</f>
        <v>381.72225529388083</v>
      </c>
      <c r="CZ70" s="59">
        <f t="shared" si="96"/>
        <v>360.05900046417361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23.424753416167604</v>
      </c>
      <c r="DG70" s="21">
        <f>EXP(-LN(2)/25)*DG69+(1-EXP(-LN(2)/25))/(LN(2)/25)*Calculateur!DB70*Calculateur!DD70*VLOOKUP('Données projet'!$B$13,Paramètres!$A$1:$I$89,3,0)*0.475*44/12</f>
        <v>22.050008255085064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45.474761671252665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8.1001602564102626</v>
      </c>
      <c r="DO70" s="12">
        <f>IF('Données projet'!$A$166&gt;35,DO69+DN70-DW69,IF(A70&lt;'Données projet'!$A$166,$DL$205^A70,IF(A70='Données projet'!$A$166,'Données projet'!$B$166,DO69+DN70-DW69)))</f>
        <v>210.96474358974376</v>
      </c>
      <c r="DP70" s="17">
        <f>DO70*VLOOKUP('Données projet'!$B$14,Paramètres!$A$1:$I$89,3,0)*VLOOKUP('Données projet'!$B$14,Paramètres!$A$1:$I$89,5,0)</f>
        <v>204.04510000000019</v>
      </c>
      <c r="DQ70" s="13">
        <f t="shared" si="97"/>
        <v>50.632119613158714</v>
      </c>
      <c r="DR70" s="20">
        <f t="shared" si="70"/>
        <v>443.56282415958503</v>
      </c>
      <c r="DS70" s="59">
        <f t="shared" si="71"/>
        <v>736.89615749291829</v>
      </c>
      <c r="DT70" s="59">
        <f ca="1">AVERAGE(OFFSET($DS$3,0,0,'Données projet'!$E$14+1,1))-AVERAGE(OFFSET($H$3,0,0,'Données projet'!$E$14+1,1))</f>
        <v>407.73540492005355</v>
      </c>
      <c r="DU70" s="59">
        <f t="shared" si="98"/>
        <v>296.29416764204774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12.405553298369837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12.405553298369837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8.6666666666666661</v>
      </c>
      <c r="EJ70" s="12">
        <f>IF('Données projet'!$A$192&gt;35,EJ69+EI70-ER69,IF(A70&lt;'Données projet'!$A$192,$EG$205^A70,IF(A70='Données projet'!$A$192,'Données projet'!$B$192,EJ69+EI70-ER69)))</f>
        <v>310.6666666666668</v>
      </c>
      <c r="EK70" s="17">
        <f>EJ70*VLOOKUP('Données projet'!$B$15,Paramètres!$A$1:$I$89,3,0)*VLOOKUP('Données projet'!$B$15,Paramètres!$A$1:$I$89,5,0)</f>
        <v>242.32000000000011</v>
      </c>
      <c r="EL70" s="13">
        <f t="shared" si="99"/>
        <v>58.938409961900909</v>
      </c>
      <c r="EM70" s="20">
        <f t="shared" si="73"/>
        <v>524.69173068364421</v>
      </c>
      <c r="EN70" s="59">
        <f t="shared" si="74"/>
        <v>818.02506401697747</v>
      </c>
      <c r="EO70" s="59">
        <f ca="1">AVERAGE(OFFSET($EN$3,0,0,'Données projet'!$E$15+1,1))-AVERAGE(OFFSET($H$3,0,0,'Données projet'!$E$15+1,1))</f>
        <v>288.80569134263209</v>
      </c>
      <c r="EP70" s="59">
        <f t="shared" si="100"/>
        <v>283.48738729114024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21.147844062311442</v>
      </c>
      <c r="EW70" s="21">
        <f>EXP(-LN(2)/25)*EW69+(1-EXP(-LN(2)/25))/(LN(2)/25)*Calculateur!ER70*Calculateur!ET70*VLOOKUP('Données projet'!$B$15,Paramètres!$A$1:$I$89,3,0)*0.475*44/12</f>
        <v>20.881843581563889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42.029687643875334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724.50117422009407</v>
      </c>
      <c r="S71" s="59">
        <f ca="1">AVERAGE(OFFSET($R$3,0,0,'Données projet'!$E$9+1,1))-AVERAGE(OFFSET($H$3,0,0,'Données projet'!$E$9+1,1))</f>
        <v>384.05928630855732</v>
      </c>
      <c r="T71" s="59">
        <f t="shared" si="88"/>
        <v>279.93992813630513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9.0815018315018357</v>
      </c>
      <c r="AI71" s="13">
        <f>IF('Données projet'!$A$62&gt;35,AI70+AH71-AQ70,IF(A71&lt;'Données projet'!$A$62,$AF$205^A71,IF(A71='Données projet'!$A$62,'Données projet'!$B$62,AI70+AH71-AQ70)))</f>
        <v>230.71886446886438</v>
      </c>
      <c r="AJ71" s="13">
        <f>AI71*VLOOKUP('Données projet'!$B$10,Paramètres!$A$1:$I$89,3,0)*VLOOKUP('Données projet'!$B$10,Paramètres!$A$1:$I$89,5,0)</f>
        <v>194.35757142857139</v>
      </c>
      <c r="AK71" s="13">
        <f t="shared" si="89"/>
        <v>48.502074932417422</v>
      </c>
      <c r="AL71" s="20">
        <f t="shared" si="58"/>
        <v>422.98055074538883</v>
      </c>
      <c r="AM71" s="59">
        <f t="shared" si="59"/>
        <v>716.31388407872214</v>
      </c>
      <c r="AN71" s="59">
        <f ca="1">AVERAGE(OFFSET($AM$3,0,0,'Données projet'!$E$10+1,1))-AVERAGE(OFFSET($H$3,0,0,'Données projet'!$E$10+1,1))</f>
        <v>312.48716825299158</v>
      </c>
      <c r="AO71" s="59">
        <f t="shared" si="90"/>
        <v>258.68277822755357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27.192596924447187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27.192596924447187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260.72591999999975</v>
      </c>
      <c r="BF71" s="13">
        <f t="shared" si="91"/>
        <v>62.877089647292053</v>
      </c>
      <c r="BG71" s="20">
        <f t="shared" si="61"/>
        <v>563.60857513569988</v>
      </c>
      <c r="BH71" s="59">
        <f t="shared" si="62"/>
        <v>856.94190846903325</v>
      </c>
      <c r="BI71" s="59">
        <f ca="1">AVERAGE(OFFSET($BH$3,0,0,'Données projet'!$E$11+1,1))-AVERAGE(OFFSET($H$3,0,0,'Données projet'!$E$11+1,1))</f>
        <v>376.58419691967526</v>
      </c>
      <c r="BJ71" s="59">
        <f t="shared" si="92"/>
        <v>365.76175372075869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41.308209120017302</v>
      </c>
      <c r="BQ71" s="21">
        <f>EXP(-LN(2)/25)*BQ70+(1-EXP(-LN(2)/25))/(LN(2)/25)*Calculateur!BL71*Calculateur!BN71*VLOOKUP('Données projet'!$B$11,Paramètres!$A$1:$I$89,3,0)*0.475*44/12</f>
        <v>6.670293671272816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47.978502791290119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282.91535999999979</v>
      </c>
      <c r="CA71" s="13">
        <f t="shared" si="93"/>
        <v>67.582736351531807</v>
      </c>
      <c r="CB71" s="20">
        <f t="shared" si="64"/>
        <v>610.45085114558412</v>
      </c>
      <c r="CC71" s="59">
        <f t="shared" si="65"/>
        <v>903.7841844789175</v>
      </c>
      <c r="CD71" s="59">
        <f ca="1">AVERAGE(OFFSET($CC$3,0,0,'Données projet'!$E$12+1,1))-AVERAGE(OFFSET($H$3,0,0,'Données projet'!$E$12+1,1))</f>
        <v>405.40026823646758</v>
      </c>
      <c r="CE71" s="59">
        <f t="shared" si="94"/>
        <v>393.0787141050053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55.247941242655493</v>
      </c>
      <c r="CL71" s="21">
        <f>EXP(-LN(2)/25)*CL70+(1-EXP(-LN(2)/25))/(LN(2)/25)*Calculateur!CG71*Calculateur!CI71*VLOOKUP('Données projet'!$B$12,Paramètres!$A$1:$I$89,3,0)*0.475*44/12</f>
        <v>8.9212289923059984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64.169170234961484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5.4</v>
      </c>
      <c r="CT71" s="12">
        <f>IF('Données projet'!$A$140&gt;35,CT70+CS71-DB70,IF(A71&lt;'Données projet'!$A$140,$CQ$205^A71,IF(A71='Données projet'!$A$140,'Données projet'!$B$140,CT70+CS71-DB70)))</f>
        <v>246.2000000000001</v>
      </c>
      <c r="CU71" s="17">
        <f>CT71*VLOOKUP('Données projet'!$B$13,Paramètres!$A$1:$I$89,3,0)*VLOOKUP('Données projet'!$B$13,Paramètres!$A$1:$I$89,5,0)</f>
        <v>215.08032000000011</v>
      </c>
      <c r="CV71" s="13">
        <f t="shared" si="95"/>
        <v>53.044214230061506</v>
      </c>
      <c r="CW71" s="20">
        <f t="shared" si="67"/>
        <v>466.983563784024</v>
      </c>
      <c r="CX71" s="59">
        <f t="shared" si="68"/>
        <v>760.31689711735726</v>
      </c>
      <c r="CY71" s="59">
        <f ca="1">AVERAGE(OFFSET($CX$3,0,0,'Données projet'!$E$13+1,1))-AVERAGE(OFFSET($H$3,0,0,'Données projet'!$E$13+1,1))</f>
        <v>381.72225529388083</v>
      </c>
      <c r="CZ71" s="59">
        <f t="shared" si="96"/>
        <v>360.05900046417361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22.96540828936535</v>
      </c>
      <c r="DG71" s="21">
        <f>EXP(-LN(2)/25)*DG70+(1-EXP(-LN(2)/25))/(LN(2)/25)*Calculateur!DB71*Calculateur!DD71*VLOOKUP('Données projet'!$B$13,Paramètres!$A$1:$I$89,3,0)*0.475*44/12</f>
        <v>21.447049619790224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44.412457909155577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8.1001602564102626</v>
      </c>
      <c r="DO71" s="12">
        <f>IF('Données projet'!$A$166&gt;35,DO70+DN71-DW70,IF(A71&lt;'Données projet'!$A$166,$DL$205^A71,IF(A71='Données projet'!$A$166,'Données projet'!$B$166,DO70+DN71-DW70)))</f>
        <v>219.06490384615404</v>
      </c>
      <c r="DP71" s="17">
        <f>DO71*VLOOKUP('Données projet'!$B$14,Paramètres!$A$1:$I$89,3,0)*VLOOKUP('Données projet'!$B$14,Paramètres!$A$1:$I$89,5,0)</f>
        <v>211.87957500000022</v>
      </c>
      <c r="DQ71" s="13">
        <f t="shared" si="97"/>
        <v>52.346106878498773</v>
      </c>
      <c r="DR71" s="20">
        <f t="shared" si="70"/>
        <v>460.19306260505238</v>
      </c>
      <c r="DS71" s="59">
        <f t="shared" si="71"/>
        <v>753.52639593838569</v>
      </c>
      <c r="DT71" s="59">
        <f ca="1">AVERAGE(OFFSET($DS$3,0,0,'Données projet'!$E$14+1,1))-AVERAGE(OFFSET($H$3,0,0,'Données projet'!$E$14+1,1))</f>
        <v>407.73540492005355</v>
      </c>
      <c r="DU71" s="59">
        <f t="shared" si="98"/>
        <v>296.29416764204774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12.162287964829172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12.162287964829172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8.6666666666666661</v>
      </c>
      <c r="EJ71" s="12">
        <f>IF('Données projet'!$A$192&gt;35,EJ70+EI71-ER70,IF(A71&lt;'Données projet'!$A$192,$EG$205^A71,IF(A71='Données projet'!$A$192,'Données projet'!$B$192,EJ70+EI71-ER70)))</f>
        <v>319.33333333333348</v>
      </c>
      <c r="EK71" s="17">
        <f>EJ71*VLOOKUP('Données projet'!$B$15,Paramètres!$A$1:$I$89,3,0)*VLOOKUP('Données projet'!$B$15,Paramètres!$A$1:$I$89,5,0)</f>
        <v>249.08000000000013</v>
      </c>
      <c r="EL71" s="13">
        <f t="shared" si="99"/>
        <v>60.388894447487857</v>
      </c>
      <c r="EM71" s="20">
        <f t="shared" si="73"/>
        <v>538.99165782937473</v>
      </c>
      <c r="EN71" s="59">
        <f t="shared" si="74"/>
        <v>832.3249911627081</v>
      </c>
      <c r="EO71" s="59">
        <f ca="1">AVERAGE(OFFSET($EN$3,0,0,'Données projet'!$E$15+1,1))-AVERAGE(OFFSET($H$3,0,0,'Données projet'!$E$15+1,1))</f>
        <v>288.80569134263209</v>
      </c>
      <c r="EP71" s="59">
        <f t="shared" si="100"/>
        <v>283.48738729114024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20.733147739160732</v>
      </c>
      <c r="EW71" s="21">
        <f>EXP(-LN(2)/25)*EW70+(1-EXP(-LN(2)/25))/(LN(2)/25)*Calculateur!ER71*Calculateur!ET71*VLOOKUP('Données projet'!$B$15,Paramètres!$A$1:$I$89,3,0)*0.475*44/12</f>
        <v>20.310828470697597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41.043976209858329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740.06816708981637</v>
      </c>
      <c r="S72" s="59">
        <f ca="1">AVERAGE(OFFSET($R$3,0,0,'Données projet'!$E$9+1,1))-AVERAGE(OFFSET($H$3,0,0,'Données projet'!$E$9+1,1))</f>
        <v>384.05928630855732</v>
      </c>
      <c r="T72" s="59">
        <f t="shared" si="88"/>
        <v>279.93992813630513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9.0815018315018357</v>
      </c>
      <c r="AI72" s="13">
        <f>IF('Données projet'!$A$62&gt;35,AI71+AH72-AQ71,IF(A72&lt;'Données projet'!$A$62,$AF$205^A72,IF(A72='Données projet'!$A$62,'Données projet'!$B$62,AI71+AH72-AQ71)))</f>
        <v>239.80036630036622</v>
      </c>
      <c r="AJ72" s="13">
        <f>AI72*VLOOKUP('Données projet'!$B$10,Paramètres!$A$1:$I$89,3,0)*VLOOKUP('Données projet'!$B$10,Paramètres!$A$1:$I$89,5,0)</f>
        <v>202.00782857142855</v>
      </c>
      <c r="AK72" s="13">
        <f t="shared" si="89"/>
        <v>50.185170814026193</v>
      </c>
      <c r="AL72" s="20">
        <f t="shared" si="58"/>
        <v>439.23614059633366</v>
      </c>
      <c r="AM72" s="59">
        <f t="shared" si="59"/>
        <v>732.56947392966697</v>
      </c>
      <c r="AN72" s="59">
        <f ca="1">AVERAGE(OFFSET($AM$3,0,0,'Données projet'!$E$10+1,1))-AVERAGE(OFFSET($H$3,0,0,'Données projet'!$E$10+1,1))</f>
        <v>312.48716825299158</v>
      </c>
      <c r="AO72" s="59">
        <f t="shared" si="90"/>
        <v>258.68277822755357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26.659366684605185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26.659366684605185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264.53855999999973</v>
      </c>
      <c r="BF72" s="13">
        <f t="shared" si="91"/>
        <v>63.688839009304033</v>
      </c>
      <c r="BG72" s="20">
        <f t="shared" si="61"/>
        <v>571.66271994120405</v>
      </c>
      <c r="BH72" s="59">
        <f t="shared" si="62"/>
        <v>864.99605327453742</v>
      </c>
      <c r="BI72" s="59">
        <f ca="1">AVERAGE(OFFSET($BH$3,0,0,'Données projet'!$E$11+1,1))-AVERAGE(OFFSET($H$3,0,0,'Données projet'!$E$11+1,1))</f>
        <v>376.58419691967526</v>
      </c>
      <c r="BJ72" s="59">
        <f t="shared" si="92"/>
        <v>365.76175372075869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40.498180334693473</v>
      </c>
      <c r="BQ72" s="21">
        <f>EXP(-LN(2)/25)*BQ71+(1-EXP(-LN(2)/25))/(LN(2)/25)*Calculateur!BL72*Calculateur!BN72*VLOOKUP('Données projet'!$B$11,Paramètres!$A$1:$I$89,3,0)*0.475*44/12</f>
        <v>6.4878941400563619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46.986074474749834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287.05247999999978</v>
      </c>
      <c r="CA72" s="13">
        <f t="shared" si="93"/>
        <v>68.455236071606535</v>
      </c>
      <c r="CB72" s="20">
        <f t="shared" si="64"/>
        <v>619.17593882471431</v>
      </c>
      <c r="CC72" s="59">
        <f t="shared" si="65"/>
        <v>912.50927215804768</v>
      </c>
      <c r="CD72" s="59">
        <f ca="1">AVERAGE(OFFSET($CC$3,0,0,'Données projet'!$E$12+1,1))-AVERAGE(OFFSET($H$3,0,0,'Données projet'!$E$12+1,1))</f>
        <v>405.40026823646758</v>
      </c>
      <c r="CE72" s="59">
        <f t="shared" si="94"/>
        <v>393.0787141050053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54.164562812803787</v>
      </c>
      <c r="CL72" s="21">
        <f>EXP(-LN(2)/25)*CL71+(1-EXP(-LN(2)/25))/(LN(2)/25)*Calculateur!CG72*Calculateur!CI72*VLOOKUP('Données projet'!$B$12,Paramètres!$A$1:$I$89,3,0)*0.475*44/12</f>
        <v>8.6772775163643487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62.841840329168136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5.4</v>
      </c>
      <c r="CT72" s="12">
        <f>IF('Données projet'!$A$140&gt;35,CT71+CS72-DB71,IF(A72&lt;'Données projet'!$A$140,$CQ$205^A72,IF(A72='Données projet'!$A$140,'Données projet'!$B$140,CT71+CS72-DB71)))</f>
        <v>251.60000000000011</v>
      </c>
      <c r="CU72" s="17">
        <f>CT72*VLOOKUP('Données projet'!$B$13,Paramètres!$A$1:$I$89,3,0)*VLOOKUP('Données projet'!$B$13,Paramètres!$A$1:$I$89,5,0)</f>
        <v>219.79776000000012</v>
      </c>
      <c r="CV72" s="13">
        <f t="shared" si="95"/>
        <v>54.070927503307431</v>
      </c>
      <c r="CW72" s="20">
        <f t="shared" si="67"/>
        <v>476.98796406826068</v>
      </c>
      <c r="CX72" s="59">
        <f t="shared" si="68"/>
        <v>770.32129740159394</v>
      </c>
      <c r="CY72" s="59">
        <f ca="1">AVERAGE(OFFSET($CX$3,0,0,'Données projet'!$E$13+1,1))-AVERAGE(OFFSET($H$3,0,0,'Données projet'!$E$13+1,1))</f>
        <v>381.72225529388083</v>
      </c>
      <c r="CZ72" s="59">
        <f t="shared" si="96"/>
        <v>360.05900046417361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22.515070640326826</v>
      </c>
      <c r="DG72" s="21">
        <f>EXP(-LN(2)/25)*DG71+(1-EXP(-LN(2)/25))/(LN(2)/25)*Calculateur!DB72*Calculateur!DD72*VLOOKUP('Données projet'!$B$13,Paramètres!$A$1:$I$89,3,0)*0.475*44/12</f>
        <v>20.860578920085739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43.375649560412569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8.1001602564102626</v>
      </c>
      <c r="DO72" s="12">
        <f>IF('Données projet'!$A$166&gt;35,DO71+DN72-DW71,IF(A72&lt;'Données projet'!$A$166,$DL$205^A72,IF(A72='Données projet'!$A$166,'Données projet'!$B$166,DO71+DN72-DW71)))</f>
        <v>227.16506410256432</v>
      </c>
      <c r="DP72" s="17">
        <f>DO72*VLOOKUP('Données projet'!$B$14,Paramètres!$A$1:$I$89,3,0)*VLOOKUP('Données projet'!$B$14,Paramètres!$A$1:$I$89,5,0)</f>
        <v>219.71405000000019</v>
      </c>
      <c r="DQ72" s="13">
        <f t="shared" si="97"/>
        <v>54.052731197210612</v>
      </c>
      <c r="DR72" s="20">
        <f t="shared" si="70"/>
        <v>476.81047725180878</v>
      </c>
      <c r="DS72" s="59">
        <f t="shared" si="71"/>
        <v>770.14381058514209</v>
      </c>
      <c r="DT72" s="59">
        <f ca="1">AVERAGE(OFFSET($DS$3,0,0,'Données projet'!$E$14+1,1))-AVERAGE(OFFSET($H$3,0,0,'Données projet'!$E$14+1,1))</f>
        <v>407.73540492005355</v>
      </c>
      <c r="DU72" s="59">
        <f t="shared" si="98"/>
        <v>296.29416764204774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11.923792916102038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11.923792916102038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328</v>
      </c>
      <c r="EH72" s="12">
        <f>VLOOKUP(A72,'Données projet'!$A$191:$I$211,9,0)</f>
        <v>8.6666666666666661</v>
      </c>
      <c r="EI72" s="12">
        <f t="array" ref="EI72">INDEX(EH:EH,MIN(IF(ISNUMBER(EH72:EH268),ROW(EH72:EH268),"")))</f>
        <v>8.6666666666666661</v>
      </c>
      <c r="EJ72" s="12">
        <f>IF('Données projet'!$A$192&gt;35,EJ71+EI72-ER71,IF(A72&lt;'Données projet'!$A$192,$EG$205^A72,IF(A72='Données projet'!$A$192,'Données projet'!$B$192,EJ71+EI72-ER71)))</f>
        <v>328.00000000000017</v>
      </c>
      <c r="EK72" s="17">
        <f>EJ72*VLOOKUP('Données projet'!$B$15,Paramètres!$A$1:$I$89,3,0)*VLOOKUP('Données projet'!$B$15,Paramètres!$A$1:$I$89,5,0)</f>
        <v>255.84000000000015</v>
      </c>
      <c r="EL72" s="13">
        <f t="shared" si="99"/>
        <v>61.834803371075886</v>
      </c>
      <c r="EM72" s="20">
        <f t="shared" si="73"/>
        <v>553.28361587129086</v>
      </c>
      <c r="EN72" s="59">
        <f t="shared" si="74"/>
        <v>846.61694920462423</v>
      </c>
      <c r="EO72" s="59">
        <f ca="1">AVERAGE(OFFSET($EN$3,0,0,'Données projet'!$E$15+1,1))-AVERAGE(OFFSET($H$3,0,0,'Données projet'!$E$15+1,1))</f>
        <v>288.80569134263209</v>
      </c>
      <c r="EP72" s="59">
        <f t="shared" si="100"/>
        <v>283.48738729114024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20.326583357967223</v>
      </c>
      <c r="EW72" s="21">
        <f>EXP(-LN(2)/25)*EW71+(1-EXP(-LN(2)/25))/(LN(2)/25)*Calculateur!ER72*Calculateur!ET72*VLOOKUP('Données projet'!$B$15,Paramètres!$A$1:$I$89,3,0)*0.475*44/12</f>
        <v>19.755427798066322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40.082011156033545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755.62355050120209</v>
      </c>
      <c r="S73" s="59">
        <f ca="1">AVERAGE(OFFSET($R$3,0,0,'Données projet'!$E$9+1,1))-AVERAGE(OFFSET($H$3,0,0,'Données projet'!$E$9+1,1))</f>
        <v>384.05928630855732</v>
      </c>
      <c r="T73" s="59">
        <f t="shared" si="88"/>
        <v>279.93992813630513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9.0815018315018357</v>
      </c>
      <c r="AI73" s="13">
        <f>IF('Données projet'!$A$62&gt;35,AI72+AH73-AQ72,IF(A73&lt;'Données projet'!$A$62,$AF$205^A73,IF(A73='Données projet'!$A$62,'Données projet'!$B$62,AI72+AH73-AQ72)))</f>
        <v>248.88186813186806</v>
      </c>
      <c r="AJ73" s="13">
        <f>AI73*VLOOKUP('Données projet'!$B$10,Paramètres!$A$1:$I$89,3,0)*VLOOKUP('Données projet'!$B$10,Paramètres!$A$1:$I$89,5,0)</f>
        <v>209.65808571428565</v>
      </c>
      <c r="AK73" s="13">
        <f t="shared" si="89"/>
        <v>51.860861740036924</v>
      </c>
      <c r="AL73" s="20">
        <f t="shared" si="58"/>
        <v>455.47883348294516</v>
      </c>
      <c r="AM73" s="59">
        <f t="shared" si="59"/>
        <v>748.81216681627848</v>
      </c>
      <c r="AN73" s="59">
        <f ca="1">AVERAGE(OFFSET($AM$3,0,0,'Données projet'!$E$10+1,1))-AVERAGE(OFFSET($H$3,0,0,'Données projet'!$E$10+1,1))</f>
        <v>312.48716825299158</v>
      </c>
      <c r="AO73" s="59">
        <f t="shared" si="90"/>
        <v>258.68277822755357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26.136592764528153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26.136592764528153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268.35119999999978</v>
      </c>
      <c r="BF73" s="13">
        <f t="shared" si="91"/>
        <v>64.499227668096069</v>
      </c>
      <c r="BG73" s="20">
        <f t="shared" si="61"/>
        <v>579.71449485526693</v>
      </c>
      <c r="BH73" s="59">
        <f t="shared" si="62"/>
        <v>873.04782818860031</v>
      </c>
      <c r="BI73" s="59">
        <f ca="1">AVERAGE(OFFSET($BH$3,0,0,'Données projet'!$E$11+1,1))-AVERAGE(OFFSET($H$3,0,0,'Données projet'!$E$11+1,1))</f>
        <v>376.58419691967526</v>
      </c>
      <c r="BJ73" s="59">
        <f t="shared" si="92"/>
        <v>365.76175372075869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0.39990000000000003</v>
      </c>
      <c r="BN73" s="16">
        <f>IF(ISNA(VLOOKUP(A73,'Données projet'!$A$87:$I$107,6,0)),0%,VLOOKUP(A73,'Données projet'!$A$87:$I$107,6,0)*VLOOKUP('Données projet'!$B$11,Paramètres!$A$1:$I$89,7,0))</f>
        <v>3.0100000000000002E-2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44.566005217099018</v>
      </c>
      <c r="BQ73" s="21">
        <f>EXP(-LN(2)/25)*BQ72+(1-EXP(-LN(2)/25))/(LN(2)/25)*Calculateur!BL73*Calculateur!BN73*VLOOKUP('Données projet'!$B$11,Paramètres!$A$1:$I$89,3,0)*0.475*44/12</f>
        <v>6.6749961238921331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51.241001340991154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291.18959999999976</v>
      </c>
      <c r="CA73" s="13">
        <f t="shared" si="93"/>
        <v>69.326273255048633</v>
      </c>
      <c r="CB73" s="20">
        <f t="shared" si="64"/>
        <v>627.89847925254264</v>
      </c>
      <c r="CC73" s="59">
        <f t="shared" si="65"/>
        <v>921.23181258587601</v>
      </c>
      <c r="CD73" s="59">
        <f ca="1">AVERAGE(OFFSET($CC$3,0,0,'Données projet'!$E$12+1,1))-AVERAGE(OFFSET($H$3,0,0,'Données projet'!$E$12+1,1))</f>
        <v>405.40026823646758</v>
      </c>
      <c r="CE73" s="59">
        <f t="shared" si="94"/>
        <v>393.0787141050053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0.49290000000000006</v>
      </c>
      <c r="CI73" s="16">
        <f>IF(ISNA(VLOOKUP(A73,'Données projet'!$A$113:$I$133,6,0)),0%,VLOOKUP(A73,'Données projet'!$A$113:$I$133,6,0)*VLOOKUP('Données projet'!$B$12,Paramètres!$A$1:$I$89,7,0))</f>
        <v>3.7100000000000008E-2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59.605102474922631</v>
      </c>
      <c r="CL73" s="21">
        <f>EXP(-LN(2)/25)*CL72+(1-EXP(-LN(2)/25))/(LN(2)/25)*Calculateur!CG73*Calculateur!CI73*VLOOKUP('Données projet'!$B$12,Paramètres!$A$1:$I$89,3,0)*0.475*44/12</f>
        <v>8.927518319089776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68.532620794012402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257</v>
      </c>
      <c r="CR73" s="12">
        <f>VLOOKUP(A73,'Données projet'!$A$139:$I$159,9,0)</f>
        <v>5.4</v>
      </c>
      <c r="CS73" s="12">
        <f t="array" ref="CS73">INDEX(CR:CR,MIN(IF(ISNUMBER(CR73:CR269),ROW(CR73:CR269),"")))</f>
        <v>5.4</v>
      </c>
      <c r="CT73" s="12">
        <f>IF('Données projet'!$A$140&gt;35,CT72+CS73-DB72,IF(A73&lt;'Données projet'!$A$140,$CQ$205^A73,IF(A73='Données projet'!$A$140,'Données projet'!$B$140,CT72+CS73-DB72)))</f>
        <v>257.00000000000011</v>
      </c>
      <c r="CU73" s="17">
        <f>CT73*VLOOKUP('Données projet'!$B$13,Paramètres!$A$1:$I$89,3,0)*VLOOKUP('Données projet'!$B$13,Paramètres!$A$1:$I$89,5,0)</f>
        <v>224.51520000000014</v>
      </c>
      <c r="CV73" s="13">
        <f t="shared" si="95"/>
        <v>55.095078782313593</v>
      </c>
      <c r="CW73" s="20">
        <f t="shared" si="67"/>
        <v>486.98790221252966</v>
      </c>
      <c r="CX73" s="59">
        <f t="shared" si="68"/>
        <v>780.32123554586292</v>
      </c>
      <c r="CY73" s="59">
        <f ca="1">AVERAGE(OFFSET($CX$3,0,0,'Données projet'!$E$13+1,1))-AVERAGE(OFFSET($H$3,0,0,'Données projet'!$E$13+1,1))</f>
        <v>381.72225529388083</v>
      </c>
      <c r="CZ73" s="59">
        <f t="shared" si="96"/>
        <v>360.05900046417361</v>
      </c>
      <c r="DA73" s="15">
        <f>IF(ISNA(VLOOKUP(A73,'Données projet'!$A$139:$I$159,3,0)),0,VLOOKUP(A73,'Données projet'!$A$139:$I$159,3,0))</f>
        <v>11</v>
      </c>
      <c r="DB73" s="15" t="str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0.25800000000000001</v>
      </c>
      <c r="DD73" s="16">
        <f>IF(ISNA(VLOOKUP(A73,'Données projet'!$A$139:$I$159,6,0)),0%,VLOOKUP(A73,'Données projet'!$A$139:$I$159,6,0)*VLOOKUP('Données projet'!$B$13,Paramètres!$A$1:$I$89,7,0))</f>
        <v>0.129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27.305937325755103</v>
      </c>
      <c r="DG73" s="21">
        <f>EXP(-LN(2)/25)*DG72+(1-EXP(-LN(2)/25))/(LN(2)/25)*Calculateur!DB73*Calculateur!DD73*VLOOKUP('Données projet'!$B$13,Paramètres!$A$1:$I$89,3,0)*0.475*44/12</f>
        <v>22.896031112373699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50.201968438128802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8.1001602564102626</v>
      </c>
      <c r="DO73" s="12">
        <f>IF('Données projet'!$A$166&gt;35,DO72+DN73-DW72,IF(A73&lt;'Données projet'!$A$166,$DL$205^A73,IF(A73='Données projet'!$A$166,'Données projet'!$B$166,DO72+DN73-DW72)))</f>
        <v>235.26522435897459</v>
      </c>
      <c r="DP73" s="17">
        <f>DO73*VLOOKUP('Données projet'!$B$14,Paramètres!$A$1:$I$89,3,0)*VLOOKUP('Données projet'!$B$14,Paramètres!$A$1:$I$89,5,0)</f>
        <v>227.54852500000021</v>
      </c>
      <c r="DQ73" s="13">
        <f t="shared" si="97"/>
        <v>55.752285193175616</v>
      </c>
      <c r="DR73" s="20">
        <f t="shared" si="70"/>
        <v>493.41557775311458</v>
      </c>
      <c r="DS73" s="59">
        <f t="shared" si="71"/>
        <v>786.74891108644783</v>
      </c>
      <c r="DT73" s="59">
        <f ca="1">AVERAGE(OFFSET($DS$3,0,0,'Données projet'!$E$14+1,1))-AVERAGE(OFFSET($H$3,0,0,'Données projet'!$E$14+1,1))</f>
        <v>407.73540492005355</v>
      </c>
      <c r="DU73" s="59">
        <f t="shared" si="98"/>
        <v>296.29416764204774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11.689974609812827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11.689974609812827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328.00000000000017</v>
      </c>
      <c r="EK73" s="17">
        <f>EJ73*VLOOKUP('Données projet'!$B$15,Paramètres!$A$1:$I$89,3,0)*VLOOKUP('Données projet'!$B$15,Paramètres!$A$1:$I$89,5,0)</f>
        <v>255.84000000000015</v>
      </c>
      <c r="EL73" s="13">
        <f t="shared" si="99"/>
        <v>61.834803371075886</v>
      </c>
      <c r="EM73" s="20">
        <f t="shared" si="73"/>
        <v>553.28361587129086</v>
      </c>
      <c r="EN73" s="59">
        <f t="shared" si="74"/>
        <v>846.61694920462423</v>
      </c>
      <c r="EO73" s="59">
        <f ca="1">AVERAGE(OFFSET($EN$3,0,0,'Données projet'!$E$15+1,1))-AVERAGE(OFFSET($H$3,0,0,'Données projet'!$E$15+1,1))</f>
        <v>288.80569134263209</v>
      </c>
      <c r="EP73" s="59">
        <f t="shared" si="100"/>
        <v>283.48738729114024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19.927991456309133</v>
      </c>
      <c r="EW73" s="21">
        <f>EXP(-LN(2)/25)*EW72+(1-EXP(-LN(2)/25))/(LN(2)/25)*Calculateur!ER73*Calculateur!ET73*VLOOKUP('Données projet'!$B$15,Paramètres!$A$1:$I$89,3,0)*0.475*44/12</f>
        <v>19.215214586035401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39.143206042344531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771.167769979284</v>
      </c>
      <c r="S74" s="59">
        <f ca="1">AVERAGE(OFFSET($R$3,0,0,'Données projet'!$E$9+1,1))-AVERAGE(OFFSET($H$3,0,0,'Données projet'!$E$9+1,1))</f>
        <v>384.05928630855732</v>
      </c>
      <c r="T74" s="59">
        <f t="shared" si="88"/>
        <v>279.93992813630513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9.0815018315018357</v>
      </c>
      <c r="AI74" s="13">
        <f>IF('Données projet'!$A$62&gt;35,AI73+AH74-AQ73,IF(A74&lt;'Données projet'!$A$62,$AF$205^A74,IF(A74='Données projet'!$A$62,'Données projet'!$B$62,AI73+AH74-AQ73)))</f>
        <v>257.96336996336987</v>
      </c>
      <c r="AJ74" s="13">
        <f>AI74*VLOOKUP('Données projet'!$B$10,Paramètres!$A$1:$I$89,3,0)*VLOOKUP('Données projet'!$B$10,Paramètres!$A$1:$I$89,5,0)</f>
        <v>217.3083428571428</v>
      </c>
      <c r="AK74" s="13">
        <f t="shared" si="89"/>
        <v>53.529448859036869</v>
      </c>
      <c r="AL74" s="20">
        <f t="shared" si="58"/>
        <v>471.70915390567961</v>
      </c>
      <c r="AM74" s="59">
        <f t="shared" si="59"/>
        <v>765.04248723901287</v>
      </c>
      <c r="AN74" s="59">
        <f ca="1">AVERAGE(OFFSET($AM$3,0,0,'Données projet'!$E$10+1,1))-AVERAGE(OFFSET($H$3,0,0,'Données projet'!$E$10+1,1))</f>
        <v>312.48716825299158</v>
      </c>
      <c r="AO74" s="59">
        <f t="shared" si="90"/>
        <v>258.68277822755357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25.624070122163225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25.624070122163225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260.87255999999974</v>
      </c>
      <c r="BF74" s="13">
        <f t="shared" si="91"/>
        <v>62.908336204200786</v>
      </c>
      <c r="BG74" s="20">
        <f t="shared" si="61"/>
        <v>563.9183942223159</v>
      </c>
      <c r="BH74" s="59">
        <f t="shared" si="62"/>
        <v>857.25172755564927</v>
      </c>
      <c r="BI74" s="59">
        <f ca="1">AVERAGE(OFFSET($BH$3,0,0,'Données projet'!$E$11+1,1))-AVERAGE(OFFSET($H$3,0,0,'Données projet'!$E$11+1,1))</f>
        <v>376.58419691967526</v>
      </c>
      <c r="BJ74" s="59">
        <f t="shared" si="92"/>
        <v>365.76175372075869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43.692093037370832</v>
      </c>
      <c r="BQ74" s="21">
        <f>EXP(-LN(2)/25)*BQ73+(1-EXP(-LN(2)/25))/(LN(2)/25)*Calculateur!BL74*Calculateur!BN74*VLOOKUP('Données projet'!$B$11,Paramètres!$A$1:$I$89,3,0)*0.475*44/12</f>
        <v>6.4924680038615126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50.184561041232342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283.07447999999977</v>
      </c>
      <c r="CA74" s="13">
        <f t="shared" si="93"/>
        <v>67.616321363645156</v>
      </c>
      <c r="CB74" s="20">
        <f t="shared" si="64"/>
        <v>610.78647904168156</v>
      </c>
      <c r="CC74" s="59">
        <f t="shared" si="65"/>
        <v>904.11981237501482</v>
      </c>
      <c r="CD74" s="59">
        <f ca="1">AVERAGE(OFFSET($CC$3,0,0,'Données projet'!$E$12+1,1))-AVERAGE(OFFSET($H$3,0,0,'Données projet'!$E$12+1,1))</f>
        <v>405.40026823646758</v>
      </c>
      <c r="CE74" s="59">
        <f t="shared" si="94"/>
        <v>393.0787141050053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58.436282770912101</v>
      </c>
      <c r="CL74" s="21">
        <f>EXP(-LN(2)/25)*CL73+(1-EXP(-LN(2)/25))/(LN(2)/25)*Calculateur!CG74*Calculateur!CI74*VLOOKUP('Données projet'!$B$12,Paramètres!$A$1:$I$89,3,0)*0.475*44/12</f>
        <v>8.6833948611764811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67.119677632088582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241.00000000000011</v>
      </c>
      <c r="CU74" s="17">
        <f>CT74*VLOOKUP('Données projet'!$B$13,Paramètres!$A$1:$I$89,3,0)*VLOOKUP('Données projet'!$B$13,Paramètres!$A$1:$I$89,5,0)</f>
        <v>210.53760000000011</v>
      </c>
      <c r="CV74" s="13">
        <f t="shared" si="95"/>
        <v>52.053047337322276</v>
      </c>
      <c r="CW74" s="20">
        <f t="shared" si="67"/>
        <v>457.34537744583645</v>
      </c>
      <c r="CX74" s="59">
        <f t="shared" si="68"/>
        <v>750.67871077916971</v>
      </c>
      <c r="CY74" s="59">
        <f ca="1">AVERAGE(OFFSET($CX$3,0,0,'Données projet'!$E$13+1,1))-AVERAGE(OFFSET($H$3,0,0,'Données projet'!$E$13+1,1))</f>
        <v>381.72225529388083</v>
      </c>
      <c r="CZ74" s="59">
        <f t="shared" si="96"/>
        <v>360.05900046417361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26.77048454977427</v>
      </c>
      <c r="DG74" s="21">
        <f>EXP(-LN(2)/25)*DG73+(1-EXP(-LN(2)/25))/(LN(2)/25)*Calculateur!DB74*Calculateur!DD74*VLOOKUP('Données projet'!$B$13,Paramètres!$A$1:$I$89,3,0)*0.475*44/12</f>
        <v>22.269937937555895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49.040422487330162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243.36538461538464</v>
      </c>
      <c r="DM74" s="12">
        <f>VLOOKUP(A74,'Données projet'!$A$165:$I$185,9,0)</f>
        <v>8.1001602564102626</v>
      </c>
      <c r="DN74" s="12">
        <f t="array" ref="DN74">INDEX(DM:DM,MIN(IF(ISNUMBER(DM74:DM270),ROW(DM74:DM270),"")))</f>
        <v>8.1001602564102626</v>
      </c>
      <c r="DO74" s="12">
        <f>IF('Données projet'!$A$166&gt;35,DO73+DN74-DW73,IF(A74&lt;'Données projet'!$A$166,$DL$205^A74,IF(A74='Données projet'!$A$166,'Données projet'!$B$166,DO73+DN74-DW73)))</f>
        <v>243.36538461538487</v>
      </c>
      <c r="DP74" s="17">
        <f>DO74*VLOOKUP('Données projet'!$B$14,Paramètres!$A$1:$I$89,3,0)*VLOOKUP('Données projet'!$B$14,Paramètres!$A$1:$I$89,5,0)</f>
        <v>235.38300000000024</v>
      </c>
      <c r="DQ74" s="13">
        <f t="shared" si="97"/>
        <v>57.44504019737942</v>
      </c>
      <c r="DR74" s="20">
        <f t="shared" si="70"/>
        <v>510.00883667710286</v>
      </c>
      <c r="DS74" s="59">
        <f t="shared" si="71"/>
        <v>803.34217001043612</v>
      </c>
      <c r="DT74" s="59">
        <f ca="1">AVERAGE(OFFSET($DS$3,0,0,'Données projet'!$E$14+1,1))-AVERAGE(OFFSET($H$3,0,0,'Données projet'!$E$14+1,1))</f>
        <v>407.73540492005355</v>
      </c>
      <c r="DU74" s="59">
        <f t="shared" si="98"/>
        <v>296.29416764204774</v>
      </c>
      <c r="DV74" s="15">
        <f>IF(ISNA(VLOOKUP(A74,'Données projet'!$A$165:$I$185,3,0)),0,VLOOKUP(A74,'Données projet'!$A$165:$I$185,3,0))</f>
        <v>6</v>
      </c>
      <c r="DW74" s="15">
        <f>IF(ISNA(VLOOKUP(A74,'Données projet'!$A$165:$I$185,4,0)),0,VLOOKUP(A74,'Données projet'!$A$165:$I$185,4,0))</f>
        <v>39.935897435897431</v>
      </c>
      <c r="DX74" s="16">
        <f>IF(ISNA(VLOOKUP(A74,'Données projet'!$A$165:$I$185,5,0)),0%,VLOOKUP(A74,'Données projet'!$A$165:$I$185,5,0)*VLOOKUP('Données projet'!$B$14,Paramètres!$A$1:$I$89,7,0))</f>
        <v>0.30099999999999999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24.31341090072662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24.31341090072662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328.00000000000017</v>
      </c>
      <c r="EK74" s="17">
        <f>EJ74*VLOOKUP('Données projet'!$B$15,Paramètres!$A$1:$I$89,3,0)*VLOOKUP('Données projet'!$B$15,Paramètres!$A$1:$I$89,5,0)</f>
        <v>255.84000000000015</v>
      </c>
      <c r="EL74" s="13">
        <f t="shared" si="99"/>
        <v>61.834803371075886</v>
      </c>
      <c r="EM74" s="20">
        <f t="shared" si="73"/>
        <v>553.28361587129086</v>
      </c>
      <c r="EN74" s="59">
        <f t="shared" si="74"/>
        <v>846.61694920462423</v>
      </c>
      <c r="EO74" s="59">
        <f ca="1">AVERAGE(OFFSET($EN$3,0,0,'Données projet'!$E$15+1,1))-AVERAGE(OFFSET($H$3,0,0,'Données projet'!$E$15+1,1))</f>
        <v>288.80569134263209</v>
      </c>
      <c r="EP74" s="59">
        <f t="shared" si="100"/>
        <v>283.48738729114024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19.537215698725504</v>
      </c>
      <c r="EW74" s="21">
        <f>EXP(-LN(2)/25)*EW73+(1-EXP(-LN(2)/25))/(LN(2)/25)*Calculateur!ER74*Calculateur!ET74*VLOOKUP('Données projet'!$B$15,Paramètres!$A$1:$I$89,3,0)*0.475*44/12</f>
        <v>18.689773532696044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38.226989231421548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709.51341950465337</v>
      </c>
      <c r="S75" s="59">
        <f ca="1">AVERAGE(OFFSET($R$3,0,0,'Données projet'!$E$9+1,1))-AVERAGE(OFFSET($H$3,0,0,'Données projet'!$E$9+1,1))</f>
        <v>384.05928630855732</v>
      </c>
      <c r="T75" s="59">
        <f t="shared" si="88"/>
        <v>279.93992813630513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267.04487179487182</v>
      </c>
      <c r="AG75" s="12">
        <f>VLOOKUP(A75,'Données projet'!$A$61:$I$81,9,0)</f>
        <v>9.0815018315018357</v>
      </c>
      <c r="AH75" s="12">
        <f t="array" ref="AH75">INDEX(AG:AG,MIN(IF(ISNUMBER(AG75:AG271),ROW(AG75:AG271),"")))</f>
        <v>9.0815018315018357</v>
      </c>
      <c r="AI75" s="13">
        <f>IF('Données projet'!$A$62&gt;35,AI74+AH75-AQ74,IF(A75&lt;'Données projet'!$A$62,$AF$205^A75,IF(A75='Données projet'!$A$62,'Données projet'!$B$62,AI74+AH75-AQ74)))</f>
        <v>267.04487179487171</v>
      </c>
      <c r="AJ75" s="13">
        <f>AI75*VLOOKUP('Données projet'!$B$10,Paramètres!$A$1:$I$89,3,0)*VLOOKUP('Données projet'!$B$10,Paramètres!$A$1:$I$89,5,0)</f>
        <v>224.95859999999993</v>
      </c>
      <c r="AK75" s="13">
        <f t="shared" si="89"/>
        <v>55.191210913728668</v>
      </c>
      <c r="AL75" s="20">
        <f t="shared" si="58"/>
        <v>487.92758734141063</v>
      </c>
      <c r="AM75" s="59">
        <f t="shared" si="59"/>
        <v>781.26092067474394</v>
      </c>
      <c r="AN75" s="59">
        <f ca="1">AVERAGE(OFFSET($AM$3,0,0,'Données projet'!$E$10+1,1))-AVERAGE(OFFSET($H$3,0,0,'Données projet'!$E$10+1,1))</f>
        <v>312.48716825299158</v>
      </c>
      <c r="AO75" s="59">
        <f t="shared" si="90"/>
        <v>258.68277822755357</v>
      </c>
      <c r="AP75" s="15">
        <f>IF(ISNA(VLOOKUP(A75,'Données projet'!$A$61:$I$81,3,0)),0,VLOOKUP(A75,'Données projet'!$A$61:$I$81,3,0))</f>
        <v>7</v>
      </c>
      <c r="AQ75" s="15">
        <f>IF(ISNA(VLOOKUP(A75,'Données projet'!$A$61:$I$81,4,0)),0,VLOOKUP(A75,'Données projet'!$A$61:$I$81,4,0))</f>
        <v>45.891025641025642</v>
      </c>
      <c r="AR75" s="16">
        <f>IF(ISNA(VLOOKUP(A75,'Données projet'!$A$61:$I$81,5,0)),0%,VLOOKUP(A75,'Données projet'!$A$61:$I$81,5,0)*VLOOKUP('Données projet'!$B$10,Paramètres!$A$1:$I$89,7,0))</f>
        <v>0.30099999999999999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37.985114837685096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37.985114837685096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264.39191999999974</v>
      </c>
      <c r="BF75" s="13">
        <f t="shared" si="91"/>
        <v>63.657643181110089</v>
      </c>
      <c r="BG75" s="20">
        <f t="shared" si="61"/>
        <v>571.35298920709954</v>
      </c>
      <c r="BH75" s="59">
        <f t="shared" si="62"/>
        <v>864.68632254043291</v>
      </c>
      <c r="BI75" s="59">
        <f ca="1">AVERAGE(OFFSET($BH$3,0,0,'Données projet'!$E$11+1,1))-AVERAGE(OFFSET($H$3,0,0,'Données projet'!$E$11+1,1))</f>
        <v>376.58419691967526</v>
      </c>
      <c r="BJ75" s="59">
        <f t="shared" si="92"/>
        <v>365.76175372075869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42.83531774245332</v>
      </c>
      <c r="BQ75" s="21">
        <f>EXP(-LN(2)/25)*BQ74+(1-EXP(-LN(2)/25))/(LN(2)/25)*Calculateur!BL75*Calculateur!BN75*VLOOKUP('Données projet'!$B$11,Paramètres!$A$1:$I$89,3,0)*0.475*44/12</f>
        <v>6.3149311248718663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49.150248867325189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286.89335999999975</v>
      </c>
      <c r="CA75" s="13">
        <f t="shared" si="93"/>
        <v>68.421705584684744</v>
      </c>
      <c r="CB75" s="20">
        <f t="shared" si="64"/>
        <v>618.84040589332551</v>
      </c>
      <c r="CC75" s="59">
        <f t="shared" si="65"/>
        <v>912.17373922665888</v>
      </c>
      <c r="CD75" s="59">
        <f ca="1">AVERAGE(OFFSET($CC$3,0,0,'Données projet'!$E$12+1,1))-AVERAGE(OFFSET($H$3,0,0,'Données projet'!$E$12+1,1))</f>
        <v>405.40026823646758</v>
      </c>
      <c r="CE75" s="59">
        <f t="shared" si="94"/>
        <v>393.0787141050053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57.290382908387592</v>
      </c>
      <c r="CL75" s="21">
        <f>EXP(-LN(2)/25)*CL74+(1-EXP(-LN(2)/25))/(LN(2)/25)*Calculateur!CG75*Calculateur!CI75*VLOOKUP('Données projet'!$B$12,Paramètres!$A$1:$I$89,3,0)*0.475*44/12</f>
        <v>8.4459469720577207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65.736329880445311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246.00000000000011</v>
      </c>
      <c r="CU75" s="17">
        <f>CT75*VLOOKUP('Données projet'!$B$13,Paramètres!$A$1:$I$89,3,0)*VLOOKUP('Données projet'!$B$13,Paramètres!$A$1:$I$89,5,0)</f>
        <v>214.90560000000013</v>
      </c>
      <c r="CV75" s="13">
        <f t="shared" si="95"/>
        <v>53.006137800892375</v>
      </c>
      <c r="CW75" s="20">
        <f t="shared" si="67"/>
        <v>466.61294333655451</v>
      </c>
      <c r="CX75" s="59">
        <f t="shared" si="68"/>
        <v>759.94627666988777</v>
      </c>
      <c r="CY75" s="59">
        <f ca="1">AVERAGE(OFFSET($CX$3,0,0,'Données projet'!$E$13+1,1))-AVERAGE(OFFSET($H$3,0,0,'Données projet'!$E$13+1,1))</f>
        <v>381.72225529388083</v>
      </c>
      <c r="CZ75" s="59">
        <f t="shared" si="96"/>
        <v>360.05900046417361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26.24553167613648</v>
      </c>
      <c r="DG75" s="21">
        <f>EXP(-LN(2)/25)*DG74+(1-EXP(-LN(2)/25))/(LN(2)/25)*Calculateur!DB75*Calculateur!DD75*VLOOKUP('Données projet'!$B$13,Paramètres!$A$1:$I$89,3,0)*0.475*44/12</f>
        <v>21.66096531352829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47.906496989664774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7.8425925925925934</v>
      </c>
      <c r="DO75" s="12">
        <f>IF('Données projet'!$A$166&gt;35,DO74+DN75-DW74,IF(A75&lt;'Données projet'!$A$166,$DL$205^A75,IF(A75='Données projet'!$A$166,'Données projet'!$B$166,DO74+DN75-DW74)))</f>
        <v>211.27207977208002</v>
      </c>
      <c r="DP75" s="17">
        <f>DO75*VLOOKUP('Données projet'!$B$14,Paramètres!$A$1:$I$89,3,0)*VLOOKUP('Données projet'!$B$14,Paramètres!$A$1:$I$89,5,0)</f>
        <v>204.3423555555558</v>
      </c>
      <c r="DQ75" s="13">
        <f t="shared" si="97"/>
        <v>50.697289778385127</v>
      </c>
      <c r="DR75" s="20">
        <f t="shared" si="70"/>
        <v>444.19404895661381</v>
      </c>
      <c r="DS75" s="59">
        <f t="shared" si="71"/>
        <v>737.52738228994713</v>
      </c>
      <c r="DT75" s="59">
        <f ca="1">AVERAGE(OFFSET($DS$3,0,0,'Données projet'!$E$14+1,1))-AVERAGE(OFFSET($H$3,0,0,'Données projet'!$E$14+1,1))</f>
        <v>407.73540492005355</v>
      </c>
      <c r="DU75" s="59">
        <f t="shared" si="98"/>
        <v>296.29416764204774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23.836639742679708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23.836639742679708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328.00000000000017</v>
      </c>
      <c r="EK75" s="17">
        <f>EJ75*VLOOKUP('Données projet'!$B$15,Paramètres!$A$1:$I$89,3,0)*VLOOKUP('Données projet'!$B$15,Paramètres!$A$1:$I$89,5,0)</f>
        <v>255.84000000000015</v>
      </c>
      <c r="EL75" s="13">
        <f t="shared" si="99"/>
        <v>61.834803371075886</v>
      </c>
      <c r="EM75" s="20">
        <f t="shared" si="73"/>
        <v>553.28361587129086</v>
      </c>
      <c r="EN75" s="59">
        <f t="shared" si="74"/>
        <v>846.61694920462423</v>
      </c>
      <c r="EO75" s="59">
        <f ca="1">AVERAGE(OFFSET($EN$3,0,0,'Données projet'!$E$15+1,1))-AVERAGE(OFFSET($H$3,0,0,'Données projet'!$E$15+1,1))</f>
        <v>288.80569134263209</v>
      </c>
      <c r="EP75" s="59">
        <f t="shared" si="100"/>
        <v>283.48738729114024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19.154102815398414</v>
      </c>
      <c r="EW75" s="21">
        <f>EXP(-LN(2)/25)*EW74+(1-EXP(-LN(2)/25))/(LN(2)/25)*Calculateur!ER75*Calculateur!ET75*VLOOKUP('Données projet'!$B$15,Paramètres!$A$1:$I$89,3,0)*0.475*44/12</f>
        <v>18.178700692591995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37.332803507990405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724.59685640532052</v>
      </c>
      <c r="S76" s="59">
        <f ca="1">AVERAGE(OFFSET($R$3,0,0,'Données projet'!$E$9+1,1))-AVERAGE(OFFSET($H$3,0,0,'Données projet'!$E$9+1,1))</f>
        <v>384.05928630855732</v>
      </c>
      <c r="T76" s="59">
        <f t="shared" si="88"/>
        <v>279.93992813630513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8.5947293447293376</v>
      </c>
      <c r="AI76" s="13">
        <f>IF('Données projet'!$A$62&gt;35,AI75+AH76-AQ75,IF(A76&lt;'Données projet'!$A$62,$AF$205^A76,IF(A76='Données projet'!$A$62,'Données projet'!$B$62,AI75+AH76-AQ75)))</f>
        <v>229.74857549857541</v>
      </c>
      <c r="AJ76" s="13">
        <f>AI76*VLOOKUP('Données projet'!$B$10,Paramètres!$A$1:$I$89,3,0)*VLOOKUP('Données projet'!$B$10,Paramètres!$A$1:$I$89,5,0)</f>
        <v>193.54019999999994</v>
      </c>
      <c r="AK76" s="13">
        <f t="shared" si="89"/>
        <v>48.321797872708039</v>
      </c>
      <c r="AL76" s="20">
        <f t="shared" si="58"/>
        <v>421.24297962829968</v>
      </c>
      <c r="AM76" s="59">
        <f t="shared" si="59"/>
        <v>714.57631296163299</v>
      </c>
      <c r="AN76" s="59">
        <f ca="1">AVERAGE(OFFSET($AM$3,0,0,'Données projet'!$E$10+1,1))-AVERAGE(OFFSET($H$3,0,0,'Données projet'!$E$10+1,1))</f>
        <v>312.48716825299158</v>
      </c>
      <c r="AO76" s="59">
        <f t="shared" si="90"/>
        <v>258.68277822755357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37.240249904350428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37.240249904350428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267.91127999999981</v>
      </c>
      <c r="BF76" s="13">
        <f t="shared" si="91"/>
        <v>64.405790031310872</v>
      </c>
      <c r="BG76" s="20">
        <f t="shared" si="61"/>
        <v>578.78556363786606</v>
      </c>
      <c r="BH76" s="59">
        <f t="shared" si="62"/>
        <v>872.11889697119932</v>
      </c>
      <c r="BI76" s="59">
        <f ca="1">AVERAGE(OFFSET($BH$3,0,0,'Données projet'!$E$11+1,1))-AVERAGE(OFFSET($H$3,0,0,'Données projet'!$E$11+1,1))</f>
        <v>376.58419691967526</v>
      </c>
      <c r="BJ76" s="59">
        <f t="shared" si="92"/>
        <v>365.76175372075869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41.99534328848781</v>
      </c>
      <c r="BQ76" s="21">
        <f>EXP(-LN(2)/25)*BQ75+(1-EXP(-LN(2)/25))/(LN(2)/25)*Calculateur!BL76*Calculateur!BN76*VLOOKUP('Données projet'!$B$11,Paramètres!$A$1:$I$89,3,0)*0.475*44/12</f>
        <v>6.1422490011744504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48.137592289662258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290.71223999999978</v>
      </c>
      <c r="CA76" s="13">
        <f t="shared" si="93"/>
        <v>69.225842856510994</v>
      </c>
      <c r="CB76" s="20">
        <f t="shared" si="64"/>
        <v>626.89216097508961</v>
      </c>
      <c r="CC76" s="59">
        <f t="shared" si="65"/>
        <v>920.22549430842287</v>
      </c>
      <c r="CD76" s="59">
        <f ca="1">AVERAGE(OFFSET($CC$3,0,0,'Données projet'!$E$12+1,1))-AVERAGE(OFFSET($H$3,0,0,'Données projet'!$E$12+1,1))</f>
        <v>405.40026823646758</v>
      </c>
      <c r="CE76" s="59">
        <f t="shared" si="94"/>
        <v>393.0787141050053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56.166953443237283</v>
      </c>
      <c r="CL76" s="21">
        <f>EXP(-LN(2)/25)*CL75+(1-EXP(-LN(2)/25))/(LN(2)/25)*Calculateur!CG76*Calculateur!CI76*VLOOKUP('Données projet'!$B$12,Paramètres!$A$1:$I$89,3,0)*0.475*44/12</f>
        <v>8.2149921079537549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64.381945551191038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251.00000000000011</v>
      </c>
      <c r="CU76" s="17">
        <f>CT76*VLOOKUP('Données projet'!$B$13,Paramètres!$A$1:$I$89,3,0)*VLOOKUP('Données projet'!$B$13,Paramètres!$A$1:$I$89,5,0)</f>
        <v>219.27360000000016</v>
      </c>
      <c r="CV76" s="13">
        <f t="shared" si="95"/>
        <v>53.956975893220168</v>
      </c>
      <c r="CW76" s="20">
        <f t="shared" si="67"/>
        <v>475.87658634735868</v>
      </c>
      <c r="CX76" s="59">
        <f t="shared" si="68"/>
        <v>769.209919680692</v>
      </c>
      <c r="CY76" s="59">
        <f ca="1">AVERAGE(OFFSET($CX$3,0,0,'Données projet'!$E$13+1,1))-AVERAGE(OFFSET($H$3,0,0,'Données projet'!$E$13+1,1))</f>
        <v>381.72225529388083</v>
      </c>
      <c r="CZ76" s="59">
        <f t="shared" si="96"/>
        <v>360.05900046417361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25.730872808161088</v>
      </c>
      <c r="DG76" s="21">
        <f>EXP(-LN(2)/25)*DG75+(1-EXP(-LN(2)/25))/(LN(2)/25)*Calculateur!DB76*Calculateur!DD76*VLOOKUP('Données projet'!$B$13,Paramètres!$A$1:$I$89,3,0)*0.475*44/12</f>
        <v>21.068645077929201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46.799517886090285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7.8425925925925934</v>
      </c>
      <c r="DO76" s="12">
        <f>IF('Données projet'!$A$166&gt;35,DO75+DN76-DW75,IF(A76&lt;'Données projet'!$A$166,$DL$205^A76,IF(A76='Données projet'!$A$166,'Données projet'!$B$166,DO75+DN76-DW75)))</f>
        <v>219.1146723646726</v>
      </c>
      <c r="DP76" s="17">
        <f>DO76*VLOOKUP('Données projet'!$B$14,Paramètres!$A$1:$I$89,3,0)*VLOOKUP('Données projet'!$B$14,Paramètres!$A$1:$I$89,5,0)</f>
        <v>211.92771111111134</v>
      </c>
      <c r="DQ76" s="13">
        <f t="shared" si="97"/>
        <v>52.356614786473038</v>
      </c>
      <c r="DR76" s="20">
        <f t="shared" si="70"/>
        <v>460.29520093829274</v>
      </c>
      <c r="DS76" s="59">
        <f t="shared" si="71"/>
        <v>753.62853427162599</v>
      </c>
      <c r="DT76" s="59">
        <f ca="1">AVERAGE(OFFSET($DS$3,0,0,'Données projet'!$E$14+1,1))-AVERAGE(OFFSET($H$3,0,0,'Données projet'!$E$14+1,1))</f>
        <v>407.73540492005355</v>
      </c>
      <c r="DU76" s="59">
        <f t="shared" si="98"/>
        <v>296.29416764204774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23.369217776240404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23.369217776240404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328.00000000000017</v>
      </c>
      <c r="EK76" s="17">
        <f>EJ76*VLOOKUP('Données projet'!$B$15,Paramètres!$A$1:$I$89,3,0)*VLOOKUP('Données projet'!$B$15,Paramètres!$A$1:$I$89,5,0)</f>
        <v>255.84000000000015</v>
      </c>
      <c r="EL76" s="13">
        <f t="shared" si="99"/>
        <v>61.834803371075886</v>
      </c>
      <c r="EM76" s="20">
        <f t="shared" si="73"/>
        <v>553.28361587129086</v>
      </c>
      <c r="EN76" s="59">
        <f t="shared" si="74"/>
        <v>846.61694920462423</v>
      </c>
      <c r="EO76" s="59">
        <f ca="1">AVERAGE(OFFSET($EN$3,0,0,'Données projet'!$E$15+1,1))-AVERAGE(OFFSET($H$3,0,0,'Données projet'!$E$15+1,1))</f>
        <v>288.80569134263209</v>
      </c>
      <c r="EP76" s="59">
        <f t="shared" si="100"/>
        <v>283.48738729114024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18.778502542037582</v>
      </c>
      <c r="EW76" s="21">
        <f>EXP(-LN(2)/25)*EW75+(1-EXP(-LN(2)/25))/(LN(2)/25)*Calculateur!ER76*Calculateur!ET76*VLOOKUP('Données projet'!$B$15,Paramètres!$A$1:$I$89,3,0)*0.475*44/12</f>
        <v>17.681603166176746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36.460105708214329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739.66896307022137</v>
      </c>
      <c r="S77" s="59">
        <f ca="1">AVERAGE(OFFSET($R$3,0,0,'Données projet'!$E$9+1,1))-AVERAGE(OFFSET($H$3,0,0,'Données projet'!$E$9+1,1))</f>
        <v>384.05928630855732</v>
      </c>
      <c r="T77" s="59">
        <f t="shared" si="88"/>
        <v>279.93992813630513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8.5947293447293376</v>
      </c>
      <c r="AI77" s="13">
        <f>IF('Données projet'!$A$62&gt;35,AI76+AH77-AQ76,IF(A77&lt;'Données projet'!$A$62,$AF$205^A77,IF(A77='Données projet'!$A$62,'Données projet'!$B$62,AI76+AH77-AQ76)))</f>
        <v>238.34330484330474</v>
      </c>
      <c r="AJ77" s="13">
        <f>AI77*VLOOKUP('Données projet'!$B$10,Paramètres!$A$1:$I$89,3,0)*VLOOKUP('Données projet'!$B$10,Paramètres!$A$1:$I$89,5,0)</f>
        <v>200.78039999999993</v>
      </c>
      <c r="AK77" s="13">
        <f t="shared" si="89"/>
        <v>49.915637132547147</v>
      </c>
      <c r="AL77" s="20">
        <f t="shared" si="58"/>
        <v>436.62893133918618</v>
      </c>
      <c r="AM77" s="59">
        <f t="shared" si="59"/>
        <v>729.9622646725195</v>
      </c>
      <c r="AN77" s="59">
        <f ca="1">AVERAGE(OFFSET($AM$3,0,0,'Données projet'!$E$10+1,1))-AVERAGE(OFFSET($H$3,0,0,'Données projet'!$E$10+1,1))</f>
        <v>312.48716825299158</v>
      </c>
      <c r="AO77" s="59">
        <f t="shared" si="90"/>
        <v>258.68277822755357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36.509991318035709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36.509991318035709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271.43063999999981</v>
      </c>
      <c r="BF77" s="13">
        <f t="shared" si="91"/>
        <v>65.152793756453633</v>
      </c>
      <c r="BG77" s="20">
        <f t="shared" si="61"/>
        <v>586.21614712582311</v>
      </c>
      <c r="BH77" s="59">
        <f t="shared" si="62"/>
        <v>879.54948045915648</v>
      </c>
      <c r="BI77" s="59">
        <f ca="1">AVERAGE(OFFSET($BH$3,0,0,'Données projet'!$E$11+1,1))-AVERAGE(OFFSET($H$3,0,0,'Données projet'!$E$11+1,1))</f>
        <v>376.58419691967526</v>
      </c>
      <c r="BJ77" s="59">
        <f t="shared" si="92"/>
        <v>365.76175372075869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41.171840221230738</v>
      </c>
      <c r="BQ77" s="21">
        <f>EXP(-LN(2)/25)*BQ76+(1-EXP(-LN(2)/25))/(LN(2)/25)*Calculateur!BL77*Calculateur!BN77*VLOOKUP('Données projet'!$B$11,Paramètres!$A$1:$I$89,3,0)*0.475*44/12</f>
        <v>5.9742888792304987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47.146129100461238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294.53111999999976</v>
      </c>
      <c r="CA77" s="13">
        <f t="shared" si="93"/>
        <v>70.028751453157682</v>
      </c>
      <c r="CB77" s="20">
        <f t="shared" si="64"/>
        <v>634.94177611424914</v>
      </c>
      <c r="CC77" s="59">
        <f t="shared" si="65"/>
        <v>928.27510944758251</v>
      </c>
      <c r="CD77" s="59">
        <f ca="1">AVERAGE(OFFSET($CC$3,0,0,'Données projet'!$E$12+1,1))-AVERAGE(OFFSET($H$3,0,0,'Données projet'!$E$12+1,1))</f>
        <v>405.40026823646758</v>
      </c>
      <c r="CE77" s="59">
        <f t="shared" si="94"/>
        <v>393.0787141050053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55.065553744674261</v>
      </c>
      <c r="CL77" s="21">
        <f>EXP(-LN(2)/25)*CL76+(1-EXP(-LN(2)/25))/(LN(2)/25)*Calculateur!CG77*Calculateur!CI77*VLOOKUP('Données projet'!$B$12,Paramètres!$A$1:$I$89,3,0)*0.475*44/12</f>
        <v>7.9903527167541002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63.055906461428364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256.00000000000011</v>
      </c>
      <c r="CU77" s="17">
        <f>CT77*VLOOKUP('Données projet'!$B$13,Paramètres!$A$1:$I$89,3,0)*VLOOKUP('Données projet'!$B$13,Paramètres!$A$1:$I$89,5,0)</f>
        <v>223.64160000000012</v>
      </c>
      <c r="CV77" s="13">
        <f t="shared" si="95"/>
        <v>54.905611653539218</v>
      </c>
      <c r="CW77" s="20">
        <f t="shared" si="67"/>
        <v>485.13639362991444</v>
      </c>
      <c r="CX77" s="59">
        <f t="shared" si="68"/>
        <v>778.46972696324769</v>
      </c>
      <c r="CY77" s="59">
        <f ca="1">AVERAGE(OFFSET($CX$3,0,0,'Données projet'!$E$13+1,1))-AVERAGE(OFFSET($H$3,0,0,'Données projet'!$E$13+1,1))</f>
        <v>381.72225529388083</v>
      </c>
      <c r="CZ77" s="59">
        <f t="shared" si="96"/>
        <v>360.05900046417361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25.22630608667578</v>
      </c>
      <c r="DG77" s="21">
        <f>EXP(-LN(2)/25)*DG76+(1-EXP(-LN(2)/25))/(LN(2)/25)*Calculateur!DB77*Calculateur!DD77*VLOOKUP('Données projet'!$B$13,Paramètres!$A$1:$I$89,3,0)*0.475*44/12</f>
        <v>20.492521870321337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45.718827956997117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7.8425925925925934</v>
      </c>
      <c r="DO77" s="12">
        <f>IF('Données projet'!$A$166&gt;35,DO76+DN77-DW76,IF(A77&lt;'Données projet'!$A$166,$DL$205^A77,IF(A77='Données projet'!$A$166,'Données projet'!$B$166,DO76+DN77-DW76)))</f>
        <v>226.95726495726518</v>
      </c>
      <c r="DP77" s="17">
        <f>DO77*VLOOKUP('Données projet'!$B$14,Paramètres!$A$1:$I$89,3,0)*VLOOKUP('Données projet'!$B$14,Paramètres!$A$1:$I$89,5,0)</f>
        <v>219.5130666666669</v>
      </c>
      <c r="DQ77" s="13">
        <f t="shared" si="97"/>
        <v>54.009039522270811</v>
      </c>
      <c r="DR77" s="20">
        <f t="shared" si="70"/>
        <v>476.38433494573314</v>
      </c>
      <c r="DS77" s="59">
        <f t="shared" si="71"/>
        <v>769.7176682790664</v>
      </c>
      <c r="DT77" s="59">
        <f ca="1">AVERAGE(OFFSET($DS$3,0,0,'Données projet'!$E$14+1,1))-AVERAGE(OFFSET($H$3,0,0,'Données projet'!$E$14+1,1))</f>
        <v>407.73540492005355</v>
      </c>
      <c r="DU77" s="59">
        <f t="shared" si="98"/>
        <v>296.29416764204774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22.910961669463727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22.910961669463727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328.00000000000017</v>
      </c>
      <c r="EK77" s="17">
        <f>EJ77*VLOOKUP('Données projet'!$B$15,Paramètres!$A$1:$I$89,3,0)*VLOOKUP('Données projet'!$B$15,Paramètres!$A$1:$I$89,5,0)</f>
        <v>255.84000000000015</v>
      </c>
      <c r="EL77" s="13">
        <f t="shared" si="99"/>
        <v>61.834803371075886</v>
      </c>
      <c r="EM77" s="20">
        <f t="shared" si="73"/>
        <v>553.28361587129086</v>
      </c>
      <c r="EN77" s="59">
        <f t="shared" si="74"/>
        <v>846.61694920462423</v>
      </c>
      <c r="EO77" s="59">
        <f ca="1">AVERAGE(OFFSET($EN$3,0,0,'Données projet'!$E$15+1,1))-AVERAGE(OFFSET($H$3,0,0,'Données projet'!$E$15+1,1))</f>
        <v>288.80569134263209</v>
      </c>
      <c r="EP77" s="59">
        <f t="shared" si="100"/>
        <v>283.48738729114024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18.410267560943812</v>
      </c>
      <c r="EW77" s="21">
        <f>EXP(-LN(2)/25)*EW76+(1-EXP(-LN(2)/25))/(LN(2)/25)*Calculateur!ER77*Calculateur!ET77*VLOOKUP('Données projet'!$B$15,Paramètres!$A$1:$I$89,3,0)*0.475*44/12</f>
        <v>17.198098797762544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35.608366358706355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754.73017589148367</v>
      </c>
      <c r="S78" s="59">
        <f ca="1">AVERAGE(OFFSET($R$3,0,0,'Données projet'!$E$9+1,1))-AVERAGE(OFFSET($H$3,0,0,'Données projet'!$E$9+1,1))</f>
        <v>384.05928630855732</v>
      </c>
      <c r="T78" s="59">
        <f t="shared" si="88"/>
        <v>279.93992813630513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8.5947293447293376</v>
      </c>
      <c r="AI78" s="13">
        <f>IF('Données projet'!$A$62&gt;35,AI77+AH78-AQ77,IF(A78&lt;'Données projet'!$A$62,$AF$205^A78,IF(A78='Données projet'!$A$62,'Données projet'!$B$62,AI77+AH78-AQ77)))</f>
        <v>246.93803418803407</v>
      </c>
      <c r="AJ78" s="13">
        <f>AI78*VLOOKUP('Données projet'!$B$10,Paramètres!$A$1:$I$89,3,0)*VLOOKUP('Données projet'!$B$10,Paramètres!$A$1:$I$89,5,0)</f>
        <v>208.02059999999994</v>
      </c>
      <c r="AK78" s="13">
        <f t="shared" si="89"/>
        <v>51.502798874753772</v>
      </c>
      <c r="AL78" s="20">
        <f t="shared" si="58"/>
        <v>452.00325304019606</v>
      </c>
      <c r="AM78" s="59">
        <f t="shared" si="59"/>
        <v>745.33658637352937</v>
      </c>
      <c r="AN78" s="59">
        <f ca="1">AVERAGE(OFFSET($AM$3,0,0,'Données projet'!$E$10+1,1))-AVERAGE(OFFSET($H$3,0,0,'Données projet'!$E$10+1,1))</f>
        <v>312.48716825299158</v>
      </c>
      <c r="AO78" s="59">
        <f t="shared" si="90"/>
        <v>258.68277822755357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35.794052657184864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35.794052657184864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274.94999999999976</v>
      </c>
      <c r="BF78" s="13">
        <f t="shared" si="91"/>
        <v>65.898670891956897</v>
      </c>
      <c r="BG78" s="20">
        <f t="shared" si="61"/>
        <v>593.64476847015783</v>
      </c>
      <c r="BH78" s="59">
        <f t="shared" si="62"/>
        <v>886.9781018034912</v>
      </c>
      <c r="BI78" s="59">
        <f ca="1">AVERAGE(OFFSET($BH$3,0,0,'Données projet'!$E$11+1,1))-AVERAGE(OFFSET($H$3,0,0,'Données projet'!$E$11+1,1))</f>
        <v>376.58419691967526</v>
      </c>
      <c r="BJ78" s="59">
        <f t="shared" si="92"/>
        <v>365.76175372075869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0.39990000000000003</v>
      </c>
      <c r="BN78" s="16">
        <f>IF(ISNA(VLOOKUP(A78,'Données projet'!$A$87:$I$107,6,0)),0%,VLOOKUP(A78,'Données projet'!$A$87:$I$107,6,0)*VLOOKUP('Données projet'!$B$11,Paramètres!$A$1:$I$89,7,0))</f>
        <v>3.0100000000000002E-2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44.902323744332044</v>
      </c>
      <c r="BQ78" s="21">
        <f>EXP(-LN(2)/25)*BQ77+(1-EXP(-LN(2)/25))/(LN(2)/25)*Calculateur!BL78*Calculateur!BN78*VLOOKUP('Données projet'!$B$11,Paramètres!$A$1:$I$89,3,0)*0.475*44/12</f>
        <v>6.1511345065809371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51.053458250912982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298.3499999999998</v>
      </c>
      <c r="CA78" s="13">
        <f t="shared" si="93"/>
        <v>70.83044914753448</v>
      </c>
      <c r="CB78" s="20">
        <f t="shared" si="64"/>
        <v>642.98928226528881</v>
      </c>
      <c r="CC78" s="59">
        <f t="shared" si="65"/>
        <v>936.32261559862218</v>
      </c>
      <c r="CD78" s="59">
        <f ca="1">AVERAGE(OFFSET($CC$3,0,0,'Données projet'!$E$12+1,1))-AVERAGE(OFFSET($H$3,0,0,'Données projet'!$E$12+1,1))</f>
        <v>405.40026823646758</v>
      </c>
      <c r="CE78" s="59">
        <f t="shared" si="94"/>
        <v>393.0787141050053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0.49290000000000006</v>
      </c>
      <c r="CI78" s="16">
        <f>IF(ISNA(VLOOKUP(A78,'Données projet'!$A$113:$I$133,6,0)),0%,VLOOKUP(A78,'Données projet'!$A$113:$I$133,6,0)*VLOOKUP('Données projet'!$B$12,Paramètres!$A$1:$I$89,7,0))</f>
        <v>3.7100000000000008E-2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60.05491394405221</v>
      </c>
      <c r="CL78" s="21">
        <f>EXP(-LN(2)/25)*CL77+(1-EXP(-LN(2)/25))/(LN(2)/25)*Calculateur!CG78*Calculateur!CI78*VLOOKUP('Données projet'!$B$12,Paramètres!$A$1:$I$89,3,0)*0.475*44/12</f>
        <v>8.2268760867334354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68.281790030785643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261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261.00000000000011</v>
      </c>
      <c r="CU78" s="17">
        <f>CT78*VLOOKUP('Données projet'!$B$13,Paramètres!$A$1:$I$89,3,0)*VLOOKUP('Données projet'!$B$13,Paramètres!$A$1:$I$89,5,0)</f>
        <v>228.00960000000015</v>
      </c>
      <c r="CV78" s="13">
        <f t="shared" si="95"/>
        <v>55.852093054619878</v>
      </c>
      <c r="CW78" s="20">
        <f t="shared" si="67"/>
        <v>494.39244873679655</v>
      </c>
      <c r="CX78" s="59">
        <f t="shared" si="68"/>
        <v>787.72578207012987</v>
      </c>
      <c r="CY78" s="59">
        <f ca="1">AVERAGE(OFFSET($CX$3,0,0,'Données projet'!$E$13+1,1))-AVERAGE(OFFSET($H$3,0,0,'Données projet'!$E$13+1,1))</f>
        <v>381.72225529388083</v>
      </c>
      <c r="CZ78" s="59">
        <f t="shared" si="96"/>
        <v>360.05900046417361</v>
      </c>
      <c r="DA78" s="15">
        <f>IF(ISNA(VLOOKUP(A78,'Données projet'!$A$139:$I$159,3,0)),0,VLOOKUP(A78,'Données projet'!$A$139:$I$159,3,0))</f>
        <v>12</v>
      </c>
      <c r="DB78" s="15" t="str">
        <f>IF(ISNA(VLOOKUP(A78,'Données projet'!$A$139:$I$159,4,0)),0,VLOOKUP(A78,'Données projet'!$A$139:$I$159,4,0))</f>
        <v>19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8.6000000000000007E-2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30.254694514683045</v>
      </c>
      <c r="DG78" s="21">
        <f>EXP(-LN(2)/25)*DG77+(1-EXP(-LN(2)/25))/(LN(2)/25)*Calculateur!DB78*Calculateur!DD78*VLOOKUP('Données projet'!$B$13,Paramètres!$A$1:$I$89,3,0)*0.475*44/12</f>
        <v>21.503956927439638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51.758651442122684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7.8425925925925934</v>
      </c>
      <c r="DO78" s="12">
        <f>IF('Données projet'!$A$166&gt;35,DO77+DN78-DW77,IF(A78&lt;'Données projet'!$A$166,$DL$205^A78,IF(A78='Données projet'!$A$166,'Données projet'!$B$166,DO77+DN78-DW77)))</f>
        <v>234.79985754985776</v>
      </c>
      <c r="DP78" s="17">
        <f>DO78*VLOOKUP('Données projet'!$B$14,Paramètres!$A$1:$I$89,3,0)*VLOOKUP('Données projet'!$B$14,Paramètres!$A$1:$I$89,5,0)</f>
        <v>227.09842222222244</v>
      </c>
      <c r="DQ78" s="13">
        <f t="shared" si="97"/>
        <v>55.65482975469677</v>
      </c>
      <c r="DR78" s="20">
        <f t="shared" si="70"/>
        <v>492.46191385980097</v>
      </c>
      <c r="DS78" s="59">
        <f t="shared" si="71"/>
        <v>785.79524719313429</v>
      </c>
      <c r="DT78" s="59">
        <f ca="1">AVERAGE(OFFSET($DS$3,0,0,'Données projet'!$E$14+1,1))-AVERAGE(OFFSET($H$3,0,0,'Données projet'!$E$14+1,1))</f>
        <v>407.73540492005355</v>
      </c>
      <c r="DU78" s="59">
        <f t="shared" si="98"/>
        <v>296.29416764204774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22.461691685432314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22.461691685432314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328.00000000000017</v>
      </c>
      <c r="EK78" s="17">
        <f>EJ78*VLOOKUP('Données projet'!$B$15,Paramètres!$A$1:$I$89,3,0)*VLOOKUP('Données projet'!$B$15,Paramètres!$A$1:$I$89,5,0)</f>
        <v>255.84000000000015</v>
      </c>
      <c r="EL78" s="13">
        <f t="shared" si="99"/>
        <v>61.834803371075886</v>
      </c>
      <c r="EM78" s="20">
        <f t="shared" si="73"/>
        <v>553.28361587129086</v>
      </c>
      <c r="EN78" s="59">
        <f t="shared" si="74"/>
        <v>846.61694920462423</v>
      </c>
      <c r="EO78" s="59">
        <f ca="1">AVERAGE(OFFSET($EN$3,0,0,'Données projet'!$E$15+1,1))-AVERAGE(OFFSET($H$3,0,0,'Données projet'!$E$15+1,1))</f>
        <v>288.80569134263209</v>
      </c>
      <c r="EP78" s="59">
        <f t="shared" si="100"/>
        <v>283.48738729114024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18.049253443228128</v>
      </c>
      <c r="EW78" s="21">
        <f>EXP(-LN(2)/25)*EW77+(1-EXP(-LN(2)/25))/(LN(2)/25)*Calculateur!ER78*Calculateur!ET78*VLOOKUP('Données projet'!$B$15,Paramètres!$A$1:$I$89,3,0)*0.475*44/12</f>
        <v>16.727815881729018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34.777069324957147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769.78090045503291</v>
      </c>
      <c r="S79" s="59">
        <f ca="1">AVERAGE(OFFSET($R$3,0,0,'Données projet'!$E$9+1,1))-AVERAGE(OFFSET($H$3,0,0,'Données projet'!$E$9+1,1))</f>
        <v>384.05928630855732</v>
      </c>
      <c r="T79" s="59">
        <f t="shared" si="88"/>
        <v>279.93992813630513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8.5947293447293376</v>
      </c>
      <c r="AI79" s="13">
        <f>IF('Données projet'!$A$62&gt;35,AI78+AH79-AQ78,IF(A79&lt;'Données projet'!$A$62,$AF$205^A79,IF(A79='Données projet'!$A$62,'Données projet'!$B$62,AI78+AH79-AQ78)))</f>
        <v>255.5327635327634</v>
      </c>
      <c r="AJ79" s="13">
        <f>AI79*VLOOKUP('Données projet'!$B$10,Paramètres!$A$1:$I$89,3,0)*VLOOKUP('Données projet'!$B$10,Paramètres!$A$1:$I$89,5,0)</f>
        <v>215.2607999999999</v>
      </c>
      <c r="AK79" s="13">
        <f t="shared" si="89"/>
        <v>53.083542145940619</v>
      </c>
      <c r="AL79" s="20">
        <f t="shared" si="58"/>
        <v>467.36639590417968</v>
      </c>
      <c r="AM79" s="59">
        <f t="shared" si="59"/>
        <v>760.699729237513</v>
      </c>
      <c r="AN79" s="59">
        <f ca="1">AVERAGE(OFFSET($AM$3,0,0,'Données projet'!$E$10+1,1))-AVERAGE(OFFSET($H$3,0,0,'Données projet'!$E$10+1,1))</f>
        <v>312.48716825299158</v>
      </c>
      <c r="AO79" s="59">
        <f t="shared" si="90"/>
        <v>258.68277822755357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35.092153116793838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35.092153116793838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267.61799999999982</v>
      </c>
      <c r="BF79" s="13">
        <f t="shared" si="91"/>
        <v>64.343488352847658</v>
      </c>
      <c r="BG79" s="20">
        <f t="shared" si="61"/>
        <v>578.16625888120927</v>
      </c>
      <c r="BH79" s="59">
        <f t="shared" si="62"/>
        <v>871.49959221454264</v>
      </c>
      <c r="BI79" s="59">
        <f ca="1">AVERAGE(OFFSET($BH$3,0,0,'Données projet'!$E$11+1,1))-AVERAGE(OFFSET($H$3,0,0,'Données projet'!$E$11+1,1))</f>
        <v>376.58419691967526</v>
      </c>
      <c r="BJ79" s="59">
        <f t="shared" si="92"/>
        <v>365.76175372075869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44.021816563418867</v>
      </c>
      <c r="BQ79" s="21">
        <f>EXP(-LN(2)/25)*BQ78+(1-EXP(-LN(2)/25))/(LN(2)/25)*Calculateur!BL79*Calculateur!BN79*VLOOKUP('Données projet'!$B$11,Paramètres!$A$1:$I$89,3,0)*0.475*44/12</f>
        <v>5.982931410024376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50.004747973443244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290.39399999999978</v>
      </c>
      <c r="CA79" s="13">
        <f t="shared" si="93"/>
        <v>69.158878594433091</v>
      </c>
      <c r="CB79" s="20">
        <f t="shared" si="64"/>
        <v>626.22126355197054</v>
      </c>
      <c r="CC79" s="59">
        <f t="shared" si="65"/>
        <v>919.55459688530391</v>
      </c>
      <c r="CD79" s="59">
        <f ca="1">AVERAGE(OFFSET($CC$3,0,0,'Données projet'!$E$12+1,1))-AVERAGE(OFFSET($H$3,0,0,'Données projet'!$E$12+1,1))</f>
        <v>405.40026823646758</v>
      </c>
      <c r="CE79" s="59">
        <f t="shared" si="94"/>
        <v>393.0787141050053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58.877273711489948</v>
      </c>
      <c r="CL79" s="21">
        <f>EXP(-LN(2)/25)*CL78+(1-EXP(-LN(2)/25))/(LN(2)/25)*Calculateur!CG79*Calculateur!CI79*VLOOKUP('Données projet'!$B$12,Paramètres!$A$1:$I$89,3,0)*0.475*44/12</f>
        <v>8.0019117275090998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66.879185438999045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4.4000000000000004</v>
      </c>
      <c r="CT79" s="12">
        <f>IF('Données projet'!$A$140&gt;35,CT78+CS79-DB78,IF(A79&lt;'Données projet'!$A$140,$CQ$205^A79,IF(A79='Données projet'!$A$140,'Données projet'!$B$140,CT78+CS79-DB78)))</f>
        <v>246.40000000000009</v>
      </c>
      <c r="CU79" s="17">
        <f>CT79*VLOOKUP('Données projet'!$B$13,Paramètres!$A$1:$I$89,3,0)*VLOOKUP('Données projet'!$B$13,Paramètres!$A$1:$I$89,5,0)</f>
        <v>215.25504000000012</v>
      </c>
      <c r="CV79" s="13">
        <f t="shared" si="95"/>
        <v>53.082287058997267</v>
      </c>
      <c r="CW79" s="20">
        <f t="shared" si="67"/>
        <v>467.35417796108709</v>
      </c>
      <c r="CX79" s="59">
        <f t="shared" si="68"/>
        <v>760.68751129442035</v>
      </c>
      <c r="CY79" s="59">
        <f ca="1">AVERAGE(OFFSET($CX$3,0,0,'Données projet'!$E$13+1,1))-AVERAGE(OFFSET($H$3,0,0,'Données projet'!$E$13+1,1))</f>
        <v>381.72225529388083</v>
      </c>
      <c r="CZ79" s="59">
        <f t="shared" si="96"/>
        <v>360.05900046417361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29.661418408791629</v>
      </c>
      <c r="DG79" s="21">
        <f>EXP(-LN(2)/25)*DG78+(1-EXP(-LN(2)/25))/(LN(2)/25)*Calculateur!DB79*Calculateur!DD79*VLOOKUP('Données projet'!$B$13,Paramètres!$A$1:$I$89,3,0)*0.475*44/12</f>
        <v>20.915930094414854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50.57734850320648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7.8425925925925934</v>
      </c>
      <c r="DO79" s="12">
        <f>IF('Données projet'!$A$166&gt;35,DO78+DN79-DW78,IF(A79&lt;'Données projet'!$A$166,$DL$205^A79,IF(A79='Données projet'!$A$166,'Données projet'!$B$166,DO78+DN79-DW78)))</f>
        <v>242.64245014245034</v>
      </c>
      <c r="DP79" s="17">
        <f>DO79*VLOOKUP('Données projet'!$B$14,Paramètres!$A$1:$I$89,3,0)*VLOOKUP('Données projet'!$B$14,Paramètres!$A$1:$I$89,5,0)</f>
        <v>234.68377777777798</v>
      </c>
      <c r="DQ79" s="13">
        <f t="shared" si="97"/>
        <v>57.294232491261091</v>
      </c>
      <c r="DR79" s="20">
        <f t="shared" si="70"/>
        <v>508.52836788524309</v>
      </c>
      <c r="DS79" s="59">
        <f t="shared" si="71"/>
        <v>801.8617012185764</v>
      </c>
      <c r="DT79" s="59">
        <f ca="1">AVERAGE(OFFSET($DS$3,0,0,'Données projet'!$E$14+1,1))-AVERAGE(OFFSET($H$3,0,0,'Données projet'!$E$14+1,1))</f>
        <v>407.73540492005355</v>
      </c>
      <c r="DU79" s="59">
        <f t="shared" si="98"/>
        <v>296.29416764204774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22.021231611760125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22.021231611760125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328.00000000000017</v>
      </c>
      <c r="EK79" s="17">
        <f>EJ79*VLOOKUP('Données projet'!$B$15,Paramètres!$A$1:$I$89,3,0)*VLOOKUP('Données projet'!$B$15,Paramètres!$A$1:$I$89,5,0)</f>
        <v>255.84000000000015</v>
      </c>
      <c r="EL79" s="13">
        <f t="shared" si="99"/>
        <v>61.834803371075886</v>
      </c>
      <c r="EM79" s="20">
        <f t="shared" si="73"/>
        <v>553.28361587129086</v>
      </c>
      <c r="EN79" s="59">
        <f t="shared" si="74"/>
        <v>846.61694920462423</v>
      </c>
      <c r="EO79" s="59">
        <f ca="1">AVERAGE(OFFSET($EN$3,0,0,'Données projet'!$E$15+1,1))-AVERAGE(OFFSET($H$3,0,0,'Données projet'!$E$15+1,1))</f>
        <v>288.80569134263209</v>
      </c>
      <c r="EP79" s="59">
        <f t="shared" si="100"/>
        <v>283.48738729114024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17.695318592163982</v>
      </c>
      <c r="EW79" s="21">
        <f>EXP(-LN(2)/25)*EW78+(1-EXP(-LN(2)/25))/(LN(2)/25)*Calculateur!ER79*Calculateur!ET79*VLOOKUP('Données projet'!$B$15,Paramètres!$A$1:$I$89,3,0)*0.475*44/12</f>
        <v>16.270392876765534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33.965711468929513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784.82151463998366</v>
      </c>
      <c r="S80" s="59">
        <f ca="1">AVERAGE(OFFSET($R$3,0,0,'Données projet'!$E$9+1,1))-AVERAGE(OFFSET($H$3,0,0,'Données projet'!$E$9+1,1))</f>
        <v>384.05928630855732</v>
      </c>
      <c r="T80" s="59">
        <f t="shared" si="88"/>
        <v>279.93992813630513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8.5947293447293376</v>
      </c>
      <c r="AI80" s="13">
        <f>IF('Données projet'!$A$62&gt;35,AI79+AH80-AQ79,IF(A80&lt;'Données projet'!$A$62,$AF$205^A80,IF(A80='Données projet'!$A$62,'Données projet'!$B$62,AI79+AH80-AQ79)))</f>
        <v>264.12749287749273</v>
      </c>
      <c r="AJ80" s="13">
        <f>AI80*VLOOKUP('Données projet'!$B$10,Paramètres!$A$1:$I$89,3,0)*VLOOKUP('Données projet'!$B$10,Paramètres!$A$1:$I$89,5,0)</f>
        <v>222.50099999999986</v>
      </c>
      <c r="AK80" s="13">
        <f t="shared" si="89"/>
        <v>54.658107578193693</v>
      </c>
      <c r="AL80" s="20">
        <f t="shared" si="58"/>
        <v>482.71877903202045</v>
      </c>
      <c r="AM80" s="59">
        <f t="shared" si="59"/>
        <v>776.05211236535376</v>
      </c>
      <c r="AN80" s="59">
        <f ca="1">AVERAGE(OFFSET($AM$3,0,0,'Données projet'!$E$10+1,1))-AVERAGE(OFFSET($H$3,0,0,'Données projet'!$E$10+1,1))</f>
        <v>312.48716825299158</v>
      </c>
      <c r="AO80" s="59">
        <f t="shared" si="90"/>
        <v>258.68277822755357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34.404017398273432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34.404017398273432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270.55079999999981</v>
      </c>
      <c r="BF80" s="13">
        <f t="shared" si="91"/>
        <v>64.966149081071777</v>
      </c>
      <c r="BG80" s="20">
        <f t="shared" si="61"/>
        <v>584.35868631619962</v>
      </c>
      <c r="BH80" s="59">
        <f t="shared" si="62"/>
        <v>877.69201964953299</v>
      </c>
      <c r="BI80" s="59">
        <f ca="1">AVERAGE(OFFSET($BH$3,0,0,'Données projet'!$E$11+1,1))-AVERAGE(OFFSET($H$3,0,0,'Données projet'!$E$11+1,1))</f>
        <v>376.58419691967526</v>
      </c>
      <c r="BJ80" s="59">
        <f t="shared" si="92"/>
        <v>365.76175372075869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43.158575591267045</v>
      </c>
      <c r="BQ80" s="21">
        <f>EXP(-LN(2)/25)*BQ79+(1-EXP(-LN(2)/25))/(LN(2)/25)*Calculateur!BL80*Calculateur!BN80*VLOOKUP('Données projet'!$B$11,Paramètres!$A$1:$I$89,3,0)*0.475*44/12</f>
        <v>5.8193278359885712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48.977903427255619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293.57639999999981</v>
      </c>
      <c r="CA80" s="13">
        <f t="shared" si="93"/>
        <v>69.828138511965548</v>
      </c>
      <c r="CB80" s="20">
        <f t="shared" si="64"/>
        <v>632.92957124167299</v>
      </c>
      <c r="CC80" s="59">
        <f t="shared" si="65"/>
        <v>926.26290457500636</v>
      </c>
      <c r="CD80" s="59">
        <f ca="1">AVERAGE(OFFSET($CC$3,0,0,'Données projet'!$E$12+1,1))-AVERAGE(OFFSET($H$3,0,0,'Données projet'!$E$12+1,1))</f>
        <v>405.40026823646758</v>
      </c>
      <c r="CE80" s="59">
        <f t="shared" si="94"/>
        <v>393.0787141050053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57.722726285598618</v>
      </c>
      <c r="CL80" s="21">
        <f>EXP(-LN(2)/25)*CL79+(1-EXP(-LN(2)/25))/(LN(2)/25)*Calculateur!CG80*Calculateur!CI80*VLOOKUP('Données projet'!$B$12,Paramètres!$A$1:$I$89,3,0)*0.475*44/12</f>
        <v>7.7830990305181142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65.505825316116727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4.4000000000000004</v>
      </c>
      <c r="CT80" s="12">
        <f>IF('Données projet'!$A$140&gt;35,CT79+CS80-DB79,IF(A80&lt;'Données projet'!$A$140,$CQ$205^A80,IF(A80='Données projet'!$A$140,'Données projet'!$B$140,CT79+CS80-DB79)))</f>
        <v>250.8000000000001</v>
      </c>
      <c r="CU80" s="17">
        <f>CT80*VLOOKUP('Données projet'!$B$13,Paramètres!$A$1:$I$89,3,0)*VLOOKUP('Données projet'!$B$13,Paramètres!$A$1:$I$89,5,0)</f>
        <v>219.09888000000012</v>
      </c>
      <c r="CV80" s="13">
        <f t="shared" si="95"/>
        <v>53.918984980452286</v>
      </c>
      <c r="CW80" s="20">
        <f t="shared" si="67"/>
        <v>475.50611484095458</v>
      </c>
      <c r="CX80" s="59">
        <f t="shared" si="68"/>
        <v>768.8394481742879</v>
      </c>
      <c r="CY80" s="59">
        <f ca="1">AVERAGE(OFFSET($CX$3,0,0,'Données projet'!$E$13+1,1))-AVERAGE(OFFSET($H$3,0,0,'Données projet'!$E$13+1,1))</f>
        <v>381.72225529388083</v>
      </c>
      <c r="CZ80" s="59">
        <f t="shared" si="96"/>
        <v>360.05900046417361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29.079776085474048</v>
      </c>
      <c r="DG80" s="21">
        <f>EXP(-LN(2)/25)*DG79+(1-EXP(-LN(2)/25))/(LN(2)/25)*Calculateur!DB80*Calculateur!DD80*VLOOKUP('Données projet'!$B$13,Paramètres!$A$1:$I$89,3,0)*0.475*44/12</f>
        <v>20.343982886062122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49.423758971536174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7.8425925925925934</v>
      </c>
      <c r="DO80" s="12">
        <f>IF('Données projet'!$A$166&gt;35,DO79+DN80-DW79,IF(A80&lt;'Données projet'!$A$166,$DL$205^A80,IF(A80='Données projet'!$A$166,'Données projet'!$B$166,DO79+DN80-DW79)))</f>
        <v>250.48504273504292</v>
      </c>
      <c r="DP80" s="17">
        <f>DO80*VLOOKUP('Données projet'!$B$14,Paramètres!$A$1:$I$89,3,0)*VLOOKUP('Données projet'!$B$14,Paramètres!$A$1:$I$89,5,0)</f>
        <v>242.26913333333354</v>
      </c>
      <c r="DQ80" s="13">
        <f t="shared" si="97"/>
        <v>58.9274778656374</v>
      </c>
      <c r="DR80" s="20">
        <f t="shared" si="70"/>
        <v>524.58409783820764</v>
      </c>
      <c r="DS80" s="59">
        <f t="shared" si="71"/>
        <v>817.91743117154101</v>
      </c>
      <c r="DT80" s="59">
        <f ca="1">AVERAGE(OFFSET($DS$3,0,0,'Données projet'!$E$14+1,1))-AVERAGE(OFFSET($H$3,0,0,'Données projet'!$E$14+1,1))</f>
        <v>407.73540492005355</v>
      </c>
      <c r="DU80" s="59">
        <f t="shared" si="98"/>
        <v>296.29416764204774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21.589408691478528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21.589408691478528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328.00000000000017</v>
      </c>
      <c r="EK80" s="17">
        <f>EJ80*VLOOKUP('Données projet'!$B$15,Paramètres!$A$1:$I$89,3,0)*VLOOKUP('Données projet'!$B$15,Paramètres!$A$1:$I$89,5,0)</f>
        <v>255.84000000000015</v>
      </c>
      <c r="EL80" s="13">
        <f t="shared" si="99"/>
        <v>61.834803371075886</v>
      </c>
      <c r="EM80" s="20">
        <f t="shared" si="73"/>
        <v>553.28361587129086</v>
      </c>
      <c r="EN80" s="59">
        <f t="shared" si="74"/>
        <v>846.61694920462423</v>
      </c>
      <c r="EO80" s="59">
        <f ca="1">AVERAGE(OFFSET($EN$3,0,0,'Données projet'!$E$15+1,1))-AVERAGE(OFFSET($H$3,0,0,'Données projet'!$E$15+1,1))</f>
        <v>288.80569134263209</v>
      </c>
      <c r="EP80" s="59">
        <f t="shared" si="100"/>
        <v>283.48738729114024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17.34832418765026</v>
      </c>
      <c r="EW80" s="21">
        <f>EXP(-LN(2)/25)*EW79+(1-EXP(-LN(2)/25))/(LN(2)/25)*Calculateur!ER80*Calculateur!ET80*VLOOKUP('Données projet'!$B$15,Paramètres!$A$1:$I$89,3,0)*0.475*44/12</f>
        <v>15.825478127927605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33.173802315577866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799.85237131896088</v>
      </c>
      <c r="S81" s="59">
        <f ca="1">AVERAGE(OFFSET($R$3,0,0,'Données projet'!$E$9+1,1))-AVERAGE(OFFSET($H$3,0,0,'Données projet'!$E$9+1,1))</f>
        <v>384.05928630855732</v>
      </c>
      <c r="T81" s="59">
        <f t="shared" si="88"/>
        <v>279.93992813630513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8.5947293447293376</v>
      </c>
      <c r="AI81" s="13">
        <f>IF('Données projet'!$A$62&gt;35,AI80+AH81-AQ80,IF(A81&lt;'Données projet'!$A$62,$AF$205^A81,IF(A81='Données projet'!$A$62,'Données projet'!$B$62,AI80+AH81-AQ80)))</f>
        <v>272.72222222222206</v>
      </c>
      <c r="AJ81" s="13">
        <f>AI81*VLOOKUP('Données projet'!$B$10,Paramètres!$A$1:$I$89,3,0)*VLOOKUP('Données projet'!$B$10,Paramètres!$A$1:$I$89,5,0)</f>
        <v>229.74119999999988</v>
      </c>
      <c r="AK81" s="13">
        <f t="shared" si="89"/>
        <v>56.226719254262477</v>
      </c>
      <c r="AL81" s="20">
        <f t="shared" si="58"/>
        <v>498.06079270117363</v>
      </c>
      <c r="AM81" s="59">
        <f t="shared" si="59"/>
        <v>791.39412603450694</v>
      </c>
      <c r="AN81" s="59">
        <f ca="1">AVERAGE(OFFSET($AM$3,0,0,'Données projet'!$E$10+1,1))-AVERAGE(OFFSET($H$3,0,0,'Données projet'!$E$10+1,1))</f>
        <v>312.48716825299158</v>
      </c>
      <c r="AO81" s="59">
        <f t="shared" si="90"/>
        <v>258.68277822755357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33.729375601471865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33.729375601471865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273.4835999999998</v>
      </c>
      <c r="BF81" s="13">
        <f t="shared" si="91"/>
        <v>65.588024622277445</v>
      </c>
      <c r="BG81" s="20">
        <f t="shared" si="61"/>
        <v>590.54974621713279</v>
      </c>
      <c r="BH81" s="59">
        <f t="shared" si="62"/>
        <v>883.88307955046616</v>
      </c>
      <c r="BI81" s="59">
        <f ca="1">AVERAGE(OFFSET($BH$3,0,0,'Données projet'!$E$11+1,1))-AVERAGE(OFFSET($H$3,0,0,'Données projet'!$E$11+1,1))</f>
        <v>376.58419691967526</v>
      </c>
      <c r="BJ81" s="59">
        <f t="shared" si="92"/>
        <v>365.76175372075869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42.312262248054118</v>
      </c>
      <c r="BQ81" s="21">
        <f>EXP(-LN(2)/25)*BQ80+(1-EXP(-LN(2)/25))/(LN(2)/25)*Calculateur!BL81*Calculateur!BN81*VLOOKUP('Données projet'!$B$11,Paramètres!$A$1:$I$89,3,0)*0.475*44/12</f>
        <v>5.6601980102883127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47.97246025834243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296.75879999999978</v>
      </c>
      <c r="CA81" s="13">
        <f t="shared" si="93"/>
        <v>70.496554480015604</v>
      </c>
      <c r="CB81" s="20">
        <f t="shared" si="64"/>
        <v>639.63640905269347</v>
      </c>
      <c r="CC81" s="59">
        <f t="shared" si="65"/>
        <v>932.96974238602684</v>
      </c>
      <c r="CD81" s="59">
        <f ca="1">AVERAGE(OFFSET($CC$3,0,0,'Données projet'!$E$12+1,1))-AVERAGE(OFFSET($H$3,0,0,'Données projet'!$E$12+1,1))</f>
        <v>405.40026823646758</v>
      </c>
      <c r="CE81" s="59">
        <f t="shared" si="94"/>
        <v>393.0787141050053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56.590818830524626</v>
      </c>
      <c r="CL81" s="21">
        <f>EXP(-LN(2)/25)*CL80+(1-EXP(-LN(2)/25))/(LN(2)/25)*Calculateur!CG81*Calculateur!CI81*VLOOKUP('Données projet'!$B$12,Paramètres!$A$1:$I$89,3,0)*0.475*44/12</f>
        <v>7.5702697782332073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64.161088608757836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4.4000000000000004</v>
      </c>
      <c r="CT81" s="12">
        <f>IF('Données projet'!$A$140&gt;35,CT80+CS81-DB80,IF(A81&lt;'Données projet'!$A$140,$CQ$205^A81,IF(A81='Données projet'!$A$140,'Données projet'!$B$140,CT80+CS81-DB80)))</f>
        <v>255.2000000000001</v>
      </c>
      <c r="CU81" s="17">
        <f>CT81*VLOOKUP('Données projet'!$B$13,Paramètres!$A$1:$I$89,3,0)*VLOOKUP('Données projet'!$B$13,Paramètres!$A$1:$I$89,5,0)</f>
        <v>222.94272000000009</v>
      </c>
      <c r="CV81" s="13">
        <f t="shared" si="95"/>
        <v>54.753975927514929</v>
      </c>
      <c r="CW81" s="20">
        <f t="shared" si="67"/>
        <v>483.65507874042197</v>
      </c>
      <c r="CX81" s="59">
        <f t="shared" si="68"/>
        <v>776.98841207375528</v>
      </c>
      <c r="CY81" s="59">
        <f ca="1">AVERAGE(OFFSET($CX$3,0,0,'Données projet'!$E$13+1,1))-AVERAGE(OFFSET($H$3,0,0,'Données projet'!$E$13+1,1))</f>
        <v>381.72225529388083</v>
      </c>
      <c r="CZ81" s="59">
        <f t="shared" si="96"/>
        <v>360.05900046417361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28.509539413349941</v>
      </c>
      <c r="DG81" s="21">
        <f>EXP(-LN(2)/25)*DG80+(1-EXP(-LN(2)/25))/(LN(2)/25)*Calculateur!DB81*Calculateur!DD81*VLOOKUP('Données projet'!$B$13,Paramètres!$A$1:$I$89,3,0)*0.475*44/12</f>
        <v>19.78767560419919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48.297215017549135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7.8425925925925934</v>
      </c>
      <c r="DO81" s="12">
        <f>IF('Données projet'!$A$166&gt;35,DO80+DN81-DW80,IF(A81&lt;'Données projet'!$A$166,$DL$205^A81,IF(A81='Données projet'!$A$166,'Données projet'!$B$166,DO80+DN81-DW80)))</f>
        <v>258.32763532763551</v>
      </c>
      <c r="DP81" s="17">
        <f>DO81*VLOOKUP('Données projet'!$B$14,Paramètres!$A$1:$I$89,3,0)*VLOOKUP('Données projet'!$B$14,Paramètres!$A$1:$I$89,5,0)</f>
        <v>249.85448888888908</v>
      </c>
      <c r="DQ81" s="13">
        <f t="shared" si="97"/>
        <v>60.554780782197525</v>
      </c>
      <c r="DR81" s="20">
        <f t="shared" si="70"/>
        <v>540.62947801047574</v>
      </c>
      <c r="DS81" s="59">
        <f t="shared" si="71"/>
        <v>833.96281134380911</v>
      </c>
      <c r="DT81" s="59">
        <f ca="1">AVERAGE(OFFSET($DS$3,0,0,'Données projet'!$E$14+1,1))-AVERAGE(OFFSET($H$3,0,0,'Données projet'!$E$14+1,1))</f>
        <v>407.73540492005355</v>
      </c>
      <c r="DU81" s="59">
        <f t="shared" si="98"/>
        <v>296.29416764204774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21.166053555277681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21.166053555277681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328.00000000000017</v>
      </c>
      <c r="EK81" s="17">
        <f>EJ81*VLOOKUP('Données projet'!$B$15,Paramètres!$A$1:$I$89,3,0)*VLOOKUP('Données projet'!$B$15,Paramètres!$A$1:$I$89,5,0)</f>
        <v>255.84000000000015</v>
      </c>
      <c r="EL81" s="13">
        <f t="shared" si="99"/>
        <v>61.834803371075886</v>
      </c>
      <c r="EM81" s="20">
        <f t="shared" si="73"/>
        <v>553.28361587129086</v>
      </c>
      <c r="EN81" s="59">
        <f t="shared" si="74"/>
        <v>846.61694920462423</v>
      </c>
      <c r="EO81" s="59">
        <f ca="1">AVERAGE(OFFSET($EN$3,0,0,'Données projet'!$E$15+1,1))-AVERAGE(OFFSET($H$3,0,0,'Données projet'!$E$15+1,1))</f>
        <v>288.80569134263209</v>
      </c>
      <c r="EP81" s="59">
        <f t="shared" si="100"/>
        <v>283.48738729114024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17.008134131763363</v>
      </c>
      <c r="EW81" s="21">
        <f>EXP(-LN(2)/25)*EW80+(1-EXP(-LN(2)/25))/(LN(2)/25)*Calculateur!ER81*Calculateur!ET81*VLOOKUP('Données projet'!$B$15,Paramètres!$A$1:$I$89,3,0)*0.475*44/12</f>
        <v>15.3927295962937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32.400863728057061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814.87380072129326</v>
      </c>
      <c r="S82" s="59">
        <f ca="1">AVERAGE(OFFSET($R$3,0,0,'Données projet'!$E$9+1,1))-AVERAGE(OFFSET($H$3,0,0,'Données projet'!$E$9+1,1))</f>
        <v>384.05928630855732</v>
      </c>
      <c r="T82" s="59">
        <f t="shared" si="88"/>
        <v>279.93992813630513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8.5947293447293376</v>
      </c>
      <c r="AI82" s="13">
        <f>IF('Données projet'!$A$62&gt;35,AI81+AH82-AQ81,IF(A82&lt;'Données projet'!$A$62,$AF$205^A82,IF(A82='Données projet'!$A$62,'Données projet'!$B$62,AI81+AH82-AQ81)))</f>
        <v>281.31695156695139</v>
      </c>
      <c r="AJ82" s="13">
        <f>AI82*VLOOKUP('Données projet'!$B$10,Paramètres!$A$1:$I$89,3,0)*VLOOKUP('Données projet'!$B$10,Paramètres!$A$1:$I$89,5,0)</f>
        <v>236.98139999999987</v>
      </c>
      <c r="AK82" s="13">
        <f t="shared" si="89"/>
        <v>57.789586331022484</v>
      </c>
      <c r="AL82" s="20">
        <f t="shared" si="58"/>
        <v>513.39280119319722</v>
      </c>
      <c r="AM82" s="59">
        <f t="shared" si="59"/>
        <v>806.72613452653059</v>
      </c>
      <c r="AN82" s="59">
        <f ca="1">AVERAGE(OFFSET($AM$3,0,0,'Données projet'!$E$10+1,1))-AVERAGE(OFFSET($H$3,0,0,'Données projet'!$E$10+1,1))</f>
        <v>312.48716825299158</v>
      </c>
      <c r="AO82" s="59">
        <f t="shared" si="90"/>
        <v>258.68277822755357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33.067963118814717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33.067963118814717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276.41639999999978</v>
      </c>
      <c r="BF82" s="13">
        <f t="shared" si="91"/>
        <v>66.209124371313351</v>
      </c>
      <c r="BG82" s="20">
        <f t="shared" si="61"/>
        <v>596.73945494670363</v>
      </c>
      <c r="BH82" s="59">
        <f t="shared" si="62"/>
        <v>890.072788280037</v>
      </c>
      <c r="BI82" s="59">
        <f ca="1">AVERAGE(OFFSET($BH$3,0,0,'Données projet'!$E$11+1,1))-AVERAGE(OFFSET($H$3,0,0,'Données projet'!$E$11+1,1))</f>
        <v>376.58419691967526</v>
      </c>
      <c r="BJ82" s="59">
        <f t="shared" si="92"/>
        <v>365.76175372075869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41.482544593301427</v>
      </c>
      <c r="BQ82" s="21">
        <f>EXP(-LN(2)/25)*BQ81+(1-EXP(-LN(2)/25))/(LN(2)/25)*Calculateur!BL82*Calculateur!BN82*VLOOKUP('Données projet'!$B$11,Paramètres!$A$1:$I$89,3,0)*0.475*44/12</f>
        <v>5.5054195980401017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46.987964191341526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299.94119999999981</v>
      </c>
      <c r="CA82" s="13">
        <f t="shared" si="93"/>
        <v>71.164136596531506</v>
      </c>
      <c r="CB82" s="20">
        <f t="shared" si="64"/>
        <v>646.34179457229197</v>
      </c>
      <c r="CC82" s="59">
        <f t="shared" si="65"/>
        <v>939.67512790562523</v>
      </c>
      <c r="CD82" s="59">
        <f ca="1">AVERAGE(OFFSET($CC$3,0,0,'Données projet'!$E$12+1,1))-AVERAGE(OFFSET($H$3,0,0,'Données projet'!$E$12+1,1))</f>
        <v>405.40026823646758</v>
      </c>
      <c r="CE82" s="59">
        <f t="shared" si="94"/>
        <v>393.0787141050053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55.481107390249257</v>
      </c>
      <c r="CL82" s="21">
        <f>EXP(-LN(2)/25)*CL81+(1-EXP(-LN(2)/25))/(LN(2)/25)*Calculateur!CG82*Calculateur!CI82*VLOOKUP('Données projet'!$B$12,Paramètres!$A$1:$I$89,3,0)*0.475*44/12</f>
        <v>7.3632603530442351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62.844367743293489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4.4000000000000004</v>
      </c>
      <c r="CT82" s="12">
        <f>IF('Données projet'!$A$140&gt;35,CT81+CS82-DB81,IF(A82&lt;'Données projet'!$A$140,$CQ$205^A82,IF(A82='Données projet'!$A$140,'Données projet'!$B$140,CT81+CS82-DB81)))</f>
        <v>259.60000000000008</v>
      </c>
      <c r="CU82" s="17">
        <f>CT82*VLOOKUP('Données projet'!$B$13,Paramètres!$A$1:$I$89,3,0)*VLOOKUP('Données projet'!$B$13,Paramètres!$A$1:$I$89,5,0)</f>
        <v>226.78656000000009</v>
      </c>
      <c r="CV82" s="13">
        <f t="shared" si="95"/>
        <v>55.587292726829872</v>
      </c>
      <c r="CW82" s="20">
        <f t="shared" si="67"/>
        <v>491.8011268325622</v>
      </c>
      <c r="CX82" s="59">
        <f t="shared" si="68"/>
        <v>785.13446016589546</v>
      </c>
      <c r="CY82" s="59">
        <f ca="1">AVERAGE(OFFSET($CX$3,0,0,'Données projet'!$E$13+1,1))-AVERAGE(OFFSET($H$3,0,0,'Données projet'!$E$13+1,1))</f>
        <v>381.72225529388083</v>
      </c>
      <c r="CZ82" s="59">
        <f t="shared" si="96"/>
        <v>360.05900046417361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27.950484734556159</v>
      </c>
      <c r="DG82" s="21">
        <f>EXP(-LN(2)/25)*DG81+(1-EXP(-LN(2)/25))/(LN(2)/25)*Calculateur!DB82*Calculateur!DD82*VLOOKUP('Données projet'!$B$13,Paramètres!$A$1:$I$89,3,0)*0.475*44/12</f>
        <v>19.246580574213731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47.197065308769893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7.8425925925925934</v>
      </c>
      <c r="DO82" s="12">
        <f>IF('Données projet'!$A$166&gt;35,DO81+DN82-DW81,IF(A82&lt;'Données projet'!$A$166,$DL$205^A82,IF(A82='Données projet'!$A$166,'Données projet'!$B$166,DO81+DN82-DW81)))</f>
        <v>266.17022792022811</v>
      </c>
      <c r="DP82" s="17">
        <f>DO82*VLOOKUP('Données projet'!$B$14,Paramètres!$A$1:$I$89,3,0)*VLOOKUP('Données projet'!$B$14,Paramètres!$A$1:$I$89,5,0)</f>
        <v>257.43984444444465</v>
      </c>
      <c r="DQ82" s="13">
        <f t="shared" si="97"/>
        <v>62.176342355228016</v>
      </c>
      <c r="DR82" s="20">
        <f t="shared" si="70"/>
        <v>556.66485867609651</v>
      </c>
      <c r="DS82" s="59">
        <f t="shared" si="71"/>
        <v>849.99819200942989</v>
      </c>
      <c r="DT82" s="59">
        <f ca="1">AVERAGE(OFFSET($DS$3,0,0,'Données projet'!$E$14+1,1))-AVERAGE(OFFSET($H$3,0,0,'Données projet'!$E$14+1,1))</f>
        <v>407.73540492005355</v>
      </c>
      <c r="DU82" s="59">
        <f t="shared" si="98"/>
        <v>296.29416764204774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20.751000155076596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20.751000155076596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328.00000000000017</v>
      </c>
      <c r="EK82" s="17">
        <f>EJ82*VLOOKUP('Données projet'!$B$15,Paramètres!$A$1:$I$89,3,0)*VLOOKUP('Données projet'!$B$15,Paramètres!$A$1:$I$89,5,0)</f>
        <v>255.84000000000015</v>
      </c>
      <c r="EL82" s="13">
        <f t="shared" si="99"/>
        <v>61.834803371075886</v>
      </c>
      <c r="EM82" s="20">
        <f t="shared" si="73"/>
        <v>553.28361587129086</v>
      </c>
      <c r="EN82" s="59">
        <f t="shared" si="74"/>
        <v>846.61694920462423</v>
      </c>
      <c r="EO82" s="59">
        <f ca="1">AVERAGE(OFFSET($EN$3,0,0,'Données projet'!$E$15+1,1))-AVERAGE(OFFSET($H$3,0,0,'Données projet'!$E$15+1,1))</f>
        <v>288.80569134263209</v>
      </c>
      <c r="EP82" s="59">
        <f t="shared" si="100"/>
        <v>283.48738729114024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16.674614995376963</v>
      </c>
      <c r="EW82" s="21">
        <f>EXP(-LN(2)/25)*EW81+(1-EXP(-LN(2)/25))/(LN(2)/25)*Calculateur!ER82*Calculateur!ET82*VLOOKUP('Données projet'!$B$15,Paramètres!$A$1:$I$89,3,0)*0.475*44/12</f>
        <v>14.97181459601458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31.646429591391545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829.8861125098565</v>
      </c>
      <c r="S83" s="59">
        <f ca="1">AVERAGE(OFFSET($R$3,0,0,'Données projet'!$E$9+1,1))-AVERAGE(OFFSET($H$3,0,0,'Données projet'!$E$9+1,1))</f>
        <v>384.05928630855732</v>
      </c>
      <c r="T83" s="59">
        <f t="shared" si="88"/>
        <v>279.93992813630513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8.5947293447293376</v>
      </c>
      <c r="AI83" s="13">
        <f>IF('Données projet'!$A$62&gt;35,AI82+AH83-AQ82,IF(A83&lt;'Données projet'!$A$62,$AF$205^A83,IF(A83='Données projet'!$A$62,'Données projet'!$B$62,AI82+AH83-AQ82)))</f>
        <v>289.91168091168072</v>
      </c>
      <c r="AJ83" s="13">
        <f>AI83*VLOOKUP('Données projet'!$B$10,Paramètres!$A$1:$I$89,3,0)*VLOOKUP('Données projet'!$B$10,Paramètres!$A$1:$I$89,5,0)</f>
        <v>244.22159999999988</v>
      </c>
      <c r="AK83" s="13">
        <f t="shared" si="89"/>
        <v>59.346904458964779</v>
      </c>
      <c r="AL83" s="20">
        <f t="shared" si="58"/>
        <v>528.71514526603005</v>
      </c>
      <c r="AM83" s="59">
        <f t="shared" si="59"/>
        <v>822.04847859936331</v>
      </c>
      <c r="AN83" s="59">
        <f ca="1">AVERAGE(OFFSET($AM$3,0,0,'Données projet'!$E$10+1,1))-AVERAGE(OFFSET($H$3,0,0,'Données projet'!$E$10+1,1))</f>
        <v>312.48716825299158</v>
      </c>
      <c r="AO83" s="59">
        <f t="shared" si="90"/>
        <v>258.68277822755357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32.419520531520696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32.419520531520696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279.34919999999977</v>
      </c>
      <c r="BF83" s="13">
        <f t="shared" si="91"/>
        <v>66.829457512184078</v>
      </c>
      <c r="BG83" s="20">
        <f t="shared" si="61"/>
        <v>602.92782850038679</v>
      </c>
      <c r="BH83" s="59">
        <f t="shared" si="62"/>
        <v>896.26116183372005</v>
      </c>
      <c r="BI83" s="59">
        <f ca="1">AVERAGE(OFFSET($BH$3,0,0,'Données projet'!$E$11+1,1))-AVERAGE(OFFSET($H$3,0,0,'Données projet'!$E$11+1,1))</f>
        <v>376.58419691967526</v>
      </c>
      <c r="BJ83" s="59">
        <f t="shared" si="92"/>
        <v>365.76175372075869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45.199964827589831</v>
      </c>
      <c r="BQ83" s="21">
        <f>EXP(-LN(2)/25)*BQ82+(1-EXP(-LN(2)/25))/(LN(2)/25)*Calculateur!BL83*Calculateur!BN83*VLOOKUP('Données projet'!$B$11,Paramètres!$A$1:$I$89,3,0)*0.475*44/12</f>
        <v>5.3548736096142617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50.55483843720409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303.12359999999978</v>
      </c>
      <c r="CA83" s="13">
        <f t="shared" si="93"/>
        <v>71.830894732837621</v>
      </c>
      <c r="CB83" s="20">
        <f t="shared" si="64"/>
        <v>653.0457449930251</v>
      </c>
      <c r="CC83" s="59">
        <f t="shared" si="65"/>
        <v>946.37907832635847</v>
      </c>
      <c r="CD83" s="59">
        <f ca="1">AVERAGE(OFFSET($CC$3,0,0,'Données projet'!$E$12+1,1))-AVERAGE(OFFSET($H$3,0,0,'Données projet'!$E$12+1,1))</f>
        <v>405.40026823646758</v>
      </c>
      <c r="CE83" s="59">
        <f t="shared" si="94"/>
        <v>393.0787141050053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60.452996006420236</v>
      </c>
      <c r="CL83" s="21">
        <f>EXP(-LN(2)/25)*CL82+(1-EXP(-LN(2)/25))/(LN(2)/25)*Calculateur!CG83*Calculateur!CI83*VLOOKUP('Données projet'!$B$12,Paramètres!$A$1:$I$89,3,0)*0.475*44/12</f>
        <v>7.1619116114732071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67.614907617893437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264</v>
      </c>
      <c r="CR83" s="12">
        <f>VLOOKUP(A83,'Données projet'!$A$139:$I$159,9,0)</f>
        <v>4.4000000000000004</v>
      </c>
      <c r="CS83" s="12">
        <f t="array" ref="CS83">INDEX(CR:CR,MIN(IF(ISNUMBER(CR83:CR279),ROW(CR83:CR279),"")))</f>
        <v>4.4000000000000004</v>
      </c>
      <c r="CT83" s="12">
        <f>IF('Données projet'!$A$140&gt;35,CT82+CS83-DB82,IF(A83&lt;'Données projet'!$A$140,$CQ$205^A83,IF(A83='Données projet'!$A$140,'Données projet'!$B$140,CT82+CS83-DB82)))</f>
        <v>264.00000000000006</v>
      </c>
      <c r="CU83" s="17">
        <f>CT83*VLOOKUP('Données projet'!$B$13,Paramètres!$A$1:$I$89,3,0)*VLOOKUP('Données projet'!$B$13,Paramètres!$A$1:$I$89,5,0)</f>
        <v>230.63040000000007</v>
      </c>
      <c r="CV83" s="13">
        <f t="shared" si="95"/>
        <v>56.418967028503253</v>
      </c>
      <c r="CW83" s="20">
        <f t="shared" si="67"/>
        <v>499.94431424130994</v>
      </c>
      <c r="CX83" s="59">
        <f t="shared" si="68"/>
        <v>793.2776475746432</v>
      </c>
      <c r="CY83" s="59">
        <f ca="1">AVERAGE(OFFSET($CX$3,0,0,'Données projet'!$E$13+1,1))-AVERAGE(OFFSET($H$3,0,0,'Données projet'!$E$13+1,1))</f>
        <v>381.72225529388083</v>
      </c>
      <c r="CZ83" s="59">
        <f t="shared" si="96"/>
        <v>360.05900046417361</v>
      </c>
      <c r="DA83" s="15">
        <f>IF(ISNA(VLOOKUP(A83,'Données projet'!$A$139:$I$159,3,0)),0,VLOOKUP(A83,'Données projet'!$A$139:$I$159,3,0))</f>
        <v>13</v>
      </c>
      <c r="DB83" s="15" t="str">
        <f>IF(ISNA(VLOOKUP(A83,'Données projet'!$A$139:$I$159,4,0)),0,VLOOKUP(A83,'Données projet'!$A$139:$I$159,4,0))</f>
        <v>17</v>
      </c>
      <c r="DC83" s="16">
        <f>IF(ISNA(VLOOKUP(A83,'Données projet'!$A$139:$I$159,5,0)),0%,VLOOKUP(A83,'Données projet'!$A$139:$I$159,5,0)*VLOOKUP('Données projet'!$B$13,Paramètres!$A$1:$I$89,7,0))</f>
        <v>0.30099999999999999</v>
      </c>
      <c r="DD83" s="16">
        <f>IF(ISNA(VLOOKUP(A83,'Données projet'!$A$139:$I$159,6,0)),0%,VLOOKUP(A83,'Données projet'!$A$139:$I$159,6,0)*VLOOKUP('Données projet'!$B$13,Paramètres!$A$1:$I$89,7,0))</f>
        <v>8.6000000000000007E-2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32.344078848880287</v>
      </c>
      <c r="DG83" s="21">
        <f>EXP(-LN(2)/25)*DG82+(1-EXP(-LN(2)/25))/(LN(2)/25)*Calculateur!DB83*Calculateur!DD83*VLOOKUP('Données projet'!$B$13,Paramètres!$A$1:$I$89,3,0)*0.475*44/12</f>
        <v>20.126632893667185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52.470711742547472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274.01282051282055</v>
      </c>
      <c r="DM83" s="12">
        <f>VLOOKUP(A83,'Données projet'!$A$165:$I$185,9,0)</f>
        <v>7.8425925925925934</v>
      </c>
      <c r="DN83" s="12">
        <f t="array" ref="DN83">INDEX(DM:DM,MIN(IF(ISNUMBER(DM83:DM279),ROW(DM83:DM279),"")))</f>
        <v>7.8425925925925934</v>
      </c>
      <c r="DO83" s="12">
        <f>IF('Données projet'!$A$166&gt;35,DO82+DN83-DW82,IF(A83&lt;'Données projet'!$A$166,$DL$205^A83,IF(A83='Données projet'!$A$166,'Données projet'!$B$166,DO82+DN83-DW82)))</f>
        <v>274.01282051282072</v>
      </c>
      <c r="DP83" s="17">
        <f>DO83*VLOOKUP('Données projet'!$B$14,Paramètres!$A$1:$I$89,3,0)*VLOOKUP('Données projet'!$B$14,Paramètres!$A$1:$I$89,5,0)</f>
        <v>265.02520000000021</v>
      </c>
      <c r="DQ83" s="13">
        <f t="shared" si="97"/>
        <v>63.792351173757886</v>
      </c>
      <c r="DR83" s="20">
        <f t="shared" si="70"/>
        <v>572.6905682942953</v>
      </c>
      <c r="DS83" s="59">
        <f t="shared" si="71"/>
        <v>866.02390162762867</v>
      </c>
      <c r="DT83" s="59">
        <f ca="1">AVERAGE(OFFSET($DS$3,0,0,'Données projet'!$E$14+1,1))-AVERAGE(OFFSET($H$3,0,0,'Données projet'!$E$14+1,1))</f>
        <v>407.73540492005355</v>
      </c>
      <c r="DU83" s="59">
        <f t="shared" si="98"/>
        <v>296.29416764204774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45.608974358974358</v>
      </c>
      <c r="DX83" s="16">
        <f>IF(ISNA(VLOOKUP(A83,'Données projet'!$A$165:$I$185,5,0)),0%,VLOOKUP(A83,'Données projet'!$A$165:$I$185,5,0)*VLOOKUP('Données projet'!$B$14,Paramètres!$A$1:$I$89,7,0))</f>
        <v>0.30099999999999999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35.02253576944932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35.02253576944932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328.00000000000017</v>
      </c>
      <c r="EK83" s="17">
        <f>EJ83*VLOOKUP('Données projet'!$B$15,Paramètres!$A$1:$I$89,3,0)*VLOOKUP('Données projet'!$B$15,Paramètres!$A$1:$I$89,5,0)</f>
        <v>255.84000000000015</v>
      </c>
      <c r="EL83" s="13">
        <f t="shared" si="99"/>
        <v>61.834803371075886</v>
      </c>
      <c r="EM83" s="20">
        <f t="shared" si="73"/>
        <v>553.28361587129086</v>
      </c>
      <c r="EN83" s="59">
        <f t="shared" si="74"/>
        <v>846.61694920462423</v>
      </c>
      <c r="EO83" s="59">
        <f ca="1">AVERAGE(OFFSET($EN$3,0,0,'Données projet'!$E$15+1,1))-AVERAGE(OFFSET($H$3,0,0,'Données projet'!$E$15+1,1))</f>
        <v>288.80569134263209</v>
      </c>
      <c r="EP83" s="59">
        <f t="shared" si="100"/>
        <v>283.48738729114024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16.347635965828513</v>
      </c>
      <c r="EW83" s="21">
        <f>EXP(-LN(2)/25)*EW82+(1-EXP(-LN(2)/25))/(LN(2)/25)*Calculateur!ER83*Calculateur!ET83*VLOOKUP('Données projet'!$B$15,Paramètres!$A$1:$I$89,3,0)*0.475*44/12</f>
        <v>14.56240953855305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30.910045504381564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756.83989593593788</v>
      </c>
      <c r="S84" s="59">
        <f ca="1">AVERAGE(OFFSET($R$3,0,0,'Données projet'!$E$9+1,1))-AVERAGE(OFFSET($H$3,0,0,'Données projet'!$E$9+1,1))</f>
        <v>384.05928630855732</v>
      </c>
      <c r="T84" s="59">
        <f t="shared" si="88"/>
        <v>279.93992813630513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298.50641025641022</v>
      </c>
      <c r="AG84" s="12">
        <f>VLOOKUP(A84,'Données projet'!$A$61:$I$81,9,0)</f>
        <v>8.5947293447293376</v>
      </c>
      <c r="AH84" s="12">
        <f t="array" ref="AH84">INDEX(AG:AG,MIN(IF(ISNUMBER(AG84:AG280),ROW(AG84:AG280),"")))</f>
        <v>8.5947293447293376</v>
      </c>
      <c r="AI84" s="13">
        <f>IF('Données projet'!$A$62&gt;35,AI83+AH84-AQ83,IF(A84&lt;'Données projet'!$A$62,$AF$205^A84,IF(A84='Données projet'!$A$62,'Données projet'!$B$62,AI83+AH84-AQ83)))</f>
        <v>298.50641025641005</v>
      </c>
      <c r="AJ84" s="13">
        <f>AI84*VLOOKUP('Données projet'!$B$10,Paramètres!$A$1:$I$89,3,0)*VLOOKUP('Données projet'!$B$10,Paramètres!$A$1:$I$89,5,0)</f>
        <v>251.46179999999984</v>
      </c>
      <c r="AK84" s="13">
        <f t="shared" si="89"/>
        <v>60.898857028627148</v>
      </c>
      <c r="AL84" s="20">
        <f t="shared" si="58"/>
        <v>544.02814432485866</v>
      </c>
      <c r="AM84" s="59">
        <f t="shared" si="59"/>
        <v>837.36147765819192</v>
      </c>
      <c r="AN84" s="59">
        <f ca="1">AVERAGE(OFFSET($AM$3,0,0,'Données projet'!$E$10+1,1))-AVERAGE(OFFSET($H$3,0,0,'Données projet'!$E$10+1,1))</f>
        <v>312.48716825299158</v>
      </c>
      <c r="AO84" s="59">
        <f t="shared" si="90"/>
        <v>258.68277822755357</v>
      </c>
      <c r="AP84" s="15">
        <f>IF(ISNA(VLOOKUP(A84,'Données projet'!$A$61:$I$81,3,0)),0,VLOOKUP(A84,'Données projet'!$A$61:$I$81,3,0))</f>
        <v>8</v>
      </c>
      <c r="AQ84" s="15">
        <f>IF(ISNA(VLOOKUP(A84,'Données projet'!$A$61:$I$81,4,0)),0,VLOOKUP(A84,'Données projet'!$A$61:$I$81,4,0))</f>
        <v>60.237179487179482</v>
      </c>
      <c r="AR84" s="16">
        <f>IF(ISNA(VLOOKUP(A84,'Données projet'!$A$61:$I$81,5,0)),0%,VLOOKUP(A84,'Données projet'!$A$61:$I$81,5,0)*VLOOKUP('Données projet'!$B$10,Paramètres!$A$1:$I$89,7,0))</f>
        <v>0.38700000000000001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53.492855663845958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53.492855663845958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367.99999999999972</v>
      </c>
      <c r="BE84" s="13">
        <f>BD84*VLOOKUP('Données projet'!$B$11,Paramètres!$A$1:$I$89,3,0)*VLOOKUP('Données projet'!$B$11,Paramètres!$A$1:$I$89,5,0)</f>
        <v>269.8175999999998</v>
      </c>
      <c r="BF84" s="13">
        <f t="shared" si="91"/>
        <v>64.810557882019467</v>
      </c>
      <c r="BG84" s="20">
        <f t="shared" si="61"/>
        <v>582.81070831118348</v>
      </c>
      <c r="BH84" s="59">
        <f t="shared" si="62"/>
        <v>876.14404164451685</v>
      </c>
      <c r="BI84" s="59">
        <f ca="1">AVERAGE(OFFSET($BH$3,0,0,'Données projet'!$E$11+1,1))-AVERAGE(OFFSET($H$3,0,0,'Données projet'!$E$11+1,1))</f>
        <v>376.58419691967526</v>
      </c>
      <c r="BJ84" s="59">
        <f t="shared" si="92"/>
        <v>365.76175372075869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44.313621086577101</v>
      </c>
      <c r="BQ84" s="21">
        <f>EXP(-LN(2)/25)*BQ83+(1-EXP(-LN(2)/25))/(LN(2)/25)*Calculateur!BL84*Calculateur!BN84*VLOOKUP('Données projet'!$B$11,Paramètres!$A$1:$I$89,3,0)*0.475*44/12</f>
        <v>5.2084443091587955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49.522065395735893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292.78079999999977</v>
      </c>
      <c r="CA84" s="13">
        <f t="shared" si="93"/>
        <v>69.660903052386217</v>
      </c>
      <c r="CB84" s="20">
        <f t="shared" si="64"/>
        <v>631.25263281623893</v>
      </c>
      <c r="CC84" s="59">
        <f t="shared" si="65"/>
        <v>924.58596614957219</v>
      </c>
      <c r="CD84" s="59">
        <f ca="1">AVERAGE(OFFSET($CC$3,0,0,'Données projet'!$E$12+1,1))-AVERAGE(OFFSET($H$3,0,0,'Données projet'!$E$12+1,1))</f>
        <v>405.40026823646758</v>
      </c>
      <c r="CE84" s="59">
        <f t="shared" si="94"/>
        <v>393.0787141050053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59.267549627421026</v>
      </c>
      <c r="CL84" s="21">
        <f>EXP(-LN(2)/25)*CL83+(1-EXP(-LN(2)/25))/(LN(2)/25)*Calculateur!CG84*Calculateur!CI84*VLOOKUP('Données projet'!$B$12,Paramètres!$A$1:$I$89,3,0)*0.475*44/12</f>
        <v>6.9660687618289092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66.233618389249941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</v>
      </c>
      <c r="CT84" s="12">
        <f>IF('Données projet'!$A$140&gt;35,CT83+CS84-DB83,IF(A84&lt;'Données projet'!$A$140,$CQ$205^A84,IF(A84='Données projet'!$A$140,'Données projet'!$B$140,CT83+CS84-DB83)))</f>
        <v>251.00000000000006</v>
      </c>
      <c r="CU84" s="17">
        <f>CT84*VLOOKUP('Données projet'!$B$13,Paramètres!$A$1:$I$89,3,0)*VLOOKUP('Données projet'!$B$13,Paramètres!$A$1:$I$89,5,0)</f>
        <v>219.2736000000001</v>
      </c>
      <c r="CV84" s="13">
        <f t="shared" si="95"/>
        <v>53.956975893220125</v>
      </c>
      <c r="CW84" s="20">
        <f t="shared" si="67"/>
        <v>475.87658634735857</v>
      </c>
      <c r="CX84" s="59">
        <f t="shared" si="68"/>
        <v>769.20991968069188</v>
      </c>
      <c r="CY84" s="59">
        <f ca="1">AVERAGE(OFFSET($CX$3,0,0,'Données projet'!$E$13+1,1))-AVERAGE(OFFSET($H$3,0,0,'Données projet'!$E$13+1,1))</f>
        <v>381.72225529388083</v>
      </c>
      <c r="CZ84" s="59">
        <f t="shared" si="96"/>
        <v>360.05900046417361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31.709831190593871</v>
      </c>
      <c r="DG84" s="21">
        <f>EXP(-LN(2)/25)*DG83+(1-EXP(-LN(2)/25))/(LN(2)/25)*Calculateur!DB84*Calculateur!DD84*VLOOKUP('Données projet'!$B$13,Paramètres!$A$1:$I$89,3,0)*0.475*44/12</f>
        <v>19.576269058776234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51.286100249370108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7.4950142450142421</v>
      </c>
      <c r="DO84" s="12">
        <f>IF('Données projet'!$A$166&gt;35,DO83+DN84-DW83,IF(A84&lt;'Données projet'!$A$166,$DL$205^A84,IF(A84='Données projet'!$A$166,'Données projet'!$B$166,DO83+DN84-DW83)))</f>
        <v>235.89886039886062</v>
      </c>
      <c r="DP84" s="17">
        <f>DO84*VLOOKUP('Données projet'!$B$14,Paramètres!$A$1:$I$89,3,0)*VLOOKUP('Données projet'!$B$14,Paramètres!$A$1:$I$89,5,0)</f>
        <v>228.161377777778</v>
      </c>
      <c r="DQ84" s="13">
        <f t="shared" si="97"/>
        <v>55.884942905003825</v>
      </c>
      <c r="DR84" s="20">
        <f t="shared" si="70"/>
        <v>494.71400852251162</v>
      </c>
      <c r="DS84" s="59">
        <f t="shared" si="71"/>
        <v>788.04734185584493</v>
      </c>
      <c r="DT84" s="59">
        <f ca="1">AVERAGE(OFFSET($DS$3,0,0,'Données projet'!$E$14+1,1))-AVERAGE(OFFSET($H$3,0,0,'Données projet'!$E$14+1,1))</f>
        <v>407.73540492005355</v>
      </c>
      <c r="DU84" s="59">
        <f t="shared" si="98"/>
        <v>296.29416764204774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34.335765204647949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34.335765204647949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328.00000000000017</v>
      </c>
      <c r="EK84" s="17">
        <f>EJ84*VLOOKUP('Données projet'!$B$15,Paramètres!$A$1:$I$89,3,0)*VLOOKUP('Données projet'!$B$15,Paramètres!$A$1:$I$89,5,0)</f>
        <v>255.84000000000015</v>
      </c>
      <c r="EL84" s="13">
        <f t="shared" si="99"/>
        <v>61.834803371075886</v>
      </c>
      <c r="EM84" s="20">
        <f t="shared" si="73"/>
        <v>553.28361587129086</v>
      </c>
      <c r="EN84" s="59">
        <f t="shared" si="74"/>
        <v>846.61694920462423</v>
      </c>
      <c r="EO84" s="59">
        <f ca="1">AVERAGE(OFFSET($EN$3,0,0,'Données projet'!$E$15+1,1))-AVERAGE(OFFSET($H$3,0,0,'Données projet'!$E$15+1,1))</f>
        <v>288.80569134263209</v>
      </c>
      <c r="EP84" s="59">
        <f t="shared" si="100"/>
        <v>283.48738729114024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16.027068795611992</v>
      </c>
      <c r="EW84" s="21">
        <f>EXP(-LN(2)/25)*EW83+(1-EXP(-LN(2)/25))/(LN(2)/25)*Calculateur!ER84*Calculateur!ET84*VLOOKUP('Données projet'!$B$15,Paramètres!$A$1:$I$89,3,0)*0.475*44/12</f>
        <v>14.164199683917483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30.191268479529477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771.22242318070607</v>
      </c>
      <c r="S85" s="59">
        <f ca="1">AVERAGE(OFFSET($R$3,0,0,'Données projet'!$E$9+1,1))-AVERAGE(OFFSET($H$3,0,0,'Données projet'!$E$9+1,1))</f>
        <v>384.05928630855732</v>
      </c>
      <c r="T85" s="59">
        <f t="shared" si="88"/>
        <v>279.93992813630513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8.0242165242165289</v>
      </c>
      <c r="AI85" s="13">
        <f>IF('Données projet'!$A$62&gt;35,AI84+AH85-AQ84,IF(A85&lt;'Données projet'!$A$62,$AF$205^A85,IF(A85='Données projet'!$A$62,'Données projet'!$B$62,AI84+AH85-AQ84)))</f>
        <v>246.29344729344709</v>
      </c>
      <c r="AJ85" s="13">
        <f>AI85*VLOOKUP('Données projet'!$B$10,Paramètres!$A$1:$I$89,3,0)*VLOOKUP('Données projet'!$B$10,Paramètres!$A$1:$I$89,5,0)</f>
        <v>207.47759999999985</v>
      </c>
      <c r="AK85" s="13">
        <f t="shared" si="89"/>
        <v>51.383990772040285</v>
      </c>
      <c r="AL85" s="20">
        <f t="shared" si="58"/>
        <v>450.85060392796987</v>
      </c>
      <c r="AM85" s="59">
        <f t="shared" si="59"/>
        <v>744.18393726130319</v>
      </c>
      <c r="AN85" s="59">
        <f ca="1">AVERAGE(OFFSET($AM$3,0,0,'Données projet'!$E$10+1,1))-AVERAGE(OFFSET($H$3,0,0,'Données projet'!$E$10+1,1))</f>
        <v>312.48716825299158</v>
      </c>
      <c r="AO85" s="59">
        <f t="shared" si="90"/>
        <v>258.68277822755357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52.443893391698204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52.443893391698204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367.99999999999972</v>
      </c>
      <c r="BE85" s="13">
        <f>BD85*VLOOKUP('Données projet'!$B$11,Paramètres!$A$1:$I$89,3,0)*VLOOKUP('Données projet'!$B$11,Paramètres!$A$1:$I$89,5,0)</f>
        <v>269.8175999999998</v>
      </c>
      <c r="BF85" s="13">
        <f t="shared" si="91"/>
        <v>64.810557882019467</v>
      </c>
      <c r="BG85" s="20">
        <f t="shared" si="61"/>
        <v>582.81070831118348</v>
      </c>
      <c r="BH85" s="59">
        <f t="shared" si="62"/>
        <v>876.14404164451685</v>
      </c>
      <c r="BI85" s="59">
        <f ca="1">AVERAGE(OFFSET($BH$3,0,0,'Données projet'!$E$11+1,1))-AVERAGE(OFFSET($H$3,0,0,'Données projet'!$E$11+1,1))</f>
        <v>376.58419691967526</v>
      </c>
      <c r="BJ85" s="59">
        <f t="shared" si="92"/>
        <v>365.76175372075869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43.444658005709329</v>
      </c>
      <c r="BQ85" s="21">
        <f>EXP(-LN(2)/25)*BQ84+(1-EXP(-LN(2)/25))/(LN(2)/25)*Calculateur!BL85*Calculateur!BN85*VLOOKUP('Données projet'!$B$11,Paramètres!$A$1:$I$89,3,0)*0.475*44/12</f>
        <v>5.0660191256246661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48.510677131333992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292.78079999999977</v>
      </c>
      <c r="CA85" s="13">
        <f t="shared" si="93"/>
        <v>69.660903052386217</v>
      </c>
      <c r="CB85" s="20">
        <f t="shared" si="64"/>
        <v>631.25263281623893</v>
      </c>
      <c r="CC85" s="59">
        <f t="shared" si="65"/>
        <v>924.58596614957219</v>
      </c>
      <c r="CD85" s="59">
        <f ca="1">AVERAGE(OFFSET($CC$3,0,0,'Données projet'!$E$12+1,1))-AVERAGE(OFFSET($H$3,0,0,'Données projet'!$E$12+1,1))</f>
        <v>405.40026823646758</v>
      </c>
      <c r="CE85" s="59">
        <f t="shared" si="94"/>
        <v>393.0787141050053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58.105349128863089</v>
      </c>
      <c r="CL85" s="21">
        <f>EXP(-LN(2)/25)*CL84+(1-EXP(-LN(2)/25))/(LN(2)/25)*Calculateur!CG85*Calculateur!CI85*VLOOKUP('Données projet'!$B$12,Paramètres!$A$1:$I$89,3,0)*0.475*44/12</f>
        <v>6.7755812452070625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64.880930374070147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</v>
      </c>
      <c r="CT85" s="12">
        <f>IF('Données projet'!$A$140&gt;35,CT84+CS85-DB84,IF(A85&lt;'Données projet'!$A$140,$CQ$205^A85,IF(A85='Données projet'!$A$140,'Données projet'!$B$140,CT84+CS85-DB84)))</f>
        <v>255.00000000000006</v>
      </c>
      <c r="CU85" s="17">
        <f>CT85*VLOOKUP('Données projet'!$B$13,Paramètres!$A$1:$I$89,3,0)*VLOOKUP('Données projet'!$B$13,Paramètres!$A$1:$I$89,5,0)</f>
        <v>222.76800000000006</v>
      </c>
      <c r="CV85" s="13">
        <f t="shared" si="95"/>
        <v>54.716058356609508</v>
      </c>
      <c r="CW85" s="20">
        <f t="shared" si="67"/>
        <v>483.28473497109502</v>
      </c>
      <c r="CX85" s="59">
        <f t="shared" si="68"/>
        <v>776.61806830442833</v>
      </c>
      <c r="CY85" s="59">
        <f ca="1">AVERAGE(OFFSET($CX$3,0,0,'Données projet'!$E$13+1,1))-AVERAGE(OFFSET($H$3,0,0,'Données projet'!$E$13+1,1))</f>
        <v>381.72225529388083</v>
      </c>
      <c r="CZ85" s="59">
        <f t="shared" si="96"/>
        <v>360.05900046417361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31.088020742033578</v>
      </c>
      <c r="DG85" s="21">
        <f>EXP(-LN(2)/25)*DG84+(1-EXP(-LN(2)/25))/(LN(2)/25)*Calculateur!DB85*Calculateur!DD85*VLOOKUP('Données projet'!$B$13,Paramètres!$A$1:$I$89,3,0)*0.475*44/12</f>
        <v>19.040954951892751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50.128975693926328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7.4950142450142421</v>
      </c>
      <c r="DO85" s="12">
        <f>IF('Données projet'!$A$166&gt;35,DO84+DN85-DW84,IF(A85&lt;'Données projet'!$A$166,$DL$205^A85,IF(A85='Données projet'!$A$166,'Données projet'!$B$166,DO84+DN85-DW84)))</f>
        <v>243.39387464387485</v>
      </c>
      <c r="DP85" s="17">
        <f>DO85*VLOOKUP('Données projet'!$B$14,Paramètres!$A$1:$I$89,3,0)*VLOOKUP('Données projet'!$B$14,Paramètres!$A$1:$I$89,5,0)</f>
        <v>235.41055555555573</v>
      </c>
      <c r="DQ85" s="13">
        <f t="shared" si="97"/>
        <v>57.450982289271202</v>
      </c>
      <c r="DR85" s="20">
        <f t="shared" si="70"/>
        <v>510.06717841307358</v>
      </c>
      <c r="DS85" s="59">
        <f t="shared" si="71"/>
        <v>803.40051174640689</v>
      </c>
      <c r="DT85" s="59">
        <f ca="1">AVERAGE(OFFSET($DS$3,0,0,'Données projet'!$E$14+1,1))-AVERAGE(OFFSET($H$3,0,0,'Données projet'!$E$14+1,1))</f>
        <v>407.73540492005355</v>
      </c>
      <c r="DU85" s="59">
        <f t="shared" si="98"/>
        <v>296.29416764204774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33.662461791733655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33.662461791733655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328.00000000000017</v>
      </c>
      <c r="EK85" s="17">
        <f>EJ85*VLOOKUP('Données projet'!$B$15,Paramètres!$A$1:$I$89,3,0)*VLOOKUP('Données projet'!$B$15,Paramètres!$A$1:$I$89,5,0)</f>
        <v>255.84000000000015</v>
      </c>
      <c r="EL85" s="13">
        <f t="shared" si="99"/>
        <v>61.834803371075886</v>
      </c>
      <c r="EM85" s="20">
        <f t="shared" si="73"/>
        <v>553.28361587129086</v>
      </c>
      <c r="EN85" s="59">
        <f t="shared" si="74"/>
        <v>846.61694920462423</v>
      </c>
      <c r="EO85" s="59">
        <f ca="1">AVERAGE(OFFSET($EN$3,0,0,'Données projet'!$E$15+1,1))-AVERAGE(OFFSET($H$3,0,0,'Données projet'!$E$15+1,1))</f>
        <v>288.80569134263209</v>
      </c>
      <c r="EP85" s="59">
        <f t="shared" si="100"/>
        <v>283.48738729114024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15.712787752076752</v>
      </c>
      <c r="EW85" s="21">
        <f>EXP(-LN(2)/25)*EW84+(1-EXP(-LN(2)/25))/(LN(2)/25)*Calculateur!ER85*Calculateur!ET85*VLOOKUP('Données projet'!$B$15,Paramètres!$A$1:$I$89,3,0)*0.475*44/12</f>
        <v>13.77687889869787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29.489666650774623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785.59574835378646</v>
      </c>
      <c r="S86" s="59">
        <f ca="1">AVERAGE(OFFSET($R$3,0,0,'Données projet'!$E$9+1,1))-AVERAGE(OFFSET($H$3,0,0,'Données projet'!$E$9+1,1))</f>
        <v>384.05928630855732</v>
      </c>
      <c r="T86" s="59">
        <f t="shared" si="88"/>
        <v>279.93992813630513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8.0242165242165289</v>
      </c>
      <c r="AI86" s="13">
        <f>IF('Données projet'!$A$62&gt;35,AI85+AH86-AQ85,IF(A86&lt;'Données projet'!$A$62,$AF$205^A86,IF(A86='Données projet'!$A$62,'Données projet'!$B$62,AI85+AH86-AQ85)))</f>
        <v>254.31766381766363</v>
      </c>
      <c r="AJ86" s="13">
        <f>AI86*VLOOKUP('Données projet'!$B$10,Paramètres!$A$1:$I$89,3,0)*VLOOKUP('Données projet'!$B$10,Paramètres!$A$1:$I$89,5,0)</f>
        <v>214.23719999999986</v>
      </c>
      <c r="AK86" s="13">
        <f t="shared" si="89"/>
        <v>52.860441248726737</v>
      </c>
      <c r="AL86" s="20">
        <f t="shared" si="58"/>
        <v>465.19505850819877</v>
      </c>
      <c r="AM86" s="59">
        <f t="shared" si="59"/>
        <v>758.52839184153208</v>
      </c>
      <c r="AN86" s="59">
        <f ca="1">AVERAGE(OFFSET($AM$3,0,0,'Données projet'!$E$10+1,1))-AVERAGE(OFFSET($H$3,0,0,'Données projet'!$E$10+1,1))</f>
        <v>312.48716825299158</v>
      </c>
      <c r="AO86" s="59">
        <f t="shared" si="90"/>
        <v>258.68277822755357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51.415500629903455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51.415500629903455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367.99999999999972</v>
      </c>
      <c r="BE86" s="13">
        <f>BD86*VLOOKUP('Données projet'!$B$11,Paramètres!$A$1:$I$89,3,0)*VLOOKUP('Données projet'!$B$11,Paramètres!$A$1:$I$89,5,0)</f>
        <v>269.8175999999998</v>
      </c>
      <c r="BF86" s="13">
        <f t="shared" si="91"/>
        <v>64.810557882019467</v>
      </c>
      <c r="BG86" s="20">
        <f t="shared" si="61"/>
        <v>582.81070831118348</v>
      </c>
      <c r="BH86" s="59">
        <f t="shared" si="62"/>
        <v>876.14404164451685</v>
      </c>
      <c r="BI86" s="59">
        <f ca="1">AVERAGE(OFFSET($BH$3,0,0,'Données projet'!$E$11+1,1))-AVERAGE(OFFSET($H$3,0,0,'Données projet'!$E$11+1,1))</f>
        <v>376.58419691967526</v>
      </c>
      <c r="BJ86" s="59">
        <f t="shared" si="92"/>
        <v>365.76175372075869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42.592734760842234</v>
      </c>
      <c r="BQ86" s="21">
        <f>EXP(-LN(2)/25)*BQ85+(1-EXP(-LN(2)/25))/(LN(2)/25)*Calculateur!BL86*Calculateur!BN86*VLOOKUP('Données projet'!$B$11,Paramètres!$A$1:$I$89,3,0)*0.475*44/12</f>
        <v>4.9274885662240919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47.520223327066326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292.78079999999977</v>
      </c>
      <c r="CA86" s="13">
        <f t="shared" si="93"/>
        <v>69.660903052386217</v>
      </c>
      <c r="CB86" s="20">
        <f t="shared" si="64"/>
        <v>631.25263281623893</v>
      </c>
      <c r="CC86" s="59">
        <f t="shared" si="65"/>
        <v>924.58596614957219</v>
      </c>
      <c r="CD86" s="59">
        <f ca="1">AVERAGE(OFFSET($CC$3,0,0,'Données projet'!$E$12+1,1))-AVERAGE(OFFSET($H$3,0,0,'Données projet'!$E$12+1,1))</f>
        <v>405.40026823646758</v>
      </c>
      <c r="CE86" s="59">
        <f t="shared" si="94"/>
        <v>393.0787141050053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56.965938673209571</v>
      </c>
      <c r="CL86" s="21">
        <f>EXP(-LN(2)/25)*CL85+(1-EXP(-LN(2)/25))/(LN(2)/25)*Calculateur!CG86*Calculateur!CI86*VLOOKUP('Données projet'!$B$12,Paramètres!$A$1:$I$89,3,0)*0.475*44/12</f>
        <v>6.5903026197445431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63.556241292954113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</v>
      </c>
      <c r="CT86" s="12">
        <f>IF('Données projet'!$A$140&gt;35,CT85+CS86-DB85,IF(A86&lt;'Données projet'!$A$140,$CQ$205^A86,IF(A86='Données projet'!$A$140,'Données projet'!$B$140,CT85+CS86-DB85)))</f>
        <v>259.00000000000006</v>
      </c>
      <c r="CU86" s="17">
        <f>CT86*VLOOKUP('Données projet'!$B$13,Paramètres!$A$1:$I$89,3,0)*VLOOKUP('Données projet'!$B$13,Paramètres!$A$1:$I$89,5,0)</f>
        <v>226.26240000000007</v>
      </c>
      <c r="CV86" s="13">
        <f t="shared" si="95"/>
        <v>55.473756029242935</v>
      </c>
      <c r="CW86" s="20">
        <f t="shared" si="67"/>
        <v>490.69047175093164</v>
      </c>
      <c r="CX86" s="59">
        <f t="shared" si="68"/>
        <v>784.02380508426495</v>
      </c>
      <c r="CY86" s="59">
        <f ca="1">AVERAGE(OFFSET($CX$3,0,0,'Données projet'!$E$13+1,1))-AVERAGE(OFFSET($H$3,0,0,'Données projet'!$E$13+1,1))</f>
        <v>381.72225529388083</v>
      </c>
      <c r="CZ86" s="59">
        <f t="shared" si="96"/>
        <v>360.05900046417361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30.478403617102629</v>
      </c>
      <c r="DG86" s="21">
        <f>EXP(-LN(2)/25)*DG85+(1-EXP(-LN(2)/25))/(LN(2)/25)*Calculateur!DB86*Calculateur!DD86*VLOOKUP('Données projet'!$B$13,Paramètres!$A$1:$I$89,3,0)*0.475*44/12</f>
        <v>18.520279037412941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48.998682654515569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7.4950142450142421</v>
      </c>
      <c r="DO86" s="12">
        <f>IF('Données projet'!$A$166&gt;35,DO85+DN86-DW85,IF(A86&lt;'Données projet'!$A$166,$DL$205^A86,IF(A86='Données projet'!$A$166,'Données projet'!$B$166,DO85+DN86-DW85)))</f>
        <v>250.88888888888908</v>
      </c>
      <c r="DP86" s="17">
        <f>DO86*VLOOKUP('Données projet'!$B$14,Paramètres!$A$1:$I$89,3,0)*VLOOKUP('Données projet'!$B$14,Paramètres!$A$1:$I$89,5,0)</f>
        <v>242.65973333333352</v>
      </c>
      <c r="DQ86" s="13">
        <f t="shared" si="97"/>
        <v>59.011417482982459</v>
      </c>
      <c r="DR86" s="20">
        <f t="shared" si="70"/>
        <v>525.41058767175025</v>
      </c>
      <c r="DS86" s="59">
        <f t="shared" si="71"/>
        <v>818.74392100508362</v>
      </c>
      <c r="DT86" s="59">
        <f ca="1">AVERAGE(OFFSET($DS$3,0,0,'Données projet'!$E$14+1,1))-AVERAGE(OFFSET($H$3,0,0,'Données projet'!$E$14+1,1))</f>
        <v>407.73540492005355</v>
      </c>
      <c r="DU86" s="59">
        <f t="shared" si="98"/>
        <v>296.29416764204774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33.002361448072079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33.002361448072079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328.00000000000017</v>
      </c>
      <c r="EK86" s="17">
        <f>EJ86*VLOOKUP('Données projet'!$B$15,Paramètres!$A$1:$I$89,3,0)*VLOOKUP('Données projet'!$B$15,Paramètres!$A$1:$I$89,5,0)</f>
        <v>255.84000000000015</v>
      </c>
      <c r="EL86" s="13">
        <f t="shared" si="99"/>
        <v>61.834803371075886</v>
      </c>
      <c r="EM86" s="20">
        <f t="shared" si="73"/>
        <v>553.28361587129086</v>
      </c>
      <c r="EN86" s="59">
        <f t="shared" si="74"/>
        <v>846.61694920462423</v>
      </c>
      <c r="EO86" s="59">
        <f ca="1">AVERAGE(OFFSET($EN$3,0,0,'Données projet'!$E$15+1,1))-AVERAGE(OFFSET($H$3,0,0,'Données projet'!$E$15+1,1))</f>
        <v>288.80569134263209</v>
      </c>
      <c r="EP86" s="59">
        <f t="shared" si="100"/>
        <v>283.48738729114024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15.404669568112729</v>
      </c>
      <c r="EW86" s="21">
        <f>EXP(-LN(2)/25)*EW85+(1-EXP(-LN(2)/25))/(LN(2)/25)*Calculateur!ER86*Calculateur!ET86*VLOOKUP('Données projet'!$B$15,Paramètres!$A$1:$I$89,3,0)*0.475*44/12</f>
        <v>13.400149420718403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28.80481898883113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799.9601779143419</v>
      </c>
      <c r="S87" s="59">
        <f ca="1">AVERAGE(OFFSET($R$3,0,0,'Données projet'!$E$9+1,1))-AVERAGE(OFFSET($H$3,0,0,'Données projet'!$E$9+1,1))</f>
        <v>384.05928630855732</v>
      </c>
      <c r="T87" s="59">
        <f t="shared" si="88"/>
        <v>279.93992813630513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8.0242165242165289</v>
      </c>
      <c r="AI87" s="13">
        <f>IF('Données projet'!$A$62&gt;35,AI86+AH87-AQ86,IF(A87&lt;'Données projet'!$A$62,$AF$205^A87,IF(A87='Données projet'!$A$62,'Données projet'!$B$62,AI86+AH87-AQ86)))</f>
        <v>262.34188034188014</v>
      </c>
      <c r="AJ87" s="13">
        <f>AI87*VLOOKUP('Données projet'!$B$10,Paramètres!$A$1:$I$89,3,0)*VLOOKUP('Données projet'!$B$10,Paramètres!$A$1:$I$89,5,0)</f>
        <v>220.99679999999984</v>
      </c>
      <c r="AK87" s="13">
        <f t="shared" si="89"/>
        <v>54.33147824144659</v>
      </c>
      <c r="AL87" s="20">
        <f t="shared" si="58"/>
        <v>479.53008460385246</v>
      </c>
      <c r="AM87" s="59">
        <f t="shared" si="59"/>
        <v>772.86341793718577</v>
      </c>
      <c r="AN87" s="59">
        <f ca="1">AVERAGE(OFFSET($AM$3,0,0,'Données projet'!$E$10+1,1))-AVERAGE(OFFSET($H$3,0,0,'Données projet'!$E$10+1,1))</f>
        <v>312.48716825299158</v>
      </c>
      <c r="AO87" s="59">
        <f t="shared" si="90"/>
        <v>258.68277822755357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50.407274022909853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50.407274022909853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367.99999999999972</v>
      </c>
      <c r="BE87" s="13">
        <f>BD87*VLOOKUP('Données projet'!$B$11,Paramètres!$A$1:$I$89,3,0)*VLOOKUP('Données projet'!$B$11,Paramètres!$A$1:$I$89,5,0)</f>
        <v>269.8175999999998</v>
      </c>
      <c r="BF87" s="13">
        <f t="shared" si="91"/>
        <v>64.810557882019467</v>
      </c>
      <c r="BG87" s="20">
        <f t="shared" si="61"/>
        <v>582.81070831118348</v>
      </c>
      <c r="BH87" s="59">
        <f t="shared" si="62"/>
        <v>876.14404164451685</v>
      </c>
      <c r="BI87" s="59">
        <f ca="1">AVERAGE(OFFSET($BH$3,0,0,'Données projet'!$E$11+1,1))-AVERAGE(OFFSET($H$3,0,0,'Données projet'!$E$11+1,1))</f>
        <v>376.58419691967526</v>
      </c>
      <c r="BJ87" s="59">
        <f t="shared" si="92"/>
        <v>365.76175372075869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41.75751721118511</v>
      </c>
      <c r="BQ87" s="21">
        <f>EXP(-LN(2)/25)*BQ86+(1-EXP(-LN(2)/25))/(LN(2)/25)*Calculateur!BL87*Calculateur!BN87*VLOOKUP('Données projet'!$B$11,Paramètres!$A$1:$I$89,3,0)*0.475*44/12</f>
        <v>4.7927461322553322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46.550263343440442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292.78079999999977</v>
      </c>
      <c r="CA87" s="13">
        <f t="shared" si="93"/>
        <v>69.660903052386217</v>
      </c>
      <c r="CB87" s="20">
        <f t="shared" si="64"/>
        <v>631.25263281623893</v>
      </c>
      <c r="CC87" s="59">
        <f t="shared" si="65"/>
        <v>924.58596614957219</v>
      </c>
      <c r="CD87" s="59">
        <f ca="1">AVERAGE(OFFSET($CC$3,0,0,'Données projet'!$E$12+1,1))-AVERAGE(OFFSET($H$3,0,0,'Données projet'!$E$12+1,1))</f>
        <v>405.40026823646758</v>
      </c>
      <c r="CE87" s="59">
        <f t="shared" si="94"/>
        <v>393.0787141050053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55.848871361619658</v>
      </c>
      <c r="CL87" s="21">
        <f>EXP(-LN(2)/25)*CL86+(1-EXP(-LN(2)/25))/(LN(2)/25)*Calculateur!CG87*Calculateur!CI87*VLOOKUP('Données projet'!$B$12,Paramètres!$A$1:$I$89,3,0)*0.475*44/12</f>
        <v>6.4100904480386758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62.258961809658331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</v>
      </c>
      <c r="CT87" s="12">
        <f>IF('Données projet'!$A$140&gt;35,CT86+CS87-DB86,IF(A87&lt;'Données projet'!$A$140,$CQ$205^A87,IF(A87='Données projet'!$A$140,'Données projet'!$B$140,CT86+CS87-DB86)))</f>
        <v>263.00000000000006</v>
      </c>
      <c r="CU87" s="17">
        <f>CT87*VLOOKUP('Données projet'!$B$13,Paramètres!$A$1:$I$89,3,0)*VLOOKUP('Données projet'!$B$13,Paramètres!$A$1:$I$89,5,0)</f>
        <v>229.75680000000011</v>
      </c>
      <c r="CV87" s="13">
        <f t="shared" si="95"/>
        <v>56.230092767727569</v>
      </c>
      <c r="CW87" s="20">
        <f t="shared" si="67"/>
        <v>498.09383823712568</v>
      </c>
      <c r="CX87" s="59">
        <f t="shared" si="68"/>
        <v>791.427171570459</v>
      </c>
      <c r="CY87" s="59">
        <f ca="1">AVERAGE(OFFSET($CX$3,0,0,'Données projet'!$E$13+1,1))-AVERAGE(OFFSET($H$3,0,0,'Données projet'!$E$13+1,1))</f>
        <v>381.72225529388083</v>
      </c>
      <c r="CZ87" s="59">
        <f t="shared" si="96"/>
        <v>360.05900046417361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29.880740712161842</v>
      </c>
      <c r="DG87" s="21">
        <f>EXP(-LN(2)/25)*DG86+(1-EXP(-LN(2)/25))/(LN(2)/25)*Calculateur!DB87*Calculateur!DD87*VLOOKUP('Données projet'!$B$13,Paramètres!$A$1:$I$89,3,0)*0.475*44/12</f>
        <v>18.013841033195739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47.894581745357584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7.4950142450142421</v>
      </c>
      <c r="DO87" s="12">
        <f>IF('Données projet'!$A$166&gt;35,DO86+DN87-DW86,IF(A87&lt;'Données projet'!$A$166,$DL$205^A87,IF(A87='Données projet'!$A$166,'Données projet'!$B$166,DO86+DN87-DW86)))</f>
        <v>258.38390313390335</v>
      </c>
      <c r="DP87" s="17">
        <f>DO87*VLOOKUP('Données projet'!$B$14,Paramètres!$A$1:$I$89,3,0)*VLOOKUP('Données projet'!$B$14,Paramètres!$A$1:$I$89,5,0)</f>
        <v>249.90891111111134</v>
      </c>
      <c r="DQ87" s="13">
        <f t="shared" si="97"/>
        <v>60.566435124060455</v>
      </c>
      <c r="DR87" s="20">
        <f t="shared" si="70"/>
        <v>540.74456135959088</v>
      </c>
      <c r="DS87" s="59">
        <f t="shared" si="71"/>
        <v>834.07789469292425</v>
      </c>
      <c r="DT87" s="59">
        <f ca="1">AVERAGE(OFFSET($DS$3,0,0,'Données projet'!$E$14+1,1))-AVERAGE(OFFSET($H$3,0,0,'Données projet'!$E$14+1,1))</f>
        <v>407.73540492005355</v>
      </c>
      <c r="DU87" s="59">
        <f t="shared" si="98"/>
        <v>296.29416764204774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32.355205269528248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32.355205269528248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328.00000000000017</v>
      </c>
      <c r="EK87" s="17">
        <f>EJ87*VLOOKUP('Données projet'!$B$15,Paramètres!$A$1:$I$89,3,0)*VLOOKUP('Données projet'!$B$15,Paramètres!$A$1:$I$89,5,0)</f>
        <v>255.84000000000015</v>
      </c>
      <c r="EL87" s="13">
        <f t="shared" si="99"/>
        <v>61.834803371075886</v>
      </c>
      <c r="EM87" s="20">
        <f t="shared" si="73"/>
        <v>553.28361587129086</v>
      </c>
      <c r="EN87" s="59">
        <f t="shared" si="74"/>
        <v>846.61694920462423</v>
      </c>
      <c r="EO87" s="59">
        <f ca="1">AVERAGE(OFFSET($EN$3,0,0,'Données projet'!$E$15+1,1))-AVERAGE(OFFSET($H$3,0,0,'Données projet'!$E$15+1,1))</f>
        <v>288.80569134263209</v>
      </c>
      <c r="EP87" s="59">
        <f t="shared" si="100"/>
        <v>283.48738729114024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15.102593393802705</v>
      </c>
      <c r="EW87" s="21">
        <f>EXP(-LN(2)/25)*EW86+(1-EXP(-LN(2)/25))/(LN(2)/25)*Calculateur!ER87*Calculateur!ET87*VLOOKUP('Données projet'!$B$15,Paramètres!$A$1:$I$89,3,0)*0.475*44/12</f>
        <v>13.033721630125626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28.136315023928333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814.31599953144814</v>
      </c>
      <c r="S88" s="59">
        <f ca="1">AVERAGE(OFFSET($R$3,0,0,'Données projet'!$E$9+1,1))-AVERAGE(OFFSET($H$3,0,0,'Données projet'!$E$9+1,1))</f>
        <v>384.05928630855732</v>
      </c>
      <c r="T88" s="59">
        <f t="shared" si="88"/>
        <v>279.93992813630513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8.0242165242165289</v>
      </c>
      <c r="AI88" s="13">
        <f>IF('Données projet'!$A$62&gt;35,AI87+AH88-AQ87,IF(A88&lt;'Données projet'!$A$62,$AF$205^A88,IF(A88='Données projet'!$A$62,'Données projet'!$B$62,AI87+AH88-AQ87)))</f>
        <v>270.36609686609665</v>
      </c>
      <c r="AJ88" s="13">
        <f>AI88*VLOOKUP('Données projet'!$B$10,Paramètres!$A$1:$I$89,3,0)*VLOOKUP('Données projet'!$B$10,Paramètres!$A$1:$I$89,5,0)</f>
        <v>227.75639999999984</v>
      </c>
      <c r="AK88" s="13">
        <f t="shared" si="89"/>
        <v>55.79728633511057</v>
      </c>
      <c r="AL88" s="20">
        <f t="shared" si="58"/>
        <v>493.85600370031733</v>
      </c>
      <c r="AM88" s="59">
        <f t="shared" si="59"/>
        <v>787.18933703365065</v>
      </c>
      <c r="AN88" s="59">
        <f ca="1">AVERAGE(OFFSET($AM$3,0,0,'Données projet'!$E$10+1,1))-AVERAGE(OFFSET($H$3,0,0,'Données projet'!$E$10+1,1))</f>
        <v>312.48716825299158</v>
      </c>
      <c r="AO88" s="59">
        <f t="shared" si="90"/>
        <v>258.68277822755357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49.418818124721888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49.418818124721888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367.99999999999972</v>
      </c>
      <c r="BE88" s="13">
        <f>BD88*VLOOKUP('Données projet'!$B$11,Paramètres!$A$1:$I$89,3,0)*VLOOKUP('Données projet'!$B$11,Paramètres!$A$1:$I$89,5,0)</f>
        <v>269.8175999999998</v>
      </c>
      <c r="BF88" s="13">
        <f t="shared" si="91"/>
        <v>64.810557882019467</v>
      </c>
      <c r="BG88" s="20">
        <f t="shared" si="61"/>
        <v>582.81070831118348</v>
      </c>
      <c r="BH88" s="59">
        <f t="shared" si="62"/>
        <v>876.14404164451685</v>
      </c>
      <c r="BI88" s="59">
        <f ca="1">AVERAGE(OFFSET($BH$3,0,0,'Données projet'!$E$11+1,1))-AVERAGE(OFFSET($H$3,0,0,'Données projet'!$E$11+1,1))</f>
        <v>376.58419691967526</v>
      </c>
      <c r="BJ88" s="59">
        <f t="shared" si="92"/>
        <v>365.76175372075869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40.938677768244361</v>
      </c>
      <c r="BQ88" s="21">
        <f>EXP(-LN(2)/25)*BQ87+(1-EXP(-LN(2)/25))/(LN(2)/25)*Calculateur!BL88*Calculateur!BN88*VLOOKUP('Données projet'!$B$11,Paramètres!$A$1:$I$89,3,0)*0.475*44/12</f>
        <v>4.661688237229245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45.600366005473603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292.78079999999977</v>
      </c>
      <c r="CA88" s="13">
        <f t="shared" si="93"/>
        <v>69.660903052386217</v>
      </c>
      <c r="CB88" s="20">
        <f t="shared" si="64"/>
        <v>631.25263281623893</v>
      </c>
      <c r="CC88" s="59">
        <f t="shared" si="65"/>
        <v>924.58596614957219</v>
      </c>
      <c r="CD88" s="59">
        <f ca="1">AVERAGE(OFFSET($CC$3,0,0,'Données projet'!$E$12+1,1))-AVERAGE(OFFSET($H$3,0,0,'Données projet'!$E$12+1,1))</f>
        <v>405.40026823646758</v>
      </c>
      <c r="CE88" s="59">
        <f t="shared" si="94"/>
        <v>393.0787141050053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54.753709058666239</v>
      </c>
      <c r="CL88" s="21">
        <f>EXP(-LN(2)/25)*CL87+(1-EXP(-LN(2)/25))/(LN(2)/25)*Calculateur!CG88*Calculateur!CI88*VLOOKUP('Données projet'!$B$12,Paramètres!$A$1:$I$89,3,0)*0.475*44/12</f>
        <v>6.2348061876450522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60.988515246311295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267</v>
      </c>
      <c r="CR88" s="12">
        <f>VLOOKUP(A88,'Données projet'!$A$139:$I$159,9,0)</f>
        <v>4</v>
      </c>
      <c r="CS88" s="12">
        <f t="array" ref="CS88">INDEX(CR:CR,MIN(IF(ISNUMBER(CR88:CR284),ROW(CR88:CR284),"")))</f>
        <v>4</v>
      </c>
      <c r="CT88" s="12">
        <f>IF('Données projet'!$A$140&gt;35,CT87+CS88-DB87,IF(A88&lt;'Données projet'!$A$140,$CQ$205^A88,IF(A88='Données projet'!$A$140,'Données projet'!$B$140,CT87+CS88-DB87)))</f>
        <v>267.00000000000006</v>
      </c>
      <c r="CU88" s="17">
        <f>CT88*VLOOKUP('Données projet'!$B$13,Paramètres!$A$1:$I$89,3,0)*VLOOKUP('Données projet'!$B$13,Paramètres!$A$1:$I$89,5,0)</f>
        <v>233.25120000000007</v>
      </c>
      <c r="CV88" s="13">
        <f t="shared" si="95"/>
        <v>56.985091661350914</v>
      </c>
      <c r="CW88" s="20">
        <f t="shared" si="67"/>
        <v>505.49487464351961</v>
      </c>
      <c r="CX88" s="59">
        <f t="shared" si="68"/>
        <v>798.82820797685292</v>
      </c>
      <c r="CY88" s="59">
        <f ca="1">AVERAGE(OFFSET($CX$3,0,0,'Données projet'!$E$13+1,1))-AVERAGE(OFFSET($H$3,0,0,'Données projet'!$E$13+1,1))</f>
        <v>381.72225529388083</v>
      </c>
      <c r="CZ88" s="59">
        <f t="shared" si="96"/>
        <v>360.05900046417361</v>
      </c>
      <c r="DA88" s="15">
        <f>IF(ISNA(VLOOKUP(A88,'Données projet'!$A$139:$I$159,3,0)),0,VLOOKUP(A88,'Données projet'!$A$139:$I$159,3,0))</f>
        <v>14</v>
      </c>
      <c r="DB88" s="15" t="str">
        <f>IF(ISNA(VLOOKUP(A88,'Données projet'!$A$139:$I$159,4,0)),0,VLOOKUP(A88,'Données projet'!$A$139:$I$159,4,0))</f>
        <v>16</v>
      </c>
      <c r="DC88" s="16">
        <f>IF(ISNA(VLOOKUP(A88,'Données projet'!$A$139:$I$159,5,0)),0%,VLOOKUP(A88,'Données projet'!$A$139:$I$159,5,0)*VLOOKUP('Données projet'!$B$13,Paramètres!$A$1:$I$89,7,0))</f>
        <v>0.34400000000000003</v>
      </c>
      <c r="DD88" s="16">
        <f>IF(ISNA(VLOOKUP(A88,'Données projet'!$A$139:$I$159,6,0)),0%,VLOOKUP(A88,'Données projet'!$A$139:$I$159,6,0)*VLOOKUP('Données projet'!$B$13,Paramètres!$A$1:$I$89,7,0))</f>
        <v>4.3000000000000003E-2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34.610224647522728</v>
      </c>
      <c r="DG88" s="21">
        <f>EXP(-LN(2)/25)*DG87+(1-EXP(-LN(2)/25))/(LN(2)/25)*Calculateur!DB88*Calculateur!DD88*VLOOKUP('Données projet'!$B$13,Paramètres!$A$1:$I$89,3,0)*0.475*44/12</f>
        <v>18.183063874548747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52.793288522071478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7.4950142450142421</v>
      </c>
      <c r="DO88" s="12">
        <f>IF('Données projet'!$A$166&gt;35,DO87+DN88-DW87,IF(A88&lt;'Données projet'!$A$166,$DL$205^A88,IF(A88='Données projet'!$A$166,'Données projet'!$B$166,DO87+DN88-DW87)))</f>
        <v>265.87891737891761</v>
      </c>
      <c r="DP88" s="17">
        <f>DO88*VLOOKUP('Données projet'!$B$14,Paramètres!$A$1:$I$89,3,0)*VLOOKUP('Données projet'!$B$14,Paramètres!$A$1:$I$89,5,0)</f>
        <v>257.1580888888891</v>
      </c>
      <c r="DQ88" s="13">
        <f t="shared" si="97"/>
        <v>62.116210407002008</v>
      </c>
      <c r="DR88" s="20">
        <f t="shared" si="70"/>
        <v>556.06940460701037</v>
      </c>
      <c r="DS88" s="59">
        <f t="shared" si="71"/>
        <v>849.40273794034374</v>
      </c>
      <c r="DT88" s="59">
        <f ca="1">AVERAGE(OFFSET($DS$3,0,0,'Données projet'!$E$14+1,1))-AVERAGE(OFFSET($H$3,0,0,'Données projet'!$E$14+1,1))</f>
        <v>407.73540492005355</v>
      </c>
      <c r="DU88" s="59">
        <f t="shared" si="98"/>
        <v>296.29416764204774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31.720739428919373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31.720739428919373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328.00000000000017</v>
      </c>
      <c r="EK88" s="17">
        <f>EJ88*VLOOKUP('Données projet'!$B$15,Paramètres!$A$1:$I$89,3,0)*VLOOKUP('Données projet'!$B$15,Paramètres!$A$1:$I$89,5,0)</f>
        <v>255.84000000000015</v>
      </c>
      <c r="EL88" s="13">
        <f t="shared" si="99"/>
        <v>61.834803371075886</v>
      </c>
      <c r="EM88" s="20">
        <f t="shared" si="73"/>
        <v>553.28361587129086</v>
      </c>
      <c r="EN88" s="59">
        <f t="shared" si="74"/>
        <v>846.61694920462423</v>
      </c>
      <c r="EO88" s="59">
        <f ca="1">AVERAGE(OFFSET($EN$3,0,0,'Données projet'!$E$15+1,1))-AVERAGE(OFFSET($H$3,0,0,'Données projet'!$E$15+1,1))</f>
        <v>288.80569134263209</v>
      </c>
      <c r="EP88" s="59">
        <f t="shared" si="100"/>
        <v>283.48738729114024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14.806440749022627</v>
      </c>
      <c r="EW88" s="21">
        <f>EXP(-LN(2)/25)*EW87+(1-EXP(-LN(2)/25))/(LN(2)/25)*Calculateur!ER88*Calculateur!ET88*VLOOKUP('Données projet'!$B$15,Paramètres!$A$1:$I$89,3,0)*0.475*44/12</f>
        <v>12.67731382673621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27.483754575758837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828.66348373298297</v>
      </c>
      <c r="S89" s="59">
        <f ca="1">AVERAGE(OFFSET($R$3,0,0,'Données projet'!$E$9+1,1))-AVERAGE(OFFSET($H$3,0,0,'Données projet'!$E$9+1,1))</f>
        <v>384.05928630855732</v>
      </c>
      <c r="T89" s="59">
        <f t="shared" si="88"/>
        <v>279.93992813630513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8.0242165242165289</v>
      </c>
      <c r="AI89" s="13">
        <f>IF('Données projet'!$A$62&gt;35,AI88+AH89-AQ88,IF(A89&lt;'Données projet'!$A$62,$AF$205^A89,IF(A89='Données projet'!$A$62,'Données projet'!$B$62,AI88+AH89-AQ88)))</f>
        <v>278.39031339031317</v>
      </c>
      <c r="AJ89" s="13">
        <f>AI89*VLOOKUP('Données projet'!$B$10,Paramètres!$A$1:$I$89,3,0)*VLOOKUP('Données projet'!$B$10,Paramètres!$A$1:$I$89,5,0)</f>
        <v>234.51599999999982</v>
      </c>
      <c r="AK89" s="13">
        <f t="shared" si="89"/>
        <v>57.258038535188888</v>
      </c>
      <c r="AL89" s="20">
        <f t="shared" si="58"/>
        <v>508.17311711545364</v>
      </c>
      <c r="AM89" s="59">
        <f t="shared" si="59"/>
        <v>801.50645044878695</v>
      </c>
      <c r="AN89" s="59">
        <f ca="1">AVERAGE(OFFSET($AM$3,0,0,'Données projet'!$E$10+1,1))-AVERAGE(OFFSET($H$3,0,0,'Données projet'!$E$10+1,1))</f>
        <v>312.48716825299158</v>
      </c>
      <c r="AO89" s="59">
        <f t="shared" si="90"/>
        <v>258.68277822755357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48.449745243798823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48.449745243798823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367.99999999999972</v>
      </c>
      <c r="BE89" s="13">
        <f>BD89*VLOOKUP('Données projet'!$B$11,Paramètres!$A$1:$I$89,3,0)*VLOOKUP('Données projet'!$B$11,Paramètres!$A$1:$I$89,5,0)</f>
        <v>269.8175999999998</v>
      </c>
      <c r="BF89" s="13">
        <f t="shared" si="91"/>
        <v>64.810557882019467</v>
      </c>
      <c r="BG89" s="20">
        <f t="shared" si="61"/>
        <v>582.81070831118348</v>
      </c>
      <c r="BH89" s="59">
        <f t="shared" si="62"/>
        <v>876.14404164451685</v>
      </c>
      <c r="BI89" s="59">
        <f ca="1">AVERAGE(OFFSET($BH$3,0,0,'Données projet'!$E$11+1,1))-AVERAGE(OFFSET($H$3,0,0,'Données projet'!$E$11+1,1))</f>
        <v>376.58419691967526</v>
      </c>
      <c r="BJ89" s="59">
        <f t="shared" si="92"/>
        <v>365.76175372075869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40.135895267336934</v>
      </c>
      <c r="BQ89" s="21">
        <f>EXP(-LN(2)/25)*BQ88+(1-EXP(-LN(2)/25))/(LN(2)/25)*Calculateur!BL89*Calculateur!BN89*VLOOKUP('Données projet'!$B$11,Paramètres!$A$1:$I$89,3,0)*0.475*44/12</f>
        <v>4.534214127234681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44.670109394571618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292.78079999999977</v>
      </c>
      <c r="CA89" s="13">
        <f t="shared" si="93"/>
        <v>69.660903052386217</v>
      </c>
      <c r="CB89" s="20">
        <f t="shared" si="64"/>
        <v>631.25263281623893</v>
      </c>
      <c r="CC89" s="59">
        <f t="shared" si="65"/>
        <v>924.58596614957219</v>
      </c>
      <c r="CD89" s="59">
        <f ca="1">AVERAGE(OFFSET($CC$3,0,0,'Données projet'!$E$12+1,1))-AVERAGE(OFFSET($H$3,0,0,'Données projet'!$E$12+1,1))</f>
        <v>405.40026823646758</v>
      </c>
      <c r="CE89" s="59">
        <f t="shared" si="94"/>
        <v>393.0787141050053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53.680022220490692</v>
      </c>
      <c r="CL89" s="21">
        <f>EXP(-LN(2)/25)*CL88+(1-EXP(-LN(2)/25))/(LN(2)/25)*Calculateur!CG89*Calculateur!CI89*VLOOKUP('Données projet'!$B$12,Paramètres!$A$1:$I$89,3,0)*0.475*44/12</f>
        <v>6.0643150845696905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59.744337305060384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3.4</v>
      </c>
      <c r="CT89" s="12">
        <f>IF('Données projet'!$A$140&gt;35,CT88+CS89-DB88,IF(A89&lt;'Données projet'!$A$140,$CQ$205^A89,IF(A89='Données projet'!$A$140,'Données projet'!$B$140,CT88+CS89-DB88)))</f>
        <v>254.40000000000003</v>
      </c>
      <c r="CU89" s="17">
        <f>CT89*VLOOKUP('Données projet'!$B$13,Paramètres!$A$1:$I$89,3,0)*VLOOKUP('Données projet'!$B$13,Paramètres!$A$1:$I$89,5,0)</f>
        <v>222.24384000000006</v>
      </c>
      <c r="CV89" s="13">
        <f t="shared" si="95"/>
        <v>54.602284860895942</v>
      </c>
      <c r="CW89" s="20">
        <f t="shared" si="67"/>
        <v>482.17366746606058</v>
      </c>
      <c r="CX89" s="59">
        <f t="shared" si="68"/>
        <v>775.50700079939384</v>
      </c>
      <c r="CY89" s="59">
        <f ca="1">AVERAGE(OFFSET($CX$3,0,0,'Données projet'!$E$13+1,1))-AVERAGE(OFFSET($H$3,0,0,'Données projet'!$E$13+1,1))</f>
        <v>381.72225529388083</v>
      </c>
      <c r="CZ89" s="59">
        <f t="shared" si="96"/>
        <v>360.05900046417361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33.931539252337387</v>
      </c>
      <c r="DG89" s="21">
        <f>EXP(-LN(2)/25)*DG88+(1-EXP(-LN(2)/25))/(LN(2)/25)*Calculateur!DB89*Calculateur!DD89*VLOOKUP('Données projet'!$B$13,Paramètres!$A$1:$I$89,3,0)*0.475*44/12</f>
        <v>17.685847036693442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51.617386289030833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7.4950142450142421</v>
      </c>
      <c r="DO89" s="12">
        <f>IF('Données projet'!$A$166&gt;35,DO88+DN89-DW88,IF(A89&lt;'Données projet'!$A$166,$DL$205^A89,IF(A89='Données projet'!$A$166,'Données projet'!$B$166,DO88+DN89-DW88)))</f>
        <v>273.37393162393187</v>
      </c>
      <c r="DP89" s="17">
        <f>DO89*VLOOKUP('Données projet'!$B$14,Paramètres!$A$1:$I$89,3,0)*VLOOKUP('Données projet'!$B$14,Paramètres!$A$1:$I$89,5,0)</f>
        <v>264.40726666666689</v>
      </c>
      <c r="DQ89" s="13">
        <f t="shared" si="97"/>
        <v>63.660908087074027</v>
      </c>
      <c r="DR89" s="20">
        <f t="shared" si="70"/>
        <v>571.38540436276537</v>
      </c>
      <c r="DS89" s="59">
        <f t="shared" si="71"/>
        <v>864.71873769609874</v>
      </c>
      <c r="DT89" s="59">
        <f ca="1">AVERAGE(OFFSET($DS$3,0,0,'Données projet'!$E$14+1,1))-AVERAGE(OFFSET($H$3,0,0,'Données projet'!$E$14+1,1))</f>
        <v>407.73540492005355</v>
      </c>
      <c r="DU89" s="59">
        <f t="shared" si="98"/>
        <v>296.29416764204774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31.098715076458884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31.098715076458884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328.00000000000017</v>
      </c>
      <c r="EK89" s="17">
        <f>EJ89*VLOOKUP('Données projet'!$B$15,Paramètres!$A$1:$I$89,3,0)*VLOOKUP('Données projet'!$B$15,Paramètres!$A$1:$I$89,5,0)</f>
        <v>255.84000000000015</v>
      </c>
      <c r="EL89" s="13">
        <f t="shared" si="99"/>
        <v>61.834803371075886</v>
      </c>
      <c r="EM89" s="20">
        <f t="shared" si="73"/>
        <v>553.28361587129086</v>
      </c>
      <c r="EN89" s="59">
        <f t="shared" si="74"/>
        <v>846.61694920462423</v>
      </c>
      <c r="EO89" s="59">
        <f ca="1">AVERAGE(OFFSET($EN$3,0,0,'Données projet'!$E$15+1,1))-AVERAGE(OFFSET($H$3,0,0,'Données projet'!$E$15+1,1))</f>
        <v>288.80569134263209</v>
      </c>
      <c r="EP89" s="59">
        <f t="shared" si="100"/>
        <v>283.48738729114024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14.51609547697141</v>
      </c>
      <c r="EW89" s="21">
        <f>EXP(-LN(2)/25)*EW88+(1-EXP(-LN(2)/25))/(LN(2)/25)*Calculateur!ER89*Calculateur!ET89*VLOOKUP('Données projet'!$B$15,Paramètres!$A$1:$I$89,3,0)*0.475*44/12</f>
        <v>12.330652013473149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26.846747490444557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843.00288536860285</v>
      </c>
      <c r="S90" s="59">
        <f ca="1">AVERAGE(OFFSET($R$3,0,0,'Données projet'!$E$9+1,1))-AVERAGE(OFFSET($H$3,0,0,'Données projet'!$E$9+1,1))</f>
        <v>384.05928630855732</v>
      </c>
      <c r="T90" s="59">
        <f t="shared" si="88"/>
        <v>279.93992813630513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8.0242165242165289</v>
      </c>
      <c r="AI90" s="13">
        <f>IF('Données projet'!$A$62&gt;35,AI89+AH90-AQ89,IF(A90&lt;'Données projet'!$A$62,$AF$205^A90,IF(A90='Données projet'!$A$62,'Données projet'!$B$62,AI89+AH90-AQ89)))</f>
        <v>286.41452991452968</v>
      </c>
      <c r="AJ90" s="13">
        <f>AI90*VLOOKUP('Données projet'!$B$10,Paramètres!$A$1:$I$89,3,0)*VLOOKUP('Données projet'!$B$10,Paramètres!$A$1:$I$89,5,0)</f>
        <v>241.27559999999983</v>
      </c>
      <c r="AK90" s="13">
        <f t="shared" si="89"/>
        <v>58.71389730668561</v>
      </c>
      <c r="AL90" s="20">
        <f t="shared" si="58"/>
        <v>522.48170780914381</v>
      </c>
      <c r="AM90" s="59">
        <f t="shared" si="59"/>
        <v>815.81504114247718</v>
      </c>
      <c r="AN90" s="59">
        <f ca="1">AVERAGE(OFFSET($AM$3,0,0,'Données projet'!$E$10+1,1))-AVERAGE(OFFSET($H$3,0,0,'Données projet'!$E$10+1,1))</f>
        <v>312.48716825299158</v>
      </c>
      <c r="AO90" s="59">
        <f t="shared" si="90"/>
        <v>258.68277822755357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47.499675290994567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47.499675290994567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367.99999999999972</v>
      </c>
      <c r="BE90" s="13">
        <f>BD90*VLOOKUP('Données projet'!$B$11,Paramètres!$A$1:$I$89,3,0)*VLOOKUP('Données projet'!$B$11,Paramètres!$A$1:$I$89,5,0)</f>
        <v>269.8175999999998</v>
      </c>
      <c r="BF90" s="13">
        <f t="shared" si="91"/>
        <v>64.810557882019467</v>
      </c>
      <c r="BG90" s="20">
        <f t="shared" si="61"/>
        <v>582.81070831118348</v>
      </c>
      <c r="BH90" s="59">
        <f t="shared" si="62"/>
        <v>876.14404164451685</v>
      </c>
      <c r="BI90" s="59">
        <f ca="1">AVERAGE(OFFSET($BH$3,0,0,'Données projet'!$E$11+1,1))-AVERAGE(OFFSET($H$3,0,0,'Données projet'!$E$11+1,1))</f>
        <v>376.58419691967526</v>
      </c>
      <c r="BJ90" s="59">
        <f t="shared" si="92"/>
        <v>365.76175372075869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39.348854841623321</v>
      </c>
      <c r="BQ90" s="21">
        <f>EXP(-LN(2)/25)*BQ89+(1-EXP(-LN(2)/25))/(LN(2)/25)*Calculateur!BL90*Calculateur!BN90*VLOOKUP('Données projet'!$B$11,Paramètres!$A$1:$I$89,3,0)*0.475*44/12</f>
        <v>4.4102258034814907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43.75908064510481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292.78079999999977</v>
      </c>
      <c r="CA90" s="13">
        <f t="shared" si="93"/>
        <v>69.660903052386217</v>
      </c>
      <c r="CB90" s="20">
        <f t="shared" si="64"/>
        <v>631.25263281623893</v>
      </c>
      <c r="CC90" s="59">
        <f t="shared" si="65"/>
        <v>924.58596614957219</v>
      </c>
      <c r="CD90" s="59">
        <f ca="1">AVERAGE(OFFSET($CC$3,0,0,'Données projet'!$E$12+1,1))-AVERAGE(OFFSET($H$3,0,0,'Données projet'!$E$12+1,1))</f>
        <v>405.40026823646758</v>
      </c>
      <c r="CE90" s="59">
        <f t="shared" si="94"/>
        <v>393.0787141050053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52.627389726327458</v>
      </c>
      <c r="CL90" s="21">
        <f>EXP(-LN(2)/25)*CL89+(1-EXP(-LN(2)/25))/(LN(2)/25)*Calculateur!CG90*Calculateur!CI90*VLOOKUP('Données projet'!$B$12,Paramètres!$A$1:$I$89,3,0)*0.475*44/12</f>
        <v>5.8984860696736625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58.525875796001117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3.4</v>
      </c>
      <c r="CT90" s="12">
        <f>IF('Données projet'!$A$140&gt;35,CT89+CS90-DB89,IF(A90&lt;'Données projet'!$A$140,$CQ$205^A90,IF(A90='Données projet'!$A$140,'Données projet'!$B$140,CT89+CS90-DB89)))</f>
        <v>257.8</v>
      </c>
      <c r="CU90" s="17">
        <f>CT90*VLOOKUP('Données projet'!$B$13,Paramètres!$A$1:$I$89,3,0)*VLOOKUP('Données projet'!$B$13,Paramètres!$A$1:$I$89,5,0)</f>
        <v>225.21408000000005</v>
      </c>
      <c r="CV90" s="13">
        <f t="shared" si="95"/>
        <v>55.246590695846493</v>
      </c>
      <c r="CW90" s="20">
        <f t="shared" si="67"/>
        <v>488.46900146193275</v>
      </c>
      <c r="CX90" s="59">
        <f t="shared" si="68"/>
        <v>781.80233479526601</v>
      </c>
      <c r="CY90" s="59">
        <f ca="1">AVERAGE(OFFSET($CX$3,0,0,'Données projet'!$E$13+1,1))-AVERAGE(OFFSET($H$3,0,0,'Données projet'!$E$13+1,1))</f>
        <v>381.72225529388083</v>
      </c>
      <c r="CZ90" s="59">
        <f t="shared" si="96"/>
        <v>360.05900046417361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33.266162463794416</v>
      </c>
      <c r="DG90" s="21">
        <f>EXP(-LN(2)/25)*DG89+(1-EXP(-LN(2)/25))/(LN(2)/25)*Calculateur!DB90*Calculateur!DD90*VLOOKUP('Données projet'!$B$13,Paramètres!$A$1:$I$89,3,0)*0.475*44/12</f>
        <v>17.202226619416784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50.4683890832112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7.4950142450142421</v>
      </c>
      <c r="DO90" s="12">
        <f>IF('Données projet'!$A$166&gt;35,DO89+DN90-DW89,IF(A90&lt;'Données projet'!$A$166,$DL$205^A90,IF(A90='Données projet'!$A$166,'Données projet'!$B$166,DO89+DN90-DW89)))</f>
        <v>280.86894586894613</v>
      </c>
      <c r="DP90" s="17">
        <f>DO90*VLOOKUP('Données projet'!$B$14,Paramètres!$A$1:$I$89,3,0)*VLOOKUP('Données projet'!$B$14,Paramètres!$A$1:$I$89,5,0)</f>
        <v>271.65644444444473</v>
      </c>
      <c r="DQ90" s="13">
        <f t="shared" si="97"/>
        <v>65.200683371286829</v>
      </c>
      <c r="DR90" s="20">
        <f t="shared" si="70"/>
        <v>586.69283094573245</v>
      </c>
      <c r="DS90" s="59">
        <f t="shared" si="71"/>
        <v>880.02616427906582</v>
      </c>
      <c r="DT90" s="59">
        <f ca="1">AVERAGE(OFFSET($DS$3,0,0,'Données projet'!$E$14+1,1))-AVERAGE(OFFSET($H$3,0,0,'Données projet'!$E$14+1,1))</f>
        <v>407.73540492005355</v>
      </c>
      <c r="DU90" s="59">
        <f t="shared" si="98"/>
        <v>296.29416764204774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30.488888242152754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30.488888242152754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328.00000000000017</v>
      </c>
      <c r="EK90" s="17">
        <f>EJ90*VLOOKUP('Données projet'!$B$15,Paramètres!$A$1:$I$89,3,0)*VLOOKUP('Données projet'!$B$15,Paramètres!$A$1:$I$89,5,0)</f>
        <v>255.84000000000015</v>
      </c>
      <c r="EL90" s="13">
        <f t="shared" si="99"/>
        <v>61.834803371075886</v>
      </c>
      <c r="EM90" s="20">
        <f t="shared" si="73"/>
        <v>553.28361587129086</v>
      </c>
      <c r="EN90" s="59">
        <f t="shared" si="74"/>
        <v>846.61694920462423</v>
      </c>
      <c r="EO90" s="59">
        <f ca="1">AVERAGE(OFFSET($EN$3,0,0,'Données projet'!$E$15+1,1))-AVERAGE(OFFSET($H$3,0,0,'Données projet'!$E$15+1,1))</f>
        <v>288.80569134263209</v>
      </c>
      <c r="EP90" s="59">
        <f t="shared" si="100"/>
        <v>283.48738729114024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14.231443698611987</v>
      </c>
      <c r="EW90" s="21">
        <f>EXP(-LN(2)/25)*EW89+(1-EXP(-LN(2)/25))/(LN(2)/25)*Calculateur!ER90*Calculateur!ET90*VLOOKUP('Données projet'!$B$15,Paramètres!$A$1:$I$89,3,0)*0.475*44/12</f>
        <v>11.993469685723918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26.224913384335906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857.33444491216642</v>
      </c>
      <c r="S91" s="59">
        <f ca="1">AVERAGE(OFFSET($R$3,0,0,'Données projet'!$E$9+1,1))-AVERAGE(OFFSET($H$3,0,0,'Données projet'!$E$9+1,1))</f>
        <v>384.05928630855732</v>
      </c>
      <c r="T91" s="59">
        <f t="shared" si="88"/>
        <v>279.93992813630513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8.0242165242165289</v>
      </c>
      <c r="AI91" s="13">
        <f>IF('Données projet'!$A$62&gt;35,AI90+AH91-AQ90,IF(A91&lt;'Données projet'!$A$62,$AF$205^A91,IF(A91='Données projet'!$A$62,'Données projet'!$B$62,AI90+AH91-AQ90)))</f>
        <v>294.43874643874619</v>
      </c>
      <c r="AJ91" s="13">
        <f>AI91*VLOOKUP('Données projet'!$B$10,Paramètres!$A$1:$I$89,3,0)*VLOOKUP('Données projet'!$B$10,Paramètres!$A$1:$I$89,5,0)</f>
        <v>248.03519999999983</v>
      </c>
      <c r="AK91" s="13">
        <f t="shared" si="89"/>
        <v>60.165015493408788</v>
      </c>
      <c r="AL91" s="20">
        <f t="shared" si="58"/>
        <v>536.78204198435321</v>
      </c>
      <c r="AM91" s="59">
        <f t="shared" si="59"/>
        <v>830.11537531768658</v>
      </c>
      <c r="AN91" s="59">
        <f ca="1">AVERAGE(OFFSET($AM$3,0,0,'Données projet'!$E$10+1,1))-AVERAGE(OFFSET($H$3,0,0,'Données projet'!$E$10+1,1))</f>
        <v>312.48716825299158</v>
      </c>
      <c r="AO91" s="59">
        <f t="shared" si="90"/>
        <v>258.68277822755357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46.56823563047935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46.56823563047935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367.99999999999972</v>
      </c>
      <c r="BE91" s="13">
        <f>BD91*VLOOKUP('Données projet'!$B$11,Paramètres!$A$1:$I$89,3,0)*VLOOKUP('Données projet'!$B$11,Paramètres!$A$1:$I$89,5,0)</f>
        <v>269.8175999999998</v>
      </c>
      <c r="BF91" s="13">
        <f t="shared" si="91"/>
        <v>64.810557882019467</v>
      </c>
      <c r="BG91" s="20">
        <f t="shared" si="61"/>
        <v>582.81070831118348</v>
      </c>
      <c r="BH91" s="59">
        <f t="shared" si="62"/>
        <v>876.14404164451685</v>
      </c>
      <c r="BI91" s="59">
        <f ca="1">AVERAGE(OFFSET($BH$3,0,0,'Données projet'!$E$11+1,1))-AVERAGE(OFFSET($H$3,0,0,'Données projet'!$E$11+1,1))</f>
        <v>376.58419691967526</v>
      </c>
      <c r="BJ91" s="59">
        <f t="shared" si="92"/>
        <v>365.76175372075869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38.577247798610699</v>
      </c>
      <c r="BQ91" s="21">
        <f>EXP(-LN(2)/25)*BQ90+(1-EXP(-LN(2)/25))/(LN(2)/25)*Calculateur!BL91*Calculateur!BN91*VLOOKUP('Données projet'!$B$11,Paramètres!$A$1:$I$89,3,0)*0.475*44/12</f>
        <v>4.2896279469615939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42.866875745572294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292.78079999999977</v>
      </c>
      <c r="CA91" s="13">
        <f t="shared" si="93"/>
        <v>69.660903052386217</v>
      </c>
      <c r="CB91" s="20">
        <f t="shared" si="64"/>
        <v>631.25263281623893</v>
      </c>
      <c r="CC91" s="59">
        <f t="shared" si="65"/>
        <v>924.58596614957219</v>
      </c>
      <c r="CD91" s="59">
        <f ca="1">AVERAGE(OFFSET($CC$3,0,0,'Données projet'!$E$12+1,1))-AVERAGE(OFFSET($H$3,0,0,'Données projet'!$E$12+1,1))</f>
        <v>405.40026823646758</v>
      </c>
      <c r="CE91" s="59">
        <f t="shared" si="94"/>
        <v>393.0787141050053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51.595398713332344</v>
      </c>
      <c r="CL91" s="21">
        <f>EXP(-LN(2)/25)*CL90+(1-EXP(-LN(2)/25))/(LN(2)/25)*Calculateur!CG91*Calculateur!CI91*VLOOKUP('Données projet'!$B$12,Paramètres!$A$1:$I$89,3,0)*0.475*44/12</f>
        <v>5.7371916579105351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57.33259037124288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3.4</v>
      </c>
      <c r="CT91" s="12">
        <f>IF('Données projet'!$A$140&gt;35,CT90+CS91-DB90,IF(A91&lt;'Données projet'!$A$140,$CQ$205^A91,IF(A91='Données projet'!$A$140,'Données projet'!$B$140,CT90+CS91-DB90)))</f>
        <v>261.2</v>
      </c>
      <c r="CU91" s="17">
        <f>CT91*VLOOKUP('Données projet'!$B$13,Paramètres!$A$1:$I$89,3,0)*VLOOKUP('Données projet'!$B$13,Paramètres!$A$1:$I$89,5,0)</f>
        <v>228.18432000000004</v>
      </c>
      <c r="CV91" s="13">
        <f t="shared" si="95"/>
        <v>55.889908157388689</v>
      </c>
      <c r="CW91" s="20">
        <f t="shared" si="67"/>
        <v>494.76261404078542</v>
      </c>
      <c r="CX91" s="59">
        <f t="shared" si="68"/>
        <v>788.09594737411874</v>
      </c>
      <c r="CY91" s="59">
        <f ca="1">AVERAGE(OFFSET($CX$3,0,0,'Données projet'!$E$13+1,1))-AVERAGE(OFFSET($H$3,0,0,'Données projet'!$E$13+1,1))</f>
        <v>381.72225529388083</v>
      </c>
      <c r="CZ91" s="59">
        <f t="shared" si="96"/>
        <v>360.05900046417361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32.613833308235002</v>
      </c>
      <c r="DG91" s="21">
        <f>EXP(-LN(2)/25)*DG90+(1-EXP(-LN(2)/25))/(LN(2)/25)*Calculateur!DB91*Calculateur!DD91*VLOOKUP('Données projet'!$B$13,Paramètres!$A$1:$I$89,3,0)*0.475*44/12</f>
        <v>16.731830827883051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49.345664136118053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7.4950142450142421</v>
      </c>
      <c r="DO91" s="12">
        <f>IF('Données projet'!$A$166&gt;35,DO90+DN91-DW90,IF(A91&lt;'Données projet'!$A$166,$DL$205^A91,IF(A91='Données projet'!$A$166,'Données projet'!$B$166,DO90+DN91-DW90)))</f>
        <v>288.36396011396039</v>
      </c>
      <c r="DP91" s="17">
        <f>DO91*VLOOKUP('Données projet'!$B$14,Paramètres!$A$1:$I$89,3,0)*VLOOKUP('Données projet'!$B$14,Paramètres!$A$1:$I$89,5,0)</f>
        <v>278.90562222222252</v>
      </c>
      <c r="DQ91" s="13">
        <f t="shared" si="97"/>
        <v>66.735682711589348</v>
      </c>
      <c r="DR91" s="20">
        <f t="shared" si="70"/>
        <v>601.99193942638897</v>
      </c>
      <c r="DS91" s="59">
        <f t="shared" si="71"/>
        <v>895.32527275972234</v>
      </c>
      <c r="DT91" s="59">
        <f ca="1">AVERAGE(OFFSET($DS$3,0,0,'Données projet'!$E$14+1,1))-AVERAGE(OFFSET($H$3,0,0,'Données projet'!$E$14+1,1))</f>
        <v>407.73540492005355</v>
      </c>
      <c r="DU91" s="59">
        <f t="shared" si="98"/>
        <v>296.29416764204774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29.891019740109726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29.891019740109726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328.00000000000017</v>
      </c>
      <c r="EK91" s="17">
        <f>EJ91*VLOOKUP('Données projet'!$B$15,Paramètres!$A$1:$I$89,3,0)*VLOOKUP('Données projet'!$B$15,Paramètres!$A$1:$I$89,5,0)</f>
        <v>255.84000000000015</v>
      </c>
      <c r="EL91" s="13">
        <f t="shared" si="99"/>
        <v>61.834803371075886</v>
      </c>
      <c r="EM91" s="20">
        <f t="shared" si="73"/>
        <v>553.28361587129086</v>
      </c>
      <c r="EN91" s="59">
        <f t="shared" si="74"/>
        <v>846.61694920462423</v>
      </c>
      <c r="EO91" s="59">
        <f ca="1">AVERAGE(OFFSET($EN$3,0,0,'Données projet'!$E$15+1,1))-AVERAGE(OFFSET($H$3,0,0,'Données projet'!$E$15+1,1))</f>
        <v>288.80569134263209</v>
      </c>
      <c r="EP91" s="59">
        <f t="shared" si="100"/>
        <v>283.48738729114024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13.952373768005751</v>
      </c>
      <c r="EW91" s="21">
        <f>EXP(-LN(2)/25)*EW90+(1-EXP(-LN(2)/25))/(LN(2)/25)*Calculateur!ER91*Calculateur!ET91*VLOOKUP('Données projet'!$B$15,Paramètres!$A$1:$I$89,3,0)*0.475*44/12</f>
        <v>11.665507626458638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25.617881394464391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384.05928630855732</v>
      </c>
      <c r="T92" s="59">
        <f t="shared" si="88"/>
        <v>279.93992813630513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8.0242165242165289</v>
      </c>
      <c r="AI92" s="13">
        <f>IF('Données projet'!$A$62&gt;35,AI91+AH92-AQ91,IF(A92&lt;'Données projet'!$A$62,$AF$205^A92,IF(A92='Données projet'!$A$62,'Données projet'!$B$62,AI91+AH92-AQ91)))</f>
        <v>302.46296296296271</v>
      </c>
      <c r="AJ92" s="13">
        <f>AI92*VLOOKUP('Données projet'!$B$10,Paramètres!$A$1:$I$89,3,0)*VLOOKUP('Données projet'!$B$10,Paramètres!$A$1:$I$89,5,0)</f>
        <v>254.79479999999981</v>
      </c>
      <c r="AK92" s="13">
        <f t="shared" si="89"/>
        <v>61.611537134212334</v>
      </c>
      <c r="AL92" s="20">
        <f t="shared" si="58"/>
        <v>551.07437050875285</v>
      </c>
      <c r="AM92" s="59">
        <f t="shared" si="59"/>
        <v>844.40770384208622</v>
      </c>
      <c r="AN92" s="59">
        <f ca="1">AVERAGE(OFFSET($AM$3,0,0,'Données projet'!$E$10+1,1))-AVERAGE(OFFSET($H$3,0,0,'Données projet'!$E$10+1,1))</f>
        <v>312.48716825299158</v>
      </c>
      <c r="AO92" s="59">
        <f t="shared" si="90"/>
        <v>258.68277822755357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45.655060933584743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45.655060933584743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367.99999999999972</v>
      </c>
      <c r="BE92" s="13">
        <f>BD92*VLOOKUP('Données projet'!$B$11,Paramètres!$A$1:$I$89,3,0)*VLOOKUP('Données projet'!$B$11,Paramètres!$A$1:$I$89,5,0)</f>
        <v>269.8175999999998</v>
      </c>
      <c r="BF92" s="13">
        <f t="shared" si="91"/>
        <v>64.810557882019467</v>
      </c>
      <c r="BG92" s="20">
        <f t="shared" si="61"/>
        <v>582.81070831118348</v>
      </c>
      <c r="BH92" s="59">
        <f t="shared" si="62"/>
        <v>876.14404164451685</v>
      </c>
      <c r="BI92" s="59">
        <f ca="1">AVERAGE(OFFSET($BH$3,0,0,'Données projet'!$E$11+1,1))-AVERAGE(OFFSET($H$3,0,0,'Données projet'!$E$11+1,1))</f>
        <v>376.58419691967526</v>
      </c>
      <c r="BJ92" s="59">
        <f t="shared" si="92"/>
        <v>365.76175372075869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37.820771499077729</v>
      </c>
      <c r="BQ92" s="21">
        <f>EXP(-LN(2)/25)*BQ91+(1-EXP(-LN(2)/25))/(LN(2)/25)*Calculateur!BL92*Calculateur!BN92*VLOOKUP('Données projet'!$B$11,Paramètres!$A$1:$I$89,3,0)*0.475*44/12</f>
        <v>4.1723278451701997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41.993099344247931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292.78079999999977</v>
      </c>
      <c r="CA92" s="13">
        <f t="shared" si="93"/>
        <v>69.660903052386217</v>
      </c>
      <c r="CB92" s="20">
        <f t="shared" si="64"/>
        <v>631.25263281623893</v>
      </c>
      <c r="CC92" s="59">
        <f t="shared" si="65"/>
        <v>924.58596614957219</v>
      </c>
      <c r="CD92" s="59">
        <f ca="1">AVERAGE(OFFSET($CC$3,0,0,'Données projet'!$E$12+1,1))-AVERAGE(OFFSET($H$3,0,0,'Données projet'!$E$12+1,1))</f>
        <v>405.40026823646758</v>
      </c>
      <c r="CE92" s="59">
        <f t="shared" si="94"/>
        <v>393.0787141050053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50.583644414649697</v>
      </c>
      <c r="CL92" s="21">
        <f>EXP(-LN(2)/25)*CL91+(1-EXP(-LN(2)/25))/(LN(2)/25)*Calculateur!CG92*Calculateur!CI92*VLOOKUP('Données projet'!$B$12,Paramètres!$A$1:$I$89,3,0)*0.475*44/12</f>
        <v>5.5803078503191745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56.16395226496887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3.4</v>
      </c>
      <c r="CT92" s="12">
        <f>IF('Données projet'!$A$140&gt;35,CT91+CS92-DB91,IF(A92&lt;'Données projet'!$A$140,$CQ$205^A92,IF(A92='Données projet'!$A$140,'Données projet'!$B$140,CT91+CS92-DB91)))</f>
        <v>264.59999999999997</v>
      </c>
      <c r="CU92" s="17">
        <f>CT92*VLOOKUP('Données projet'!$B$13,Paramètres!$A$1:$I$89,3,0)*VLOOKUP('Données projet'!$B$13,Paramètres!$A$1:$I$89,5,0)</f>
        <v>231.15455999999998</v>
      </c>
      <c r="CV92" s="13">
        <f t="shared" si="95"/>
        <v>56.532251598510484</v>
      </c>
      <c r="CW92" s="20">
        <f t="shared" si="67"/>
        <v>501.05453020073901</v>
      </c>
      <c r="CX92" s="59">
        <f t="shared" si="68"/>
        <v>794.38786353407227</v>
      </c>
      <c r="CY92" s="59">
        <f ca="1">AVERAGE(OFFSET($CX$3,0,0,'Données projet'!$E$13+1,1))-AVERAGE(OFFSET($H$3,0,0,'Données projet'!$E$13+1,1))</f>
        <v>381.72225529388083</v>
      </c>
      <c r="CZ92" s="59">
        <f t="shared" si="96"/>
        <v>360.05900046417361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31.974295929534613</v>
      </c>
      <c r="DG92" s="21">
        <f>EXP(-LN(2)/25)*DG91+(1-EXP(-LN(2)/25))/(LN(2)/25)*Calculateur!DB92*Calculateur!DD92*VLOOKUP('Données projet'!$B$13,Paramètres!$A$1:$I$89,3,0)*0.475*44/12</f>
        <v>16.274298034005849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48.248593963540458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>
        <f>VLOOKUP(A92,'Données projet'!$A$165:$I$185,2,0)</f>
        <v>295.85897435897436</v>
      </c>
      <c r="DM92" s="12">
        <f>VLOOKUP(A92,'Données projet'!$A$165:$I$185,9,0)</f>
        <v>7.4950142450142421</v>
      </c>
      <c r="DN92" s="12">
        <f t="array" ref="DN92">INDEX(DM:DM,MIN(IF(ISNUMBER(DM92:DM288),ROW(DM92:DM288),"")))</f>
        <v>7.4950142450142421</v>
      </c>
      <c r="DO92" s="12">
        <f>IF('Données projet'!$A$166&gt;35,DO91+DN92-DW91,IF(A92&lt;'Données projet'!$A$166,$DL$205^A92,IF(A92='Données projet'!$A$166,'Données projet'!$B$166,DO91+DN92-DW91)))</f>
        <v>295.85897435897465</v>
      </c>
      <c r="DP92" s="17">
        <f>DO92*VLOOKUP('Données projet'!$B$14,Paramètres!$A$1:$I$89,3,0)*VLOOKUP('Données projet'!$B$14,Paramètres!$A$1:$I$89,5,0)</f>
        <v>286.15480000000025</v>
      </c>
      <c r="DQ92" s="13">
        <f t="shared" si="97"/>
        <v>68.266044513279169</v>
      </c>
      <c r="DR92" s="20">
        <f t="shared" si="70"/>
        <v>617.28297086062821</v>
      </c>
      <c r="DS92" s="59">
        <f t="shared" si="71"/>
        <v>910.61630419396147</v>
      </c>
      <c r="DT92" s="59">
        <f ca="1">AVERAGE(OFFSET($DS$3,0,0,'Données projet'!$E$14+1,1))-AVERAGE(OFFSET($H$3,0,0,'Données projet'!$E$14+1,1))</f>
        <v>407.73540492005355</v>
      </c>
      <c r="DU92" s="59">
        <f t="shared" si="98"/>
        <v>296.29416764204774</v>
      </c>
      <c r="DV92" s="15">
        <f>IF(ISNA(VLOOKUP(A92,'Données projet'!$A$165:$I$185,3,0)),0,VLOOKUP(A92,'Données projet'!$A$165:$I$185,3,0))</f>
        <v>8</v>
      </c>
      <c r="DW92" s="15">
        <f>IF(ISNA(VLOOKUP(A92,'Données projet'!$A$165:$I$185,4,0)),0,VLOOKUP(A92,'Données projet'!$A$165:$I$185,4,0))</f>
        <v>49.391025641025635</v>
      </c>
      <c r="DX92" s="16">
        <f>IF(ISNA(VLOOKUP(A92,'Données projet'!$A$165:$I$185,5,0)),0%,VLOOKUP(A92,'Données projet'!$A$165:$I$185,5,0)*VLOOKUP('Données projet'!$B$14,Paramètres!$A$1:$I$89,7,0))</f>
        <v>0.30099999999999999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45.200512150429219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45.200512150429219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328.00000000000017</v>
      </c>
      <c r="EK92" s="17">
        <f>EJ92*VLOOKUP('Données projet'!$B$15,Paramètres!$A$1:$I$89,3,0)*VLOOKUP('Données projet'!$B$15,Paramètres!$A$1:$I$89,5,0)</f>
        <v>255.84000000000015</v>
      </c>
      <c r="EL92" s="13">
        <f t="shared" si="99"/>
        <v>61.834803371075886</v>
      </c>
      <c r="EM92" s="20">
        <f t="shared" si="73"/>
        <v>553.28361587129086</v>
      </c>
      <c r="EN92" s="59">
        <f t="shared" si="74"/>
        <v>846.61694920462423</v>
      </c>
      <c r="EO92" s="59">
        <f ca="1">AVERAGE(OFFSET($EN$3,0,0,'Données projet'!$E$15+1,1))-AVERAGE(OFFSET($H$3,0,0,'Données projet'!$E$15+1,1))</f>
        <v>288.80569134263209</v>
      </c>
      <c r="EP92" s="59">
        <f t="shared" si="100"/>
        <v>283.48738729114024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13.678776228522853</v>
      </c>
      <c r="EW92" s="21">
        <f>EXP(-LN(2)/25)*EW91+(1-EXP(-LN(2)/25))/(LN(2)/25)*Calculateur!ER92*Calculateur!ET92*VLOOKUP('Données projet'!$B$15,Paramètres!$A$1:$I$89,3,0)*0.475*44/12</f>
        <v>11.346513706950741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25.025289935473594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790.88115168016611</v>
      </c>
      <c r="S93" s="59">
        <f ca="1">AVERAGE(OFFSET($R$3,0,0,'Données projet'!$E$9+1,1))-AVERAGE(OFFSET($H$3,0,0,'Données projet'!$E$9+1,1))</f>
        <v>384.05928630855732</v>
      </c>
      <c r="T93" s="59">
        <f t="shared" si="88"/>
        <v>279.93992813630513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310.4871794871795</v>
      </c>
      <c r="AG93" s="12">
        <f>VLOOKUP(A93,'Données projet'!$A$61:$I$81,9,0)</f>
        <v>8.0242165242165289</v>
      </c>
      <c r="AH93" s="12">
        <f t="array" ref="AH93">INDEX(AG:AG,MIN(IF(ISNUMBER(AG93:AG289),ROW(AG93:AG289),"")))</f>
        <v>8.0242165242165289</v>
      </c>
      <c r="AI93" s="13">
        <f>IF('Données projet'!$A$62&gt;35,AI92+AH93-AQ92,IF(A93&lt;'Données projet'!$A$62,$AF$205^A93,IF(A93='Données projet'!$A$62,'Données projet'!$B$62,AI92+AH93-AQ92)))</f>
        <v>310.48717948717922</v>
      </c>
      <c r="AJ93" s="13">
        <f>AI93*VLOOKUP('Données projet'!$B$10,Paramètres!$A$1:$I$89,3,0)*VLOOKUP('Données projet'!$B$10,Paramètres!$A$1:$I$89,5,0)</f>
        <v>261.55439999999982</v>
      </c>
      <c r="AK93" s="13">
        <f t="shared" si="89"/>
        <v>63.053598190183337</v>
      </c>
      <c r="AL93" s="20">
        <f t="shared" si="58"/>
        <v>565.35893018123568</v>
      </c>
      <c r="AM93" s="59">
        <f t="shared" si="59"/>
        <v>858.69226351456905</v>
      </c>
      <c r="AN93" s="59">
        <f ca="1">AVERAGE(OFFSET($AM$3,0,0,'Données projet'!$E$10+1,1))-AVERAGE(OFFSET($H$3,0,0,'Données projet'!$E$10+1,1))</f>
        <v>312.48716825299158</v>
      </c>
      <c r="AO93" s="59">
        <f t="shared" si="90"/>
        <v>258.68277822755357</v>
      </c>
      <c r="AP93" s="15">
        <f>IF(ISNA(VLOOKUP(A93,'Données projet'!$A$61:$I$81,3,0)),0,VLOOKUP(A93,'Données projet'!$A$61:$I$81,3,0))</f>
        <v>9</v>
      </c>
      <c r="AQ93" s="15">
        <f>IF(ISNA(VLOOKUP(A93,'Données projet'!$A$61:$I$81,4,0)),0,VLOOKUP(A93,'Données projet'!$A$61:$I$81,4,0))</f>
        <v>60.846153846153847</v>
      </c>
      <c r="AR93" s="16">
        <f>IF(ISNA(VLOOKUP(A93,'Données projet'!$A$61:$I$81,5,0)),0%,VLOOKUP(A93,'Données projet'!$A$61:$I$81,5,0)*VLOOKUP('Données projet'!$B$10,Paramètres!$A$1:$I$89,7,0))</f>
        <v>0.38700000000000001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66.688325331427109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66.688325331427109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367.99999999999972</v>
      </c>
      <c r="BE93" s="13">
        <f>BD93*VLOOKUP('Données projet'!$B$11,Paramètres!$A$1:$I$89,3,0)*VLOOKUP('Données projet'!$B$11,Paramètres!$A$1:$I$89,5,0)</f>
        <v>269.8175999999998</v>
      </c>
      <c r="BF93" s="13">
        <f t="shared" si="91"/>
        <v>64.810557882019467</v>
      </c>
      <c r="BG93" s="20">
        <f t="shared" si="61"/>
        <v>582.81070831118348</v>
      </c>
      <c r="BH93" s="59">
        <f t="shared" si="62"/>
        <v>876.14404164451685</v>
      </c>
      <c r="BI93" s="59">
        <f ca="1">AVERAGE(OFFSET($BH$3,0,0,'Données projet'!$E$11+1,1))-AVERAGE(OFFSET($H$3,0,0,'Données projet'!$E$11+1,1))</f>
        <v>376.58419691967526</v>
      </c>
      <c r="BJ93" s="59">
        <f t="shared" si="92"/>
        <v>365.76175372075869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37.079129238373618</v>
      </c>
      <c r="BQ93" s="21">
        <f>EXP(-LN(2)/25)*BQ92+(1-EXP(-LN(2)/25))/(LN(2)/25)*Calculateur!BL93*Calculateur!BN93*VLOOKUP('Données projet'!$B$11,Paramètres!$A$1:$I$89,3,0)*0.475*44/12</f>
        <v>4.0582353208308355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41.137364559204457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292.78079999999977</v>
      </c>
      <c r="CA93" s="13">
        <f t="shared" si="93"/>
        <v>69.660903052386217</v>
      </c>
      <c r="CB93" s="20">
        <f t="shared" si="64"/>
        <v>631.25263281623893</v>
      </c>
      <c r="CC93" s="59">
        <f t="shared" si="65"/>
        <v>924.58596614957219</v>
      </c>
      <c r="CD93" s="59">
        <f ca="1">AVERAGE(OFFSET($CC$3,0,0,'Données projet'!$E$12+1,1))-AVERAGE(OFFSET($H$3,0,0,'Données projet'!$E$12+1,1))</f>
        <v>405.40026823646758</v>
      </c>
      <c r="CE93" s="59">
        <f t="shared" si="94"/>
        <v>393.0787141050053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49.591730000655033</v>
      </c>
      <c r="CL93" s="21">
        <f>EXP(-LN(2)/25)*CL92+(1-EXP(-LN(2)/25))/(LN(2)/25)*Calculateur!CG93*Calculateur!CI93*VLOOKUP('Données projet'!$B$12,Paramètres!$A$1:$I$89,3,0)*0.475*44/12</f>
        <v>5.4277140386965606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55.019444039351598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268</v>
      </c>
      <c r="CR93" s="12">
        <f>VLOOKUP(A93,'Données projet'!$A$139:$I$159,9,0)</f>
        <v>3.4</v>
      </c>
      <c r="CS93" s="12">
        <f t="array" ref="CS93">INDEX(CR:CR,MIN(IF(ISNUMBER(CR93:CR289),ROW(CR93:CR289),"")))</f>
        <v>3.4</v>
      </c>
      <c r="CT93" s="12">
        <f>IF('Données projet'!$A$140&gt;35,CT92+CS93-DB92,IF(A93&lt;'Données projet'!$A$140,$CQ$205^A93,IF(A93='Données projet'!$A$140,'Données projet'!$B$140,CT92+CS93-DB92)))</f>
        <v>267.99999999999994</v>
      </c>
      <c r="CU93" s="17">
        <f>CT93*VLOOKUP('Données projet'!$B$13,Paramètres!$A$1:$I$89,3,0)*VLOOKUP('Données projet'!$B$13,Paramètres!$A$1:$I$89,5,0)</f>
        <v>234.12479999999999</v>
      </c>
      <c r="CV93" s="13">
        <f t="shared" si="95"/>
        <v>57.173634982132555</v>
      </c>
      <c r="CW93" s="20">
        <f t="shared" si="67"/>
        <v>507.34477426054747</v>
      </c>
      <c r="CX93" s="59">
        <f t="shared" si="68"/>
        <v>800.67810759388078</v>
      </c>
      <c r="CY93" s="59">
        <f ca="1">AVERAGE(OFFSET($CX$3,0,0,'Données projet'!$E$13+1,1))-AVERAGE(OFFSET($H$3,0,0,'Données projet'!$E$13+1,1))</f>
        <v>381.72225529388083</v>
      </c>
      <c r="CZ93" s="59">
        <f t="shared" si="96"/>
        <v>360.05900046417361</v>
      </c>
      <c r="DA93" s="15">
        <f>IF(ISNA(VLOOKUP(A93,'Données projet'!$A$139:$I$159,3,0)),0,VLOOKUP(A93,'Données projet'!$A$139:$I$159,3,0))</f>
        <v>15</v>
      </c>
      <c r="DB93" s="15" t="str">
        <f>IF(ISNA(VLOOKUP(A93,'Données projet'!$A$139:$I$159,4,0)),0,VLOOKUP(A93,'Données projet'!$A$139:$I$159,4,0))</f>
        <v>14</v>
      </c>
      <c r="DC93" s="16">
        <f>IF(ISNA(VLOOKUP(A93,'Données projet'!$A$139:$I$159,5,0)),0%,VLOOKUP(A93,'Données projet'!$A$139:$I$159,5,0)*VLOOKUP('Données projet'!$B$13,Paramètres!$A$1:$I$89,7,0))</f>
        <v>0.34400000000000003</v>
      </c>
      <c r="DD93" s="16">
        <f>IF(ISNA(VLOOKUP(A93,'Données projet'!$A$139:$I$159,6,0)),0%,VLOOKUP(A93,'Données projet'!$A$139:$I$159,6,0)*VLOOKUP('Données projet'!$B$13,Paramètres!$A$1:$I$89,7,0))</f>
        <v>4.3000000000000003E-2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35.998298144616143</v>
      </c>
      <c r="DG93" s="21">
        <f>EXP(-LN(2)/25)*DG92+(1-EXP(-LN(2)/25))/(LN(2)/25)*Calculateur!DB93*Calculateur!DD93*VLOOKUP('Données projet'!$B$13,Paramètres!$A$1:$I$89,3,0)*0.475*44/12</f>
        <v>16.408362236186235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52.406660380802379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7.1782051282051267</v>
      </c>
      <c r="DO93" s="12">
        <f>IF('Données projet'!$A$166&gt;35,DO92+DN93-DW92,IF(A93&lt;'Données projet'!$A$166,$DL$205^A93,IF(A93='Données projet'!$A$166,'Données projet'!$B$166,DO92+DN93-DW92)))</f>
        <v>253.64615384615416</v>
      </c>
      <c r="DP93" s="17">
        <f>DO93*VLOOKUP('Données projet'!$B$14,Paramètres!$A$1:$I$89,3,0)*VLOOKUP('Données projet'!$B$14,Paramètres!$A$1:$I$89,5,0)</f>
        <v>245.32656000000034</v>
      </c>
      <c r="DQ93" s="13">
        <f t="shared" si="97"/>
        <v>59.584097575246503</v>
      </c>
      <c r="DR93" s="20">
        <f t="shared" si="70"/>
        <v>531.05272861022161</v>
      </c>
      <c r="DS93" s="59">
        <f t="shared" si="71"/>
        <v>824.38606194355498</v>
      </c>
      <c r="DT93" s="59">
        <f ca="1">AVERAGE(OFFSET($DS$3,0,0,'Données projet'!$E$14+1,1))-AVERAGE(OFFSET($H$3,0,0,'Données projet'!$E$14+1,1))</f>
        <v>407.73540492005355</v>
      </c>
      <c r="DU93" s="59">
        <f t="shared" si="98"/>
        <v>296.29416764204774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44.314157676749446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44.314157676749446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328.00000000000017</v>
      </c>
      <c r="EK93" s="17">
        <f>EJ93*VLOOKUP('Données projet'!$B$15,Paramètres!$A$1:$I$89,3,0)*VLOOKUP('Données projet'!$B$15,Paramètres!$A$1:$I$89,5,0)</f>
        <v>255.84000000000015</v>
      </c>
      <c r="EL93" s="13">
        <f t="shared" si="99"/>
        <v>61.834803371075886</v>
      </c>
      <c r="EM93" s="20">
        <f t="shared" si="73"/>
        <v>553.28361587129086</v>
      </c>
      <c r="EN93" s="59">
        <f t="shared" si="74"/>
        <v>846.61694920462423</v>
      </c>
      <c r="EO93" s="59">
        <f ca="1">AVERAGE(OFFSET($EN$3,0,0,'Données projet'!$E$15+1,1))-AVERAGE(OFFSET($H$3,0,0,'Données projet'!$E$15+1,1))</f>
        <v>288.80569134263209</v>
      </c>
      <c r="EP93" s="59">
        <f t="shared" si="100"/>
        <v>283.48738729114024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13.410543769911193</v>
      </c>
      <c r="EW93" s="21">
        <f>EXP(-LN(2)/25)*EW92+(1-EXP(-LN(2)/25))/(LN(2)/25)*Calculateur!ER93*Calculateur!ET93*VLOOKUP('Données projet'!$B$15,Paramètres!$A$1:$I$89,3,0)*0.475*44/12</f>
        <v>11.036242692946951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24.446786462858142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804.63551677934674</v>
      </c>
      <c r="S94" s="59">
        <f ca="1">AVERAGE(OFFSET($R$3,0,0,'Données projet'!$E$9+1,1))-AVERAGE(OFFSET($H$3,0,0,'Données projet'!$E$9+1,1))</f>
        <v>384.05928630855732</v>
      </c>
      <c r="T94" s="59">
        <f t="shared" si="88"/>
        <v>279.93992813630513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7.539173789173784</v>
      </c>
      <c r="AI94" s="13">
        <f>IF('Données projet'!$A$62&gt;35,AI93+AH94-AQ93,IF(A94&lt;'Données projet'!$A$62,$AF$205^A94,IF(A94='Données projet'!$A$62,'Données projet'!$B$62,AI93+AH94-AQ93)))</f>
        <v>257.18019943019914</v>
      </c>
      <c r="AJ94" s="13">
        <f>AI94*VLOOKUP('Données projet'!$B$10,Paramètres!$A$1:$I$89,3,0)*VLOOKUP('Données projet'!$B$10,Paramètres!$A$1:$I$89,5,0)</f>
        <v>216.64859999999976</v>
      </c>
      <c r="AK94" s="13">
        <f t="shared" si="89"/>
        <v>53.385825991589115</v>
      </c>
      <c r="AL94" s="20">
        <f t="shared" si="58"/>
        <v>470.30995860201728</v>
      </c>
      <c r="AM94" s="59">
        <f t="shared" si="59"/>
        <v>763.64329193535059</v>
      </c>
      <c r="AN94" s="59">
        <f ca="1">AVERAGE(OFFSET($AM$3,0,0,'Données projet'!$E$10+1,1))-AVERAGE(OFFSET($H$3,0,0,'Données projet'!$E$10+1,1))</f>
        <v>312.48716825299158</v>
      </c>
      <c r="AO94" s="59">
        <f t="shared" si="90"/>
        <v>258.68277822755357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65.380607947539872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65.380607947539872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367.99999999999972</v>
      </c>
      <c r="BE94" s="13">
        <f>BD94*VLOOKUP('Données projet'!$B$11,Paramètres!$A$1:$I$89,3,0)*VLOOKUP('Données projet'!$B$11,Paramètres!$A$1:$I$89,5,0)</f>
        <v>269.8175999999998</v>
      </c>
      <c r="BF94" s="13">
        <f t="shared" si="91"/>
        <v>64.810557882019467</v>
      </c>
      <c r="BG94" s="20">
        <f t="shared" si="61"/>
        <v>582.81070831118348</v>
      </c>
      <c r="BH94" s="59">
        <f t="shared" si="62"/>
        <v>876.14404164451685</v>
      </c>
      <c r="BI94" s="59">
        <f ca="1">AVERAGE(OFFSET($BH$3,0,0,'Données projet'!$E$11+1,1))-AVERAGE(OFFSET($H$3,0,0,'Données projet'!$E$11+1,1))</f>
        <v>376.58419691967526</v>
      </c>
      <c r="BJ94" s="59">
        <f t="shared" si="92"/>
        <v>365.76175372075869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36.352030130044795</v>
      </c>
      <c r="BQ94" s="21">
        <f>EXP(-LN(2)/25)*BQ93+(1-EXP(-LN(2)/25))/(LN(2)/25)*Calculateur!BL94*Calculateur!BN94*VLOOKUP('Données projet'!$B$11,Paramètres!$A$1:$I$89,3,0)*0.475*44/12</f>
        <v>3.9472626625693961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40.299292792614189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292.78079999999977</v>
      </c>
      <c r="CA94" s="13">
        <f t="shared" si="93"/>
        <v>69.660903052386217</v>
      </c>
      <c r="CB94" s="20">
        <f t="shared" si="64"/>
        <v>631.25263281623893</v>
      </c>
      <c r="CC94" s="59">
        <f t="shared" si="65"/>
        <v>924.58596614957219</v>
      </c>
      <c r="CD94" s="59">
        <f ca="1">AVERAGE(OFFSET($CC$3,0,0,'Données projet'!$E$12+1,1))-AVERAGE(OFFSET($H$3,0,0,'Données projet'!$E$12+1,1))</f>
        <v>405.40026823646758</v>
      </c>
      <c r="CE94" s="59">
        <f t="shared" si="94"/>
        <v>393.0787141050053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48.619266423310748</v>
      </c>
      <c r="CL94" s="21">
        <f>EXP(-LN(2)/25)*CL93+(1-EXP(-LN(2)/25))/(LN(2)/25)*Calculateur!CG94*Calculateur!CI94*VLOOKUP('Données projet'!$B$12,Paramètres!$A$1:$I$89,3,0)*0.475*44/12</f>
        <v>5.2792929128773274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53.898559336188072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3.2</v>
      </c>
      <c r="CT94" s="12">
        <f>IF('Données projet'!$A$140&gt;35,CT93+CS94-DB93,IF(A94&lt;'Données projet'!$A$140,$CQ$205^A94,IF(A94='Données projet'!$A$140,'Données projet'!$B$140,CT93+CS94-DB93)))</f>
        <v>257.19999999999993</v>
      </c>
      <c r="CU94" s="17">
        <f>CT94*VLOOKUP('Données projet'!$B$13,Paramètres!$A$1:$I$89,3,0)*VLOOKUP('Données projet'!$B$13,Paramètres!$A$1:$I$89,5,0)</f>
        <v>224.68991999999997</v>
      </c>
      <c r="CV94" s="13">
        <f t="shared" si="95"/>
        <v>55.132961900876232</v>
      </c>
      <c r="CW94" s="20">
        <f t="shared" si="67"/>
        <v>487.35818597735943</v>
      </c>
      <c r="CX94" s="59">
        <f t="shared" si="68"/>
        <v>780.69151931069268</v>
      </c>
      <c r="CY94" s="59">
        <f ca="1">AVERAGE(OFFSET($CX$3,0,0,'Données projet'!$E$13+1,1))-AVERAGE(OFFSET($H$3,0,0,'Données projet'!$E$13+1,1))</f>
        <v>381.72225529388083</v>
      </c>
      <c r="CZ94" s="59">
        <f t="shared" si="96"/>
        <v>360.05900046417361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35.292393474794032</v>
      </c>
      <c r="DG94" s="21">
        <f>EXP(-LN(2)/25)*DG93+(1-EXP(-LN(2)/25))/(LN(2)/25)*Calculateur!DB94*Calculateur!DD94*VLOOKUP('Données projet'!$B$13,Paramètres!$A$1:$I$89,3,0)*0.475*44/12</f>
        <v>15.959674707959454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51.25206818275349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7.1782051282051267</v>
      </c>
      <c r="DO94" s="12">
        <f>IF('Données projet'!$A$166&gt;35,DO93+DN94-DW93,IF(A94&lt;'Données projet'!$A$166,$DL$205^A94,IF(A94='Données projet'!$A$166,'Données projet'!$B$166,DO93+DN94-DW93)))</f>
        <v>260.82435897435931</v>
      </c>
      <c r="DP94" s="17">
        <f>DO94*VLOOKUP('Données projet'!$B$14,Paramètres!$A$1:$I$89,3,0)*VLOOKUP('Données projet'!$B$14,Paramètres!$A$1:$I$89,5,0)</f>
        <v>252.26932000000031</v>
      </c>
      <c r="DQ94" s="13">
        <f t="shared" si="97"/>
        <v>61.071625717288512</v>
      </c>
      <c r="DR94" s="20">
        <f t="shared" si="70"/>
        <v>545.7354804576114</v>
      </c>
      <c r="DS94" s="59">
        <f t="shared" si="71"/>
        <v>839.06881379094466</v>
      </c>
      <c r="DT94" s="59">
        <f ca="1">AVERAGE(OFFSET($DS$3,0,0,'Données projet'!$E$14+1,1))-AVERAGE(OFFSET($H$3,0,0,'Données projet'!$E$14+1,1))</f>
        <v>407.73540492005355</v>
      </c>
      <c r="DU94" s="59">
        <f t="shared" si="98"/>
        <v>296.29416764204774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43.445184073675684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43.445184073675684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328.00000000000017</v>
      </c>
      <c r="EK94" s="17">
        <f>EJ94*VLOOKUP('Données projet'!$B$15,Paramètres!$A$1:$I$89,3,0)*VLOOKUP('Données projet'!$B$15,Paramètres!$A$1:$I$89,5,0)</f>
        <v>255.84000000000015</v>
      </c>
      <c r="EL94" s="13">
        <f t="shared" si="99"/>
        <v>61.834803371075886</v>
      </c>
      <c r="EM94" s="20">
        <f t="shared" si="73"/>
        <v>553.28361587129086</v>
      </c>
      <c r="EN94" s="59">
        <f t="shared" si="74"/>
        <v>846.61694920462423</v>
      </c>
      <c r="EO94" s="59">
        <f ca="1">AVERAGE(OFFSET($EN$3,0,0,'Données projet'!$E$15+1,1))-AVERAGE(OFFSET($H$3,0,0,'Données projet'!$E$15+1,1))</f>
        <v>288.80569134263209</v>
      </c>
      <c r="EP94" s="59">
        <f t="shared" si="100"/>
        <v>283.48738729114024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13.147571186207264</v>
      </c>
      <c r="EW94" s="21">
        <f>EXP(-LN(2)/25)*EW93+(1-EXP(-LN(2)/25))/(LN(2)/25)*Calculateur!ER94*Calculateur!ET94*VLOOKUP('Données projet'!$B$15,Paramètres!$A$1:$I$89,3,0)*0.475*44/12</f>
        <v>10.734456056137537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23.882027242344801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818.3820688195508</v>
      </c>
      <c r="S95" s="59">
        <f ca="1">AVERAGE(OFFSET($R$3,0,0,'Données projet'!$E$9+1,1))-AVERAGE(OFFSET($H$3,0,0,'Données projet'!$E$9+1,1))</f>
        <v>384.05928630855732</v>
      </c>
      <c r="T95" s="59">
        <f t="shared" si="88"/>
        <v>279.93992813630513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7.539173789173784</v>
      </c>
      <c r="AI95" s="13">
        <f>IF('Données projet'!$A$62&gt;35,AI94+AH95-AQ94,IF(A95&lt;'Données projet'!$A$62,$AF$205^A95,IF(A95='Données projet'!$A$62,'Données projet'!$B$62,AI94+AH95-AQ94)))</f>
        <v>264.71937321937293</v>
      </c>
      <c r="AJ95" s="13">
        <f>AI95*VLOOKUP('Données projet'!$B$10,Paramètres!$A$1:$I$89,3,0)*VLOOKUP('Données projet'!$B$10,Paramètres!$A$1:$I$89,5,0)</f>
        <v>222.99959999999979</v>
      </c>
      <c r="AK95" s="13">
        <f t="shared" si="89"/>
        <v>54.766319225455383</v>
      </c>
      <c r="AL95" s="20">
        <f t="shared" si="58"/>
        <v>483.77564265100108</v>
      </c>
      <c r="AM95" s="59">
        <f t="shared" si="59"/>
        <v>777.10897598433439</v>
      </c>
      <c r="AN95" s="59">
        <f ca="1">AVERAGE(OFFSET($AM$3,0,0,'Données projet'!$E$10+1,1))-AVERAGE(OFFSET($H$3,0,0,'Données projet'!$E$10+1,1))</f>
        <v>312.48716825299158</v>
      </c>
      <c r="AO95" s="59">
        <f t="shared" si="90"/>
        <v>258.68277822755357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64.098534103921821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64.098534103921821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367.99999999999972</v>
      </c>
      <c r="BE95" s="13">
        <f>BD95*VLOOKUP('Données projet'!$B$11,Paramètres!$A$1:$I$89,3,0)*VLOOKUP('Données projet'!$B$11,Paramètres!$A$1:$I$89,5,0)</f>
        <v>269.8175999999998</v>
      </c>
      <c r="BF95" s="13">
        <f t="shared" si="91"/>
        <v>64.810557882019467</v>
      </c>
      <c r="BG95" s="20">
        <f t="shared" si="61"/>
        <v>582.81070831118348</v>
      </c>
      <c r="BH95" s="59">
        <f t="shared" si="62"/>
        <v>876.14404164451685</v>
      </c>
      <c r="BI95" s="59">
        <f ca="1">AVERAGE(OFFSET($BH$3,0,0,'Données projet'!$E$11+1,1))-AVERAGE(OFFSET($H$3,0,0,'Données projet'!$E$11+1,1))</f>
        <v>376.58419691967526</v>
      </c>
      <c r="BJ95" s="59">
        <f t="shared" si="92"/>
        <v>365.76175372075869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35.639188991743637</v>
      </c>
      <c r="BQ95" s="21">
        <f>EXP(-LN(2)/25)*BQ94+(1-EXP(-LN(2)/25))/(LN(2)/25)*Calculateur!BL95*Calculateur!BN95*VLOOKUP('Données projet'!$B$11,Paramètres!$A$1:$I$89,3,0)*0.475*44/12</f>
        <v>3.8393245574839141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39.47851354922755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292.78079999999977</v>
      </c>
      <c r="CA95" s="13">
        <f t="shared" si="93"/>
        <v>69.660903052386217</v>
      </c>
      <c r="CB95" s="20">
        <f t="shared" si="64"/>
        <v>631.25263281623893</v>
      </c>
      <c r="CC95" s="59">
        <f t="shared" si="65"/>
        <v>924.58596614957219</v>
      </c>
      <c r="CD95" s="59">
        <f ca="1">AVERAGE(OFFSET($CC$3,0,0,'Données projet'!$E$12+1,1))-AVERAGE(OFFSET($H$3,0,0,'Données projet'!$E$12+1,1))</f>
        <v>405.40026823646758</v>
      </c>
      <c r="CE95" s="59">
        <f t="shared" si="94"/>
        <v>393.0787141050053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47.665872263573974</v>
      </c>
      <c r="CL95" s="21">
        <f>EXP(-LN(2)/25)*CL94+(1-EXP(-LN(2)/25))/(LN(2)/25)*Calculateur!CG95*Calculateur!CI95*VLOOKUP('Données projet'!$B$12,Paramètres!$A$1:$I$89,3,0)*0.475*44/12</f>
        <v>5.1349303705487488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52.800802634122725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3.2</v>
      </c>
      <c r="CT95" s="12">
        <f>IF('Données projet'!$A$140&gt;35,CT94+CS95-DB94,IF(A95&lt;'Données projet'!$A$140,$CQ$205^A95,IF(A95='Données projet'!$A$140,'Données projet'!$B$140,CT94+CS95-DB94)))</f>
        <v>260.39999999999992</v>
      </c>
      <c r="CU95" s="17">
        <f>CT95*VLOOKUP('Données projet'!$B$13,Paramètres!$A$1:$I$89,3,0)*VLOOKUP('Données projet'!$B$13,Paramètres!$A$1:$I$89,5,0)</f>
        <v>227.48543999999993</v>
      </c>
      <c r="CV95" s="13">
        <f t="shared" si="95"/>
        <v>55.738627496252377</v>
      </c>
      <c r="CW95" s="20">
        <f t="shared" si="67"/>
        <v>493.28191755597277</v>
      </c>
      <c r="CX95" s="59">
        <f t="shared" si="68"/>
        <v>786.61525088930603</v>
      </c>
      <c r="CY95" s="59">
        <f ca="1">AVERAGE(OFFSET($CX$3,0,0,'Données projet'!$E$13+1,1))-AVERAGE(OFFSET($H$3,0,0,'Données projet'!$E$13+1,1))</f>
        <v>381.72225529388083</v>
      </c>
      <c r="CZ95" s="59">
        <f t="shared" si="96"/>
        <v>360.05900046417361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34.6003311649878</v>
      </c>
      <c r="DG95" s="21">
        <f>EXP(-LN(2)/25)*DG94+(1-EXP(-LN(2)/25))/(LN(2)/25)*Calculateur!DB95*Calculateur!DD95*VLOOKUP('Données projet'!$B$13,Paramètres!$A$1:$I$89,3,0)*0.475*44/12</f>
        <v>15.523256563787486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50.123587728775284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7.1782051282051267</v>
      </c>
      <c r="DO95" s="12">
        <f>IF('Données projet'!$A$166&gt;35,DO94+DN95-DW94,IF(A95&lt;'Données projet'!$A$166,$DL$205^A95,IF(A95='Données projet'!$A$166,'Données projet'!$B$166,DO94+DN95-DW94)))</f>
        <v>268.00256410256446</v>
      </c>
      <c r="DP95" s="17">
        <f>DO95*VLOOKUP('Données projet'!$B$14,Paramètres!$A$1:$I$89,3,0)*VLOOKUP('Données projet'!$B$14,Paramètres!$A$1:$I$89,5,0)</f>
        <v>259.21208000000036</v>
      </c>
      <c r="DQ95" s="13">
        <f t="shared" si="97"/>
        <v>62.554395596972348</v>
      </c>
      <c r="DR95" s="20">
        <f t="shared" si="70"/>
        <v>560.40994499806072</v>
      </c>
      <c r="DS95" s="59">
        <f t="shared" si="71"/>
        <v>853.74327833139409</v>
      </c>
      <c r="DT95" s="59">
        <f ca="1">AVERAGE(OFFSET($DS$3,0,0,'Données projet'!$E$14+1,1))-AVERAGE(OFFSET($H$3,0,0,'Données projet'!$E$14+1,1))</f>
        <v>407.73540492005355</v>
      </c>
      <c r="DU95" s="59">
        <f t="shared" si="98"/>
        <v>296.29416764204774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42.593250512936635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42.593250512936635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328.00000000000017</v>
      </c>
      <c r="EK95" s="17">
        <f>EJ95*VLOOKUP('Données projet'!$B$15,Paramètres!$A$1:$I$89,3,0)*VLOOKUP('Données projet'!$B$15,Paramètres!$A$1:$I$89,5,0)</f>
        <v>255.84000000000015</v>
      </c>
      <c r="EL95" s="13">
        <f t="shared" si="99"/>
        <v>61.834803371075886</v>
      </c>
      <c r="EM95" s="20">
        <f t="shared" si="73"/>
        <v>553.28361587129086</v>
      </c>
      <c r="EN95" s="59">
        <f t="shared" si="74"/>
        <v>846.61694920462423</v>
      </c>
      <c r="EO95" s="59">
        <f ca="1">AVERAGE(OFFSET($EN$3,0,0,'Données projet'!$E$15+1,1))-AVERAGE(OFFSET($H$3,0,0,'Données projet'!$E$15+1,1))</f>
        <v>288.80569134263209</v>
      </c>
      <c r="EP95" s="59">
        <f t="shared" si="100"/>
        <v>283.48738729114024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12.88975533447233</v>
      </c>
      <c r="EW95" s="21">
        <f>EXP(-LN(2)/25)*EW94+(1-EXP(-LN(2)/25))/(LN(2)/25)*Calculateur!ER95*Calculateur!ET95*VLOOKUP('Données projet'!$B$15,Paramètres!$A$1:$I$89,3,0)*0.475*44/12</f>
        <v>10.440921790781946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23.330677125254276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832.12104111766848</v>
      </c>
      <c r="S96" s="59">
        <f ca="1">AVERAGE(OFFSET($R$3,0,0,'Données projet'!$E$9+1,1))-AVERAGE(OFFSET($H$3,0,0,'Données projet'!$E$9+1,1))</f>
        <v>384.05928630855732</v>
      </c>
      <c r="T96" s="59">
        <f t="shared" si="88"/>
        <v>279.93992813630513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7.539173789173784</v>
      </c>
      <c r="AI96" s="13">
        <f>IF('Données projet'!$A$62&gt;35,AI95+AH96-AQ95,IF(A96&lt;'Données projet'!$A$62,$AF$205^A96,IF(A96='Données projet'!$A$62,'Données projet'!$B$62,AI95+AH96-AQ95)))</f>
        <v>272.25854700854671</v>
      </c>
      <c r="AJ96" s="13">
        <f>AI96*VLOOKUP('Données projet'!$B$10,Paramètres!$A$1:$I$89,3,0)*VLOOKUP('Données projet'!$B$10,Paramètres!$A$1:$I$89,5,0)</f>
        <v>229.35059999999979</v>
      </c>
      <c r="AK96" s="13">
        <f t="shared" si="89"/>
        <v>56.14224296991361</v>
      </c>
      <c r="AL96" s="20">
        <f t="shared" si="58"/>
        <v>497.23336817259911</v>
      </c>
      <c r="AM96" s="59">
        <f t="shared" si="59"/>
        <v>790.56670150593243</v>
      </c>
      <c r="AN96" s="59">
        <f ca="1">AVERAGE(OFFSET($AM$3,0,0,'Données projet'!$E$10+1,1))-AVERAGE(OFFSET($H$3,0,0,'Données projet'!$E$10+1,1))</f>
        <v>312.48716825299158</v>
      </c>
      <c r="AO96" s="59">
        <f t="shared" si="90"/>
        <v>258.68277822755357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62.841600946389285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62.841600946389285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367.99999999999972</v>
      </c>
      <c r="BE96" s="13">
        <f>BD96*VLOOKUP('Données projet'!$B$11,Paramètres!$A$1:$I$89,3,0)*VLOOKUP('Données projet'!$B$11,Paramètres!$A$1:$I$89,5,0)</f>
        <v>269.8175999999998</v>
      </c>
      <c r="BF96" s="13">
        <f t="shared" si="91"/>
        <v>64.810557882019467</v>
      </c>
      <c r="BG96" s="20">
        <f t="shared" si="61"/>
        <v>582.81070831118348</v>
      </c>
      <c r="BH96" s="59">
        <f t="shared" si="62"/>
        <v>876.14404164451685</v>
      </c>
      <c r="BI96" s="59">
        <f ca="1">AVERAGE(OFFSET($BH$3,0,0,'Données projet'!$E$11+1,1))-AVERAGE(OFFSET($H$3,0,0,'Données projet'!$E$11+1,1))</f>
        <v>376.58419691967526</v>
      </c>
      <c r="BJ96" s="59">
        <f t="shared" si="92"/>
        <v>365.76175372075869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34.940326233374407</v>
      </c>
      <c r="BQ96" s="21">
        <f>EXP(-LN(2)/25)*BQ95+(1-EXP(-LN(2)/25))/(LN(2)/25)*Calculateur!BL96*Calculateur!BN96*VLOOKUP('Données projet'!$B$11,Paramètres!$A$1:$I$89,3,0)*0.475*44/12</f>
        <v>3.734338025558213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38.674664258932623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292.78079999999977</v>
      </c>
      <c r="CA96" s="13">
        <f t="shared" si="93"/>
        <v>69.660903052386217</v>
      </c>
      <c r="CB96" s="20">
        <f t="shared" si="64"/>
        <v>631.25263281623893</v>
      </c>
      <c r="CC96" s="59">
        <f t="shared" si="65"/>
        <v>924.58596614957219</v>
      </c>
      <c r="CD96" s="59">
        <f ca="1">AVERAGE(OFFSET($CC$3,0,0,'Données projet'!$E$12+1,1))-AVERAGE(OFFSET($H$3,0,0,'Données projet'!$E$12+1,1))</f>
        <v>405.40026823646758</v>
      </c>
      <c r="CE96" s="59">
        <f t="shared" si="94"/>
        <v>393.0787141050053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46.731173581796618</v>
      </c>
      <c r="CL96" s="21">
        <f>EXP(-LN(2)/25)*CL95+(1-EXP(-LN(2)/25))/(LN(2)/25)*Calculateur!CG96*Calculateur!CI96*VLOOKUP('Données projet'!$B$12,Paramètres!$A$1:$I$89,3,0)*0.475*44/12</f>
        <v>4.994515429531841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51.725689011328456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3.2</v>
      </c>
      <c r="CT96" s="12">
        <f>IF('Données projet'!$A$140&gt;35,CT95+CS96-DB95,IF(A96&lt;'Données projet'!$A$140,$CQ$205^A96,IF(A96='Données projet'!$A$140,'Données projet'!$B$140,CT95+CS96-DB95)))</f>
        <v>263.59999999999991</v>
      </c>
      <c r="CU96" s="17">
        <f>CT96*VLOOKUP('Données projet'!$B$13,Paramètres!$A$1:$I$89,3,0)*VLOOKUP('Données projet'!$B$13,Paramètres!$A$1:$I$89,5,0)</f>
        <v>230.28095999999994</v>
      </c>
      <c r="CV96" s="13">
        <f t="shared" si="95"/>
        <v>56.343427334913351</v>
      </c>
      <c r="CW96" s="20">
        <f t="shared" si="67"/>
        <v>499.20414127497389</v>
      </c>
      <c r="CX96" s="59">
        <f t="shared" si="68"/>
        <v>792.53747460830721</v>
      </c>
      <c r="CY96" s="59">
        <f ca="1">AVERAGE(OFFSET($CX$3,0,0,'Données projet'!$E$13+1,1))-AVERAGE(OFFSET($H$3,0,0,'Données projet'!$E$13+1,1))</f>
        <v>381.72225529388083</v>
      </c>
      <c r="CZ96" s="59">
        <f t="shared" si="96"/>
        <v>360.05900046417361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33.921839774960539</v>
      </c>
      <c r="DG96" s="21">
        <f>EXP(-LN(2)/25)*DG95+(1-EXP(-LN(2)/25))/(LN(2)/25)*Calculateur!DB96*Calculateur!DD96*VLOOKUP('Données projet'!$B$13,Paramètres!$A$1:$I$89,3,0)*0.475*44/12</f>
        <v>15.098772296718133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49.02061207167867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7.1782051282051267</v>
      </c>
      <c r="DO96" s="12">
        <f>IF('Données projet'!$A$166&gt;35,DO95+DN96-DW95,IF(A96&lt;'Données projet'!$A$166,$DL$205^A96,IF(A96='Données projet'!$A$166,'Données projet'!$B$166,DO95+DN96-DW95)))</f>
        <v>275.18076923076961</v>
      </c>
      <c r="DP96" s="17">
        <f>DO96*VLOOKUP('Données projet'!$B$14,Paramètres!$A$1:$I$89,3,0)*VLOOKUP('Données projet'!$B$14,Paramètres!$A$1:$I$89,5,0)</f>
        <v>266.15484000000038</v>
      </c>
      <c r="DQ96" s="13">
        <f t="shared" si="97"/>
        <v>64.03254930755206</v>
      </c>
      <c r="DR96" s="20">
        <f t="shared" si="70"/>
        <v>575.07636971065381</v>
      </c>
      <c r="DS96" s="59">
        <f t="shared" si="71"/>
        <v>868.40970304398707</v>
      </c>
      <c r="DT96" s="59">
        <f ca="1">AVERAGE(OFFSET($DS$3,0,0,'Données projet'!$E$14+1,1))-AVERAGE(OFFSET($H$3,0,0,'Données projet'!$E$14+1,1))</f>
        <v>407.73540492005355</v>
      </c>
      <c r="DU96" s="59">
        <f t="shared" si="98"/>
        <v>296.29416764204774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41.758022849695514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41.758022849695514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328.00000000000017</v>
      </c>
      <c r="EK96" s="17">
        <f>EJ96*VLOOKUP('Données projet'!$B$15,Paramètres!$A$1:$I$89,3,0)*VLOOKUP('Données projet'!$B$15,Paramètres!$A$1:$I$89,5,0)</f>
        <v>255.84000000000015</v>
      </c>
      <c r="EL96" s="13">
        <f t="shared" si="99"/>
        <v>61.834803371075886</v>
      </c>
      <c r="EM96" s="20">
        <f t="shared" si="73"/>
        <v>553.28361587129086</v>
      </c>
      <c r="EN96" s="59">
        <f t="shared" si="74"/>
        <v>846.61694920462423</v>
      </c>
      <c r="EO96" s="59">
        <f ca="1">AVERAGE(OFFSET($EN$3,0,0,'Données projet'!$E$15+1,1))-AVERAGE(OFFSET($H$3,0,0,'Données projet'!$E$15+1,1))</f>
        <v>288.80569134263209</v>
      </c>
      <c r="EP96" s="59">
        <f t="shared" si="100"/>
        <v>283.48738729114024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12.636995094337776</v>
      </c>
      <c r="EW96" s="21">
        <f>EXP(-LN(2)/25)*EW95+(1-EXP(-LN(2)/25))/(LN(2)/25)*Calculateur!ER96*Calculateur!ET96*VLOOKUP('Données projet'!$B$15,Paramètres!$A$1:$I$89,3,0)*0.475*44/12</f>
        <v>10.1554142353488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22.792409329686578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845.85265412495482</v>
      </c>
      <c r="S97" s="59">
        <f ca="1">AVERAGE(OFFSET($R$3,0,0,'Données projet'!$E$9+1,1))-AVERAGE(OFFSET($H$3,0,0,'Données projet'!$E$9+1,1))</f>
        <v>384.05928630855732</v>
      </c>
      <c r="T97" s="59">
        <f t="shared" si="88"/>
        <v>279.93992813630513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7.539173789173784</v>
      </c>
      <c r="AI97" s="13">
        <f>IF('Données projet'!$A$62&gt;35,AI96+AH97-AQ96,IF(A97&lt;'Données projet'!$A$62,$AF$205^A97,IF(A97='Données projet'!$A$62,'Données projet'!$B$62,AI96+AH97-AQ96)))</f>
        <v>279.7977207977205</v>
      </c>
      <c r="AJ97" s="13">
        <f>AI97*VLOOKUP('Données projet'!$B$10,Paramètres!$A$1:$I$89,3,0)*VLOOKUP('Données projet'!$B$10,Paramètres!$A$1:$I$89,5,0)</f>
        <v>235.70159999999976</v>
      </c>
      <c r="AK97" s="13">
        <f t="shared" si="89"/>
        <v>57.513738297490171</v>
      </c>
      <c r="AL97" s="20">
        <f t="shared" si="58"/>
        <v>510.68338086812832</v>
      </c>
      <c r="AM97" s="59">
        <f t="shared" si="59"/>
        <v>804.01671420146158</v>
      </c>
      <c r="AN97" s="59">
        <f ca="1">AVERAGE(OFFSET($AM$3,0,0,'Données projet'!$E$10+1,1))-AVERAGE(OFFSET($H$3,0,0,'Données projet'!$E$10+1,1))</f>
        <v>312.48716825299158</v>
      </c>
      <c r="AO97" s="59">
        <f t="shared" si="90"/>
        <v>258.68277822755357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61.609315481422435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61.609315481422435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367.99999999999972</v>
      </c>
      <c r="BE97" s="13">
        <f>BD97*VLOOKUP('Données projet'!$B$11,Paramètres!$A$1:$I$89,3,0)*VLOOKUP('Données projet'!$B$11,Paramètres!$A$1:$I$89,5,0)</f>
        <v>269.8175999999998</v>
      </c>
      <c r="BF97" s="13">
        <f t="shared" si="91"/>
        <v>64.810557882019467</v>
      </c>
      <c r="BG97" s="20">
        <f t="shared" si="61"/>
        <v>582.81070831118348</v>
      </c>
      <c r="BH97" s="59">
        <f t="shared" si="62"/>
        <v>876.14404164451685</v>
      </c>
      <c r="BI97" s="59">
        <f ca="1">AVERAGE(OFFSET($BH$3,0,0,'Données projet'!$E$11+1,1))-AVERAGE(OFFSET($H$3,0,0,'Données projet'!$E$11+1,1))</f>
        <v>376.58419691967526</v>
      </c>
      <c r="BJ97" s="59">
        <f t="shared" si="92"/>
        <v>365.76175372075869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34.255167747432601</v>
      </c>
      <c r="BQ97" s="21">
        <f>EXP(-LN(2)/25)*BQ96+(1-EXP(-LN(2)/25))/(LN(2)/25)*Calculateur!BL97*Calculateur!BN97*VLOOKUP('Données projet'!$B$11,Paramètres!$A$1:$I$89,3,0)*0.475*44/12</f>
        <v>3.6322223558690219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37.887390103301627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292.78079999999977</v>
      </c>
      <c r="CA97" s="13">
        <f t="shared" si="93"/>
        <v>69.660903052386217</v>
      </c>
      <c r="CB97" s="20">
        <f t="shared" si="64"/>
        <v>631.25263281623893</v>
      </c>
      <c r="CC97" s="59">
        <f t="shared" si="65"/>
        <v>924.58596614957219</v>
      </c>
      <c r="CD97" s="59">
        <f ca="1">AVERAGE(OFFSET($CC$3,0,0,'Données projet'!$E$12+1,1))-AVERAGE(OFFSET($H$3,0,0,'Données projet'!$E$12+1,1))</f>
        <v>405.40026823646758</v>
      </c>
      <c r="CE97" s="59">
        <f t="shared" si="94"/>
        <v>393.0787141050053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45.814803771059012</v>
      </c>
      <c r="CL97" s="21">
        <f>EXP(-LN(2)/25)*CL96+(1-EXP(-LN(2)/25))/(LN(2)/25)*Calculateur!CG97*Calculateur!CI97*VLOOKUP('Données projet'!$B$12,Paramètres!$A$1:$I$89,3,0)*0.475*44/12</f>
        <v>4.8579401424611417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50.672743913520151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3.2</v>
      </c>
      <c r="CT97" s="12">
        <f>IF('Données projet'!$A$140&gt;35,CT96+CS97-DB96,IF(A97&lt;'Données projet'!$A$140,$CQ$205^A97,IF(A97='Données projet'!$A$140,'Données projet'!$B$140,CT96+CS97-DB96)))</f>
        <v>266.7999999999999</v>
      </c>
      <c r="CU97" s="17">
        <f>CT97*VLOOKUP('Données projet'!$B$13,Paramètres!$A$1:$I$89,3,0)*VLOOKUP('Données projet'!$B$13,Paramètres!$A$1:$I$89,5,0)</f>
        <v>233.07647999999995</v>
      </c>
      <c r="CV97" s="13">
        <f t="shared" si="95"/>
        <v>56.947373142454879</v>
      </c>
      <c r="CW97" s="20">
        <f t="shared" si="67"/>
        <v>505.12487755644207</v>
      </c>
      <c r="CX97" s="59">
        <f t="shared" si="68"/>
        <v>798.45821088977539</v>
      </c>
      <c r="CY97" s="59">
        <f ca="1">AVERAGE(OFFSET($CX$3,0,0,'Données projet'!$E$13+1,1))-AVERAGE(OFFSET($H$3,0,0,'Données projet'!$E$13+1,1))</f>
        <v>381.72225529388083</v>
      </c>
      <c r="CZ97" s="59">
        <f t="shared" si="96"/>
        <v>360.05900046417361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33.25665318725283</v>
      </c>
      <c r="DG97" s="21">
        <f>EXP(-LN(2)/25)*DG96+(1-EXP(-LN(2)/25))/(LN(2)/25)*Calculateur!DB97*Calculateur!DD97*VLOOKUP('Données projet'!$B$13,Paramètres!$A$1:$I$89,3,0)*0.475*44/12</f>
        <v>14.685895574254449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47.942548761507283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7.1782051282051267</v>
      </c>
      <c r="DO97" s="12">
        <f>IF('Données projet'!$A$166&gt;35,DO96+DN97-DW96,IF(A97&lt;'Données projet'!$A$166,$DL$205^A97,IF(A97='Données projet'!$A$166,'Données projet'!$B$166,DO96+DN97-DW96)))</f>
        <v>282.35897435897476</v>
      </c>
      <c r="DP97" s="17">
        <f>DO97*VLOOKUP('Données projet'!$B$14,Paramètres!$A$1:$I$89,3,0)*VLOOKUP('Données projet'!$B$14,Paramètres!$A$1:$I$89,5,0)</f>
        <v>273.0976000000004</v>
      </c>
      <c r="DQ97" s="13">
        <f t="shared" si="97"/>
        <v>65.506221106930056</v>
      </c>
      <c r="DR97" s="20">
        <f t="shared" si="70"/>
        <v>589.73498842790389</v>
      </c>
      <c r="DS97" s="59">
        <f t="shared" si="71"/>
        <v>883.06832176123726</v>
      </c>
      <c r="DT97" s="59">
        <f ca="1">AVERAGE(OFFSET($DS$3,0,0,'Données projet'!$E$14+1,1))-AVERAGE(OFFSET($H$3,0,0,'Données projet'!$E$14+1,1))</f>
        <v>407.73540492005355</v>
      </c>
      <c r="DU97" s="59">
        <f t="shared" si="98"/>
        <v>296.29416764204774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40.939173491491985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40.939173491491985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328.00000000000017</v>
      </c>
      <c r="EK97" s="17">
        <f>EJ97*VLOOKUP('Données projet'!$B$15,Paramètres!$A$1:$I$89,3,0)*VLOOKUP('Données projet'!$B$15,Paramètres!$A$1:$I$89,5,0)</f>
        <v>255.84000000000015</v>
      </c>
      <c r="EL97" s="13">
        <f t="shared" si="99"/>
        <v>61.834803371075886</v>
      </c>
      <c r="EM97" s="20">
        <f t="shared" si="73"/>
        <v>553.28361587129086</v>
      </c>
      <c r="EN97" s="59">
        <f t="shared" si="74"/>
        <v>846.61694920462423</v>
      </c>
      <c r="EO97" s="59">
        <f ca="1">AVERAGE(OFFSET($EN$3,0,0,'Données projet'!$E$15+1,1))-AVERAGE(OFFSET($H$3,0,0,'Données projet'!$E$15+1,1))</f>
        <v>288.80569134263209</v>
      </c>
      <c r="EP97" s="59">
        <f t="shared" si="100"/>
        <v>283.48738729114024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12.389191328343736</v>
      </c>
      <c r="EW97" s="21">
        <f>EXP(-LN(2)/25)*EW96+(1-EXP(-LN(2)/25))/(LN(2)/25)*Calculateur!ER97*Calculateur!ET97*VLOOKUP('Données projet'!$B$15,Paramètres!$A$1:$I$89,3,0)*0.475*44/12</f>
        <v>9.8777138990331625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22.266905227376899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384.05928630855732</v>
      </c>
      <c r="T98" s="59">
        <f t="shared" si="88"/>
        <v>279.93992813630513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7.539173789173784</v>
      </c>
      <c r="AI98" s="13">
        <f>IF('Données projet'!$A$62&gt;35,AI97+AH98-AQ97,IF(A98&lt;'Données projet'!$A$62,$AF$205^A98,IF(A98='Données projet'!$A$62,'Données projet'!$B$62,AI97+AH98-AQ97)))</f>
        <v>287.33689458689429</v>
      </c>
      <c r="AJ98" s="13">
        <f>AI98*VLOOKUP('Données projet'!$B$10,Paramètres!$A$1:$I$89,3,0)*VLOOKUP('Données projet'!$B$10,Paramètres!$A$1:$I$89,5,0)</f>
        <v>242.05259999999979</v>
      </c>
      <c r="AK98" s="13">
        <f t="shared" si="89"/>
        <v>58.880938245493347</v>
      </c>
      <c r="AL98" s="20">
        <f t="shared" si="58"/>
        <v>524.1259124442339</v>
      </c>
      <c r="AM98" s="59">
        <f t="shared" si="59"/>
        <v>817.45924577756728</v>
      </c>
      <c r="AN98" s="59">
        <f ca="1">AVERAGE(OFFSET($AM$3,0,0,'Données projet'!$E$10+1,1))-AVERAGE(OFFSET($H$3,0,0,'Données projet'!$E$10+1,1))</f>
        <v>312.48716825299158</v>
      </c>
      <c r="AO98" s="59">
        <f t="shared" si="90"/>
        <v>258.68277822755357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60.401194382803666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60.401194382803666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367.99999999999972</v>
      </c>
      <c r="BE98" s="13">
        <f>BD98*VLOOKUP('Données projet'!$B$11,Paramètres!$A$1:$I$89,3,0)*VLOOKUP('Données projet'!$B$11,Paramètres!$A$1:$I$89,5,0)</f>
        <v>269.8175999999998</v>
      </c>
      <c r="BF98" s="13">
        <f t="shared" si="91"/>
        <v>64.810557882019467</v>
      </c>
      <c r="BG98" s="20">
        <f t="shared" si="61"/>
        <v>582.81070831118348</v>
      </c>
      <c r="BH98" s="59">
        <f t="shared" si="62"/>
        <v>876.14404164451685</v>
      </c>
      <c r="BI98" s="59">
        <f ca="1">AVERAGE(OFFSET($BH$3,0,0,'Données projet'!$E$11+1,1))-AVERAGE(OFFSET($H$3,0,0,'Données projet'!$E$11+1,1))</f>
        <v>376.58419691967526</v>
      </c>
      <c r="BJ98" s="59">
        <f t="shared" si="92"/>
        <v>365.76175372075869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33.5834448014947</v>
      </c>
      <c r="BQ98" s="21">
        <f>EXP(-LN(2)/25)*BQ97+(1-EXP(-LN(2)/25))/(LN(2)/25)*Calculateur!BL98*Calculateur!BN98*VLOOKUP('Données projet'!$B$11,Paramètres!$A$1:$I$89,3,0)*0.475*44/12</f>
        <v>3.5328990445375115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37.116343846032208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292.78079999999977</v>
      </c>
      <c r="CA98" s="13">
        <f t="shared" si="93"/>
        <v>69.660903052386217</v>
      </c>
      <c r="CB98" s="20">
        <f t="shared" si="64"/>
        <v>631.25263281623893</v>
      </c>
      <c r="CC98" s="59">
        <f t="shared" si="65"/>
        <v>924.58596614957219</v>
      </c>
      <c r="CD98" s="59">
        <f ca="1">AVERAGE(OFFSET($CC$3,0,0,'Données projet'!$E$12+1,1))-AVERAGE(OFFSET($H$3,0,0,'Données projet'!$E$12+1,1))</f>
        <v>405.40026823646758</v>
      </c>
      <c r="CE98" s="59">
        <f t="shared" si="94"/>
        <v>393.0787141050053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44.916403413379577</v>
      </c>
      <c r="CL98" s="21">
        <f>EXP(-LN(2)/25)*CL97+(1-EXP(-LN(2)/25))/(LN(2)/25)*Calculateur!CG98*Calculateur!CI98*VLOOKUP('Données projet'!$B$12,Paramètres!$A$1:$I$89,3,0)*0.475*44/12</f>
        <v>4.7250995137975726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49.64150292717715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270</v>
      </c>
      <c r="CR98" s="12">
        <f>VLOOKUP(A98,'Données projet'!$A$139:$I$159,9,0)</f>
        <v>3.2</v>
      </c>
      <c r="CS98" s="12">
        <f t="array" ref="CS98">INDEX(CR:CR,MIN(IF(ISNUMBER(CR98:CR294),ROW(CR98:CR294),"")))</f>
        <v>3.2</v>
      </c>
      <c r="CT98" s="12">
        <f>IF('Données projet'!$A$140&gt;35,CT97+CS98-DB97,IF(A98&lt;'Données projet'!$A$140,$CQ$205^A98,IF(A98='Données projet'!$A$140,'Données projet'!$B$140,CT97+CS98-DB97)))</f>
        <v>269.99999999999989</v>
      </c>
      <c r="CU98" s="17">
        <f>CT98*VLOOKUP('Données projet'!$B$13,Paramètres!$A$1:$I$89,3,0)*VLOOKUP('Données projet'!$B$13,Paramètres!$A$1:$I$89,5,0)</f>
        <v>235.87199999999996</v>
      </c>
      <c r="CV98" s="13">
        <f t="shared" si="95"/>
        <v>57.550476347015277</v>
      </c>
      <c r="CW98" s="20">
        <f t="shared" si="67"/>
        <v>511.04414630438487</v>
      </c>
      <c r="CX98" s="59">
        <f t="shared" si="68"/>
        <v>804.37747963771812</v>
      </c>
      <c r="CY98" s="59">
        <f ca="1">AVERAGE(OFFSET($CX$3,0,0,'Données projet'!$E$13+1,1))-AVERAGE(OFFSET($H$3,0,0,'Données projet'!$E$13+1,1))</f>
        <v>381.72225529388083</v>
      </c>
      <c r="CZ98" s="59">
        <f t="shared" si="96"/>
        <v>360.05900046417361</v>
      </c>
      <c r="DA98" s="15">
        <f>IF(ISNA(VLOOKUP(A98,'Données projet'!$A$139:$I$159,3,0)),0,VLOOKUP(A98,'Données projet'!$A$139:$I$159,3,0))</f>
        <v>16</v>
      </c>
      <c r="DB98" s="15" t="str">
        <f>IF(ISNA(VLOOKUP(A98,'Données projet'!$A$139:$I$159,4,0)),0,VLOOKUP(A98,'Données projet'!$A$139:$I$159,4,0))</f>
        <v>13</v>
      </c>
      <c r="DC98" s="16">
        <f>IF(ISNA(VLOOKUP(A98,'Données projet'!$A$139:$I$159,5,0)),0%,VLOOKUP(A98,'Données projet'!$A$139:$I$159,5,0)*VLOOKUP('Données projet'!$B$13,Paramètres!$A$1:$I$89,7,0))</f>
        <v>0.34400000000000003</v>
      </c>
      <c r="DD98" s="16">
        <f>IF(ISNA(VLOOKUP(A98,'Données projet'!$A$139:$I$159,6,0)),0%,VLOOKUP(A98,'Données projet'!$A$139:$I$159,6,0)*VLOOKUP('Données projet'!$B$13,Paramètres!$A$1:$I$89,7,0))</f>
        <v>4.3000000000000003E-2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36.923294968966566</v>
      </c>
      <c r="DG98" s="21">
        <f>EXP(-LN(2)/25)*DG97+(1-EXP(-LN(2)/25))/(LN(2)/25)*Calculateur!DB98*Calculateur!DD98*VLOOKUP('Données projet'!$B$13,Paramètres!$A$1:$I$89,3,0)*0.475*44/12</f>
        <v>14.822031458245164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51.745326427211729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7.1782051282051267</v>
      </c>
      <c r="DO98" s="12">
        <f>IF('Données projet'!$A$166&gt;35,DO97+DN98-DW97,IF(A98&lt;'Données projet'!$A$166,$DL$205^A98,IF(A98='Données projet'!$A$166,'Données projet'!$B$166,DO97+DN98-DW97)))</f>
        <v>289.53717948717991</v>
      </c>
      <c r="DP98" s="17">
        <f>DO98*VLOOKUP('Données projet'!$B$14,Paramètres!$A$1:$I$89,3,0)*VLOOKUP('Données projet'!$B$14,Paramètres!$A$1:$I$89,5,0)</f>
        <v>280.04036000000042</v>
      </c>
      <c r="DQ98" s="13">
        <f t="shared" si="97"/>
        <v>66.975538037771926</v>
      </c>
      <c r="DR98" s="20">
        <f t="shared" si="70"/>
        <v>604.3860224157869</v>
      </c>
      <c r="DS98" s="59">
        <f t="shared" si="71"/>
        <v>897.71935574912027</v>
      </c>
      <c r="DT98" s="59">
        <f ca="1">AVERAGE(OFFSET($DS$3,0,0,'Données projet'!$E$14+1,1))-AVERAGE(OFFSET($H$3,0,0,'Données projet'!$E$14+1,1))</f>
        <v>407.73540492005355</v>
      </c>
      <c r="DU98" s="59">
        <f t="shared" si="98"/>
        <v>296.29416764204774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40.136381269754033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40.136381269754033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328.00000000000017</v>
      </c>
      <c r="EK98" s="17">
        <f>EJ98*VLOOKUP('Données projet'!$B$15,Paramètres!$A$1:$I$89,3,0)*VLOOKUP('Données projet'!$B$15,Paramètres!$A$1:$I$89,5,0)</f>
        <v>255.84000000000015</v>
      </c>
      <c r="EL98" s="13">
        <f t="shared" si="99"/>
        <v>61.834803371075886</v>
      </c>
      <c r="EM98" s="20">
        <f t="shared" si="73"/>
        <v>553.28361587129086</v>
      </c>
      <c r="EN98" s="59">
        <f t="shared" si="74"/>
        <v>846.61694920462423</v>
      </c>
      <c r="EO98" s="59">
        <f ca="1">AVERAGE(OFFSET($EN$3,0,0,'Données projet'!$E$15+1,1))-AVERAGE(OFFSET($H$3,0,0,'Données projet'!$E$15+1,1))</f>
        <v>288.80569134263209</v>
      </c>
      <c r="EP98" s="59">
        <f t="shared" si="100"/>
        <v>283.48738729114024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12.146246843055469</v>
      </c>
      <c r="EW98" s="21">
        <f>EXP(-LN(2)/25)*EW97+(1-EXP(-LN(2)/25))/(LN(2)/25)*Calculateur!ER98*Calculateur!ET98*VLOOKUP('Données projet'!$B$15,Paramètres!$A$1:$I$89,3,0)*0.475*44/12</f>
        <v>9.6076072930177023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21.753854136073173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873.29462574943022</v>
      </c>
      <c r="S99" s="59">
        <f ca="1">AVERAGE(OFFSET($R$3,0,0,'Données projet'!$E$9+1,1))-AVERAGE(OFFSET($H$3,0,0,'Données projet'!$E$9+1,1))</f>
        <v>384.05928630855732</v>
      </c>
      <c r="T99" s="59">
        <f t="shared" si="88"/>
        <v>279.93992813630513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7.539173789173784</v>
      </c>
      <c r="AI99" s="13">
        <f>IF('Données projet'!$A$62&gt;35,AI98+AH99-AQ98,IF(A99&lt;'Données projet'!$A$62,$AF$205^A99,IF(A99='Données projet'!$A$62,'Données projet'!$B$62,AI98+AH99-AQ98)))</f>
        <v>294.87606837606808</v>
      </c>
      <c r="AJ99" s="13">
        <f>AI99*VLOOKUP('Données projet'!$B$10,Paramètres!$A$1:$I$89,3,0)*VLOOKUP('Données projet'!$B$10,Paramètres!$A$1:$I$89,5,0)</f>
        <v>248.40359999999976</v>
      </c>
      <c r="AK99" s="13">
        <f t="shared" si="89"/>
        <v>60.243968472342353</v>
      </c>
      <c r="AL99" s="20">
        <f t="shared" si="58"/>
        <v>537.56118175599579</v>
      </c>
      <c r="AM99" s="59">
        <f t="shared" si="59"/>
        <v>830.89451508932916</v>
      </c>
      <c r="AN99" s="59">
        <f ca="1">AVERAGE(OFFSET($AM$3,0,0,'Données projet'!$E$10+1,1))-AVERAGE(OFFSET($H$3,0,0,'Données projet'!$E$10+1,1))</f>
        <v>312.48716825299158</v>
      </c>
      <c r="AO99" s="59">
        <f t="shared" si="90"/>
        <v>258.68277822755357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59.216763802047701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59.216763802047701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367.99999999999972</v>
      </c>
      <c r="BE99" s="13">
        <f>BD99*VLOOKUP('Données projet'!$B$11,Paramètres!$A$1:$I$89,3,0)*VLOOKUP('Données projet'!$B$11,Paramètres!$A$1:$I$89,5,0)</f>
        <v>269.8175999999998</v>
      </c>
      <c r="BF99" s="13">
        <f t="shared" si="91"/>
        <v>64.810557882019467</v>
      </c>
      <c r="BG99" s="20">
        <f t="shared" si="61"/>
        <v>582.81070831118348</v>
      </c>
      <c r="BH99" s="59">
        <f t="shared" si="62"/>
        <v>876.14404164451685</v>
      </c>
      <c r="BI99" s="59">
        <f ca="1">AVERAGE(OFFSET($BH$3,0,0,'Données projet'!$E$11+1,1))-AVERAGE(OFFSET($H$3,0,0,'Données projet'!$E$11+1,1))</f>
        <v>376.58419691967526</v>
      </c>
      <c r="BJ99" s="59">
        <f t="shared" si="92"/>
        <v>365.76175372075869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32.924893932816104</v>
      </c>
      <c r="BQ99" s="21">
        <f>EXP(-LN(2)/25)*BQ98+(1-EXP(-LN(2)/25))/(LN(2)/25)*Calculateur!BL99*Calculateur!BN99*VLOOKUP('Données projet'!$B$11,Paramètres!$A$1:$I$89,3,0)*0.475*44/12</f>
        <v>3.436291734377547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36.361185667193652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292.78079999999977</v>
      </c>
      <c r="CA99" s="13">
        <f t="shared" si="93"/>
        <v>69.660903052386217</v>
      </c>
      <c r="CB99" s="20">
        <f t="shared" si="64"/>
        <v>631.25263281623893</v>
      </c>
      <c r="CC99" s="59">
        <f t="shared" si="65"/>
        <v>924.58596614957219</v>
      </c>
      <c r="CD99" s="59">
        <f ca="1">AVERAGE(OFFSET($CC$3,0,0,'Données projet'!$E$12+1,1))-AVERAGE(OFFSET($H$3,0,0,'Données projet'!$E$12+1,1))</f>
        <v>405.40026823646758</v>
      </c>
      <c r="CE99" s="59">
        <f t="shared" si="94"/>
        <v>393.0787141050053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44.035620138744122</v>
      </c>
      <c r="CL99" s="21">
        <f>EXP(-LN(2)/25)*CL98+(1-EXP(-LN(2)/25))/(LN(2)/25)*Calculateur!CG99*Calculateur!CI99*VLOOKUP('Données projet'!$B$12,Paramètres!$A$1:$I$89,3,0)*0.475*44/12</f>
        <v>4.5958914191105942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48.631511557854715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3.2</v>
      </c>
      <c r="CT99" s="12">
        <f>IF('Données projet'!$A$140&gt;35,CT98+CS99-DB98,IF(A99&lt;'Données projet'!$A$140,$CQ$205^A99,IF(A99='Données projet'!$A$140,'Données projet'!$B$140,CT98+CS99-DB98)))</f>
        <v>260.19999999999987</v>
      </c>
      <c r="CU99" s="17">
        <f>CT99*VLOOKUP('Données projet'!$B$13,Paramètres!$A$1:$I$89,3,0)*VLOOKUP('Données projet'!$B$13,Paramètres!$A$1:$I$89,5,0)</f>
        <v>227.31071999999989</v>
      </c>
      <c r="CV99" s="13">
        <f t="shared" si="95"/>
        <v>55.700798883800765</v>
      </c>
      <c r="CW99" s="20">
        <f t="shared" si="67"/>
        <v>492.91172872261944</v>
      </c>
      <c r="CX99" s="59">
        <f t="shared" si="68"/>
        <v>786.24506205595276</v>
      </c>
      <c r="CY99" s="59">
        <f ca="1">AVERAGE(OFFSET($CX$3,0,0,'Données projet'!$E$13+1,1))-AVERAGE(OFFSET($H$3,0,0,'Données projet'!$E$13+1,1))</f>
        <v>381.72225529388083</v>
      </c>
      <c r="CZ99" s="59">
        <f t="shared" si="96"/>
        <v>360.05900046417361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36.199251675611301</v>
      </c>
      <c r="DG99" s="21">
        <f>EXP(-LN(2)/25)*DG98+(1-EXP(-LN(2)/25))/(LN(2)/25)*Calculateur!DB99*Calculateur!DD99*VLOOKUP('Données projet'!$B$13,Paramètres!$A$1:$I$89,3,0)*0.475*44/12</f>
        <v>14.416722228562691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50.615973904173991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7.1782051282051267</v>
      </c>
      <c r="DO99" s="12">
        <f>IF('Données projet'!$A$166&gt;35,DO98+DN99-DW98,IF(A99&lt;'Données projet'!$A$166,$DL$205^A99,IF(A99='Données projet'!$A$166,'Données projet'!$B$166,DO98+DN99-DW98)))</f>
        <v>296.71538461538506</v>
      </c>
      <c r="DP99" s="17">
        <f>DO99*VLOOKUP('Données projet'!$B$14,Paramètres!$A$1:$I$89,3,0)*VLOOKUP('Données projet'!$B$14,Paramètres!$A$1:$I$89,5,0)</f>
        <v>286.98312000000044</v>
      </c>
      <c r="DQ99" s="13">
        <f t="shared" si="97"/>
        <v>68.44062048439541</v>
      </c>
      <c r="DR99" s="20">
        <f t="shared" si="70"/>
        <v>619.02968134365608</v>
      </c>
      <c r="DS99" s="59">
        <f t="shared" si="71"/>
        <v>912.36301467698945</v>
      </c>
      <c r="DT99" s="59">
        <f ca="1">AVERAGE(OFFSET($DS$3,0,0,'Données projet'!$E$14+1,1))-AVERAGE(OFFSET($H$3,0,0,'Données projet'!$E$14+1,1))</f>
        <v>407.73540492005355</v>
      </c>
      <c r="DU99" s="59">
        <f t="shared" si="98"/>
        <v>296.29416764204774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39.349331313829452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39.349331313829452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328.00000000000017</v>
      </c>
      <c r="EK99" s="17">
        <f>EJ99*VLOOKUP('Données projet'!$B$15,Paramètres!$A$1:$I$89,3,0)*VLOOKUP('Données projet'!$B$15,Paramètres!$A$1:$I$89,5,0)</f>
        <v>255.84000000000015</v>
      </c>
      <c r="EL99" s="13">
        <f t="shared" si="99"/>
        <v>61.834803371075886</v>
      </c>
      <c r="EM99" s="20">
        <f t="shared" si="73"/>
        <v>553.28361587129086</v>
      </c>
      <c r="EN99" s="59">
        <f t="shared" si="74"/>
        <v>846.61694920462423</v>
      </c>
      <c r="EO99" s="59">
        <f ca="1">AVERAGE(OFFSET($EN$3,0,0,'Données projet'!$E$15+1,1))-AVERAGE(OFFSET($H$3,0,0,'Données projet'!$E$15+1,1))</f>
        <v>288.80569134263209</v>
      </c>
      <c r="EP99" s="59">
        <f t="shared" si="100"/>
        <v>283.48738729114024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11.908066350942198</v>
      </c>
      <c r="EW99" s="21">
        <f>EXP(-LN(2)/25)*EW98+(1-EXP(-LN(2)/25))/(LN(2)/25)*Calculateur!ER99*Calculateur!ET99*VLOOKUP('Données projet'!$B$15,Paramètres!$A$1:$I$89,3,0)*0.475*44/12</f>
        <v>9.344886766348024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21.252953117290222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887.00536959875785</v>
      </c>
      <c r="S100" s="59">
        <f ca="1">AVERAGE(OFFSET($R$3,0,0,'Données projet'!$E$9+1,1))-AVERAGE(OFFSET($H$3,0,0,'Données projet'!$E$9+1,1))</f>
        <v>384.05928630855732</v>
      </c>
      <c r="T100" s="59">
        <f t="shared" si="88"/>
        <v>279.93992813630513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7.539173789173784</v>
      </c>
      <c r="AI100" s="13">
        <f>IF('Données projet'!$A$62&gt;35,AI99+AH100-AQ99,IF(A100&lt;'Données projet'!$A$62,$AF$205^A100,IF(A100='Données projet'!$A$62,'Données projet'!$B$62,AI99+AH100-AQ99)))</f>
        <v>302.41524216524186</v>
      </c>
      <c r="AJ100" s="13">
        <f>AI100*VLOOKUP('Données projet'!$B$10,Paramètres!$A$1:$I$89,3,0)*VLOOKUP('Données projet'!$B$10,Paramètres!$A$1:$I$89,5,0)</f>
        <v>254.75459999999978</v>
      </c>
      <c r="AK100" s="13">
        <f t="shared" si="89"/>
        <v>61.602947844885598</v>
      </c>
      <c r="AL100" s="20">
        <f t="shared" si="58"/>
        <v>550.98939582984201</v>
      </c>
      <c r="AM100" s="59">
        <f t="shared" si="59"/>
        <v>844.32272916317538</v>
      </c>
      <c r="AN100" s="59">
        <f ca="1">AVERAGE(OFFSET($AM$3,0,0,'Données projet'!$E$10+1,1))-AVERAGE(OFFSET($H$3,0,0,'Données projet'!$E$10+1,1))</f>
        <v>312.48716825299158</v>
      </c>
      <c r="AO100" s="59">
        <f t="shared" si="90"/>
        <v>258.68277822755357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58.055559182549047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58.055559182549047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367.99999999999972</v>
      </c>
      <c r="BE100" s="13">
        <f>BD100*VLOOKUP('Données projet'!$B$11,Paramètres!$A$1:$I$89,3,0)*VLOOKUP('Données projet'!$B$11,Paramètres!$A$1:$I$89,5,0)</f>
        <v>269.8175999999998</v>
      </c>
      <c r="BF100" s="13">
        <f t="shared" si="91"/>
        <v>64.810557882019467</v>
      </c>
      <c r="BG100" s="20">
        <f t="shared" si="61"/>
        <v>582.81070831118348</v>
      </c>
      <c r="BH100" s="59">
        <f t="shared" si="62"/>
        <v>876.14404164451685</v>
      </c>
      <c r="BI100" s="59">
        <f ca="1">AVERAGE(OFFSET($BH$3,0,0,'Données projet'!$E$11+1,1))-AVERAGE(OFFSET($H$3,0,0,'Données projet'!$E$11+1,1))</f>
        <v>376.58419691967526</v>
      </c>
      <c r="BJ100" s="59">
        <f t="shared" si="92"/>
        <v>365.76175372075869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32.279256844995928</v>
      </c>
      <c r="BQ100" s="21">
        <f>EXP(-LN(2)/25)*BQ99+(1-EXP(-LN(2)/25))/(LN(2)/25)*Calculateur!BL100*Calculateur!BN100*VLOOKUP('Données projet'!$B$11,Paramètres!$A$1:$I$89,3,0)*0.475*44/12</f>
        <v>3.3423261561942645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35.621583001190189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292.78079999999977</v>
      </c>
      <c r="CA100" s="13">
        <f t="shared" si="93"/>
        <v>69.660903052386217</v>
      </c>
      <c r="CB100" s="20">
        <f t="shared" si="64"/>
        <v>631.25263281623893</v>
      </c>
      <c r="CC100" s="59">
        <f t="shared" si="65"/>
        <v>924.58596614957219</v>
      </c>
      <c r="CD100" s="59">
        <f ca="1">AVERAGE(OFFSET($CC$3,0,0,'Données projet'!$E$12+1,1))-AVERAGE(OFFSET($H$3,0,0,'Données projet'!$E$12+1,1))</f>
        <v>405.40026823646758</v>
      </c>
      <c r="CE100" s="59">
        <f t="shared" si="94"/>
        <v>393.0787141050053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43.172108486899518</v>
      </c>
      <c r="CL100" s="21">
        <f>EXP(-LN(2)/25)*CL99+(1-EXP(-LN(2)/25))/(LN(2)/25)*Calculateur!CG100*Calculateur!CI100*VLOOKUP('Données projet'!$B$12,Paramètres!$A$1:$I$89,3,0)*0.475*44/12</f>
        <v>4.4702165265675893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47.642325013467108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3.2</v>
      </c>
      <c r="CT100" s="12">
        <f>IF('Données projet'!$A$140&gt;35,CT99+CS100-DB99,IF(A100&lt;'Données projet'!$A$140,$CQ$205^A100,IF(A100='Données projet'!$A$140,'Données projet'!$B$140,CT99+CS100-DB99)))</f>
        <v>263.39999999999986</v>
      </c>
      <c r="CU100" s="17">
        <f>CT100*VLOOKUP('Données projet'!$B$13,Paramètres!$A$1:$I$89,3,0)*VLOOKUP('Données projet'!$B$13,Paramètres!$A$1:$I$89,5,0)</f>
        <v>230.1062399999999</v>
      </c>
      <c r="CV100" s="13">
        <f t="shared" si="95"/>
        <v>56.30565248558618</v>
      </c>
      <c r="CW100" s="20">
        <f t="shared" si="67"/>
        <v>498.83404607906238</v>
      </c>
      <c r="CX100" s="59">
        <f t="shared" si="68"/>
        <v>792.16737941239569</v>
      </c>
      <c r="CY100" s="59">
        <f ca="1">AVERAGE(OFFSET($CX$3,0,0,'Données projet'!$E$13+1,1))-AVERAGE(OFFSET($H$3,0,0,'Données projet'!$E$13+1,1))</f>
        <v>381.72225529388083</v>
      </c>
      <c r="CZ100" s="59">
        <f t="shared" si="96"/>
        <v>360.05900046417361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35.489406429615926</v>
      </c>
      <c r="DG100" s="21">
        <f>EXP(-LN(2)/25)*DG99+(1-EXP(-LN(2)/25))/(LN(2)/25)*Calculateur!DB100*Calculateur!DD100*VLOOKUP('Données projet'!$B$13,Paramètres!$A$1:$I$89,3,0)*0.475*44/12</f>
        <v>14.022496201080171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49.511902630696099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7.1782051282051267</v>
      </c>
      <c r="DO100" s="12">
        <f>IF('Données projet'!$A$166&gt;35,DO99+DN100-DW99,IF(A100&lt;'Données projet'!$A$166,$DL$205^A100,IF(A100='Données projet'!$A$166,'Données projet'!$B$166,DO99+DN100-DW99)))</f>
        <v>303.89358974359021</v>
      </c>
      <c r="DP100" s="17">
        <f>DO100*VLOOKUP('Données projet'!$B$14,Paramètres!$A$1:$I$89,3,0)*VLOOKUP('Données projet'!$B$14,Paramètres!$A$1:$I$89,5,0)</f>
        <v>293.92588000000046</v>
      </c>
      <c r="DQ100" s="13">
        <f t="shared" si="97"/>
        <v>69.901582674251259</v>
      </c>
      <c r="DR100" s="20">
        <f t="shared" si="70"/>
        <v>633.66616415765509</v>
      </c>
      <c r="DS100" s="59">
        <f t="shared" si="71"/>
        <v>926.99949749098846</v>
      </c>
      <c r="DT100" s="59">
        <f ca="1">AVERAGE(OFFSET($DS$3,0,0,'Données projet'!$E$14+1,1))-AVERAGE(OFFSET($H$3,0,0,'Données projet'!$E$14+1,1))</f>
        <v>407.73540492005355</v>
      </c>
      <c r="DU100" s="59">
        <f t="shared" si="98"/>
        <v>296.29416764204774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38.577714927487484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38.577714927487484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328.00000000000017</v>
      </c>
      <c r="EK100" s="17">
        <f>EJ100*VLOOKUP('Données projet'!$B$15,Paramètres!$A$1:$I$89,3,0)*VLOOKUP('Données projet'!$B$15,Paramètres!$A$1:$I$89,5,0)</f>
        <v>255.84000000000015</v>
      </c>
      <c r="EL100" s="13">
        <f t="shared" si="99"/>
        <v>61.834803371075886</v>
      </c>
      <c r="EM100" s="20">
        <f t="shared" si="73"/>
        <v>553.28361587129086</v>
      </c>
      <c r="EN100" s="59">
        <f t="shared" si="74"/>
        <v>846.61694920462423</v>
      </c>
      <c r="EO100" s="59">
        <f ca="1">AVERAGE(OFFSET($EN$3,0,0,'Données projet'!$E$15+1,1))-AVERAGE(OFFSET($H$3,0,0,'Données projet'!$E$15+1,1))</f>
        <v>288.80569134263209</v>
      </c>
      <c r="EP100" s="59">
        <f t="shared" si="100"/>
        <v>283.48738729114024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11.674556433003513</v>
      </c>
      <c r="EW100" s="21">
        <f>EXP(-LN(2)/25)*EW99+(1-EXP(-LN(2)/25))/(LN(2)/25)*Calculateur!ER100*Calculateur!ET100*VLOOKUP('Données projet'!$B$15,Paramètres!$A$1:$I$89,3,0)*0.475*44/12</f>
        <v>9.0893503462959995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20.763906779299511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900.70952618840192</v>
      </c>
      <c r="S101" s="59">
        <f ca="1">AVERAGE(OFFSET($R$3,0,0,'Données projet'!$E$9+1,1))-AVERAGE(OFFSET($H$3,0,0,'Données projet'!$E$9+1,1))</f>
        <v>384.05928630855732</v>
      </c>
      <c r="T101" s="59">
        <f t="shared" si="88"/>
        <v>279.93992813630513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7.539173789173784</v>
      </c>
      <c r="AI101" s="13">
        <f>IF('Données projet'!$A$62&gt;35,AI100+AH101-AQ100,IF(A101&lt;'Données projet'!$A$62,$AF$205^A101,IF(A101='Données projet'!$A$62,'Données projet'!$B$62,AI100+AH101-AQ100)))</f>
        <v>309.95441595441565</v>
      </c>
      <c r="AJ101" s="13">
        <f>AI101*VLOOKUP('Données projet'!$B$10,Paramètres!$A$1:$I$89,3,0)*VLOOKUP('Données projet'!$B$10,Paramètres!$A$1:$I$89,5,0)</f>
        <v>261.10559999999975</v>
      </c>
      <c r="AK101" s="13">
        <f t="shared" si="89"/>
        <v>62.9579889655027</v>
      </c>
      <c r="AL101" s="20">
        <f t="shared" si="58"/>
        <v>564.41075078158337</v>
      </c>
      <c r="AM101" s="59">
        <f t="shared" si="59"/>
        <v>857.74408411491663</v>
      </c>
      <c r="AN101" s="59">
        <f ca="1">AVERAGE(OFFSET($AM$3,0,0,'Données projet'!$E$10+1,1))-AVERAGE(OFFSET($H$3,0,0,'Données projet'!$E$10+1,1))</f>
        <v>312.48716825299158</v>
      </c>
      <c r="AO101" s="59">
        <f t="shared" si="90"/>
        <v>258.68277822755357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56.917125077373875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56.917125077373875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367.99999999999972</v>
      </c>
      <c r="BE101" s="13">
        <f>BD101*VLOOKUP('Données projet'!$B$11,Paramètres!$A$1:$I$89,3,0)*VLOOKUP('Données projet'!$B$11,Paramètres!$A$1:$I$89,5,0)</f>
        <v>269.8175999999998</v>
      </c>
      <c r="BF101" s="13">
        <f t="shared" si="91"/>
        <v>64.810557882019467</v>
      </c>
      <c r="BG101" s="20">
        <f t="shared" si="61"/>
        <v>582.81070831118348</v>
      </c>
      <c r="BH101" s="59">
        <f t="shared" si="62"/>
        <v>876.14404164451685</v>
      </c>
      <c r="BI101" s="59">
        <f ca="1">AVERAGE(OFFSET($BH$3,0,0,'Données projet'!$E$11+1,1))-AVERAGE(OFFSET($H$3,0,0,'Données projet'!$E$11+1,1))</f>
        <v>376.58419691967526</v>
      </c>
      <c r="BJ101" s="59">
        <f t="shared" si="92"/>
        <v>365.76175372075869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31.646280306668164</v>
      </c>
      <c r="BQ101" s="21">
        <f>EXP(-LN(2)/25)*BQ100+(1-EXP(-LN(2)/25))/(LN(2)/25)*Calculateur!BL101*Calculateur!BN101*VLOOKUP('Données projet'!$B$11,Paramètres!$A$1:$I$89,3,0)*0.475*44/12</f>
        <v>3.2509300716878387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34.897210378356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292.78079999999977</v>
      </c>
      <c r="CA101" s="13">
        <f t="shared" si="93"/>
        <v>69.660903052386217</v>
      </c>
      <c r="CB101" s="20">
        <f t="shared" si="64"/>
        <v>631.25263281623893</v>
      </c>
      <c r="CC101" s="59">
        <f t="shared" si="65"/>
        <v>924.58596614957219</v>
      </c>
      <c r="CD101" s="59">
        <f ca="1">AVERAGE(OFFSET($CC$3,0,0,'Données projet'!$E$12+1,1))-AVERAGE(OFFSET($H$3,0,0,'Données projet'!$E$12+1,1))</f>
        <v>405.40026823646758</v>
      </c>
      <c r="CE101" s="59">
        <f t="shared" si="94"/>
        <v>393.0787141050053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42.325529771857489</v>
      </c>
      <c r="CL101" s="21">
        <f>EXP(-LN(2)/25)*CL100+(1-EXP(-LN(2)/25))/(LN(2)/25)*Calculateur!CG101*Calculateur!CI101*VLOOKUP('Données projet'!$B$12,Paramètres!$A$1:$I$89,3,0)*0.475*44/12</f>
        <v>4.3479782205701278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46.673507992427616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3.2</v>
      </c>
      <c r="CT101" s="12">
        <f>IF('Données projet'!$A$140&gt;35,CT100+CS101-DB100,IF(A101&lt;'Données projet'!$A$140,$CQ$205^A101,IF(A101='Données projet'!$A$140,'Données projet'!$B$140,CT100+CS101-DB100)))</f>
        <v>266.59999999999985</v>
      </c>
      <c r="CU101" s="17">
        <f>CT101*VLOOKUP('Données projet'!$B$13,Paramètres!$A$1:$I$89,3,0)*VLOOKUP('Données projet'!$B$13,Paramètres!$A$1:$I$89,5,0)</f>
        <v>232.90175999999991</v>
      </c>
      <c r="CV101" s="13">
        <f t="shared" si="95"/>
        <v>56.909651332233828</v>
      </c>
      <c r="CW101" s="20">
        <f t="shared" si="67"/>
        <v>504.7548747369737</v>
      </c>
      <c r="CX101" s="59">
        <f t="shared" si="68"/>
        <v>798.08820807030702</v>
      </c>
      <c r="CY101" s="59">
        <f ca="1">AVERAGE(OFFSET($CX$3,0,0,'Données projet'!$E$13+1,1))-AVERAGE(OFFSET($H$3,0,0,'Données projet'!$E$13+1,1))</f>
        <v>381.72225529388083</v>
      </c>
      <c r="CZ101" s="59">
        <f t="shared" si="96"/>
        <v>360.05900046417361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34.793480815931673</v>
      </c>
      <c r="DG101" s="21">
        <f>EXP(-LN(2)/25)*DG100+(1-EXP(-LN(2)/25))/(LN(2)/25)*Calculateur!DB101*Calculateur!DD101*VLOOKUP('Données projet'!$B$13,Paramètres!$A$1:$I$89,3,0)*0.475*44/12</f>
        <v>13.639050305050608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48.432531120982283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7.1782051282051267</v>
      </c>
      <c r="DO101" s="12">
        <f>IF('Données projet'!$A$166&gt;35,DO100+DN101-DW100,IF(A101&lt;'Données projet'!$A$166,$DL$205^A101,IF(A101='Données projet'!$A$166,'Données projet'!$B$166,DO100+DN101-DW100)))</f>
        <v>311.07179487179536</v>
      </c>
      <c r="DP101" s="17">
        <f>DO101*VLOOKUP('Données projet'!$B$14,Paramètres!$A$1:$I$89,3,0)*VLOOKUP('Données projet'!$B$14,Paramètres!$A$1:$I$89,5,0)</f>
        <v>300.86864000000048</v>
      </c>
      <c r="DQ101" s="13">
        <f t="shared" si="97"/>
        <v>71.358533130688585</v>
      </c>
      <c r="DR101" s="20">
        <f t="shared" si="70"/>
        <v>648.29565986928333</v>
      </c>
      <c r="DS101" s="59">
        <f t="shared" si="71"/>
        <v>941.62899320261658</v>
      </c>
      <c r="DT101" s="59">
        <f ca="1">AVERAGE(OFFSET($DS$3,0,0,'Données projet'!$E$14+1,1))-AVERAGE(OFFSET($H$3,0,0,'Données projet'!$E$14+1,1))</f>
        <v>407.73540492005355</v>
      </c>
      <c r="DU101" s="59">
        <f t="shared" si="98"/>
        <v>296.29416764204774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37.821229467842159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37.821229467842159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328.00000000000017</v>
      </c>
      <c r="EK101" s="17">
        <f>EJ101*VLOOKUP('Données projet'!$B$15,Paramètres!$A$1:$I$89,3,0)*VLOOKUP('Données projet'!$B$15,Paramètres!$A$1:$I$89,5,0)</f>
        <v>255.84000000000015</v>
      </c>
      <c r="EL101" s="13">
        <f t="shared" si="99"/>
        <v>61.834803371075886</v>
      </c>
      <c r="EM101" s="20">
        <f t="shared" si="73"/>
        <v>553.28361587129086</v>
      </c>
      <c r="EN101" s="59">
        <f t="shared" si="74"/>
        <v>846.61694920462423</v>
      </c>
      <c r="EO101" s="59">
        <f ca="1">AVERAGE(OFFSET($EN$3,0,0,'Données projet'!$E$15+1,1))-AVERAGE(OFFSET($H$3,0,0,'Données projet'!$E$15+1,1))</f>
        <v>288.80569134263209</v>
      </c>
      <c r="EP101" s="59">
        <f t="shared" si="100"/>
        <v>283.48738729114024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11.445625502128619</v>
      </c>
      <c r="EW101" s="21">
        <f>EXP(-LN(2)/25)*EW100+(1-EXP(-LN(2)/25))/(LN(2)/25)*Calculateur!ER101*Calculateur!ET101*VLOOKUP('Données projet'!$B$15,Paramètres!$A$1:$I$89,3,0)*0.475*44/12</f>
        <v>8.8408015830883748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20.286427085216992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914.40726502028178</v>
      </c>
      <c r="S102" s="59">
        <f ca="1">AVERAGE(OFFSET($R$3,0,0,'Données projet'!$E$9+1,1))-AVERAGE(OFFSET($H$3,0,0,'Données projet'!$E$9+1,1))</f>
        <v>384.05928630855732</v>
      </c>
      <c r="T102" s="59">
        <f t="shared" si="88"/>
        <v>279.93992813630513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317.49358974358972</v>
      </c>
      <c r="AG102" s="12">
        <f>VLOOKUP(A102,'Données projet'!$A$61:$I$81,9,0)</f>
        <v>7.539173789173784</v>
      </c>
      <c r="AH102" s="12">
        <f t="array" ref="AH102">INDEX(AG:AG,MIN(IF(ISNUMBER(AG102:AG298),ROW(AG102:AG298),"")))</f>
        <v>7.539173789173784</v>
      </c>
      <c r="AI102" s="13">
        <f>IF('Données projet'!$A$62&gt;35,AI101+AH102-AQ101,IF(A102&lt;'Données projet'!$A$62,$AF$205^A102,IF(A102='Données projet'!$A$62,'Données projet'!$B$62,AI101+AH102-AQ101)))</f>
        <v>317.49358974358944</v>
      </c>
      <c r="AJ102" s="13">
        <f>AI102*VLOOKUP('Données projet'!$B$10,Paramètres!$A$1:$I$89,3,0)*VLOOKUP('Données projet'!$B$10,Paramètres!$A$1:$I$89,5,0)</f>
        <v>267.45659999999975</v>
      </c>
      <c r="AK102" s="13">
        <f t="shared" si="89"/>
        <v>64.309198646479345</v>
      </c>
      <c r="AL102" s="20">
        <f t="shared" si="58"/>
        <v>577.82543264261778</v>
      </c>
      <c r="AM102" s="59">
        <f t="shared" si="59"/>
        <v>871.15876597595116</v>
      </c>
      <c r="AN102" s="59">
        <f ca="1">AVERAGE(OFFSET($AM$3,0,0,'Données projet'!$E$10+1,1))-AVERAGE(OFFSET($H$3,0,0,'Données projet'!$E$10+1,1))</f>
        <v>312.48716825299158</v>
      </c>
      <c r="AO102" s="59">
        <f t="shared" si="90"/>
        <v>258.68277822755357</v>
      </c>
      <c r="AP102" s="15">
        <f>IF(ISNA(VLOOKUP(A102,'Données projet'!$A$61:$I$81,3,0)),0,VLOOKUP(A102,'Données projet'!$A$61:$I$81,3,0))</f>
        <v>10</v>
      </c>
      <c r="AQ102" s="15">
        <f>IF(ISNA(VLOOKUP(A102,'Données projet'!$A$61:$I$81,4,0)),0,VLOOKUP(A102,'Données projet'!$A$61:$I$81,4,0))</f>
        <v>154.53205128205127</v>
      </c>
      <c r="AR102" s="16">
        <f>IF(ISNA(VLOOKUP(A102,'Données projet'!$A$61:$I$81,5,0)),0%,VLOOKUP(A102,'Données projet'!$A$61:$I$81,5,0)*VLOOKUP('Données projet'!$B$10,Paramètres!$A$1:$I$89,7,0))</f>
        <v>0.38700000000000001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111.4932956340848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111.4932956340848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367.99999999999972</v>
      </c>
      <c r="BE102" s="13">
        <f>BD102*VLOOKUP('Données projet'!$B$11,Paramètres!$A$1:$I$89,3,0)*VLOOKUP('Données projet'!$B$11,Paramètres!$A$1:$I$89,5,0)</f>
        <v>269.8175999999998</v>
      </c>
      <c r="BF102" s="13">
        <f t="shared" si="91"/>
        <v>64.810557882019467</v>
      </c>
      <c r="BG102" s="20">
        <f t="shared" si="61"/>
        <v>582.81070831118348</v>
      </c>
      <c r="BH102" s="59">
        <f t="shared" si="62"/>
        <v>876.14404164451685</v>
      </c>
      <c r="BI102" s="59">
        <f ca="1">AVERAGE(OFFSET($BH$3,0,0,'Données projet'!$E$11+1,1))-AVERAGE(OFFSET($H$3,0,0,'Données projet'!$E$11+1,1))</f>
        <v>376.58419691967526</v>
      </c>
      <c r="BJ102" s="59">
        <f t="shared" si="92"/>
        <v>365.76175372075869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31.02571605217944</v>
      </c>
      <c r="BQ102" s="21">
        <f>EXP(-LN(2)/25)*BQ101+(1-EXP(-LN(2)/25))/(LN(2)/25)*Calculateur!BL102*Calculateur!BN102*VLOOKUP('Données projet'!$B$11,Paramètres!$A$1:$I$89,3,0)*0.475*44/12</f>
        <v>3.1620332179185522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34.187749270097996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292.78079999999977</v>
      </c>
      <c r="CA102" s="13">
        <f t="shared" si="93"/>
        <v>69.660903052386217</v>
      </c>
      <c r="CB102" s="20">
        <f t="shared" si="64"/>
        <v>631.25263281623893</v>
      </c>
      <c r="CC102" s="59">
        <f t="shared" si="65"/>
        <v>924.58596614957219</v>
      </c>
      <c r="CD102" s="59">
        <f ca="1">AVERAGE(OFFSET($CC$3,0,0,'Données projet'!$E$12+1,1))-AVERAGE(OFFSET($H$3,0,0,'Données projet'!$E$12+1,1))</f>
        <v>405.40026823646758</v>
      </c>
      <c r="CE102" s="59">
        <f t="shared" si="94"/>
        <v>393.0787141050053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41.495551949055404</v>
      </c>
      <c r="CL102" s="21">
        <f>EXP(-LN(2)/25)*CL101+(1-EXP(-LN(2)/25))/(LN(2)/25)*Calculateur!CG102*Calculateur!CI102*VLOOKUP('Données projet'!$B$12,Paramètres!$A$1:$I$89,3,0)*0.475*44/12</f>
        <v>4.2290825274784005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45.724634476533808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3.2</v>
      </c>
      <c r="CT102" s="12">
        <f>IF('Données projet'!$A$140&gt;35,CT101+CS102-DB101,IF(A102&lt;'Données projet'!$A$140,$CQ$205^A102,IF(A102='Données projet'!$A$140,'Données projet'!$B$140,CT101+CS102-DB101)))</f>
        <v>269.79999999999984</v>
      </c>
      <c r="CU102" s="17">
        <f>CT102*VLOOKUP('Données projet'!$B$13,Paramètres!$A$1:$I$89,3,0)*VLOOKUP('Données projet'!$B$13,Paramètres!$A$1:$I$89,5,0)</f>
        <v>235.69727999999992</v>
      </c>
      <c r="CV102" s="13">
        <f t="shared" si="95"/>
        <v>57.512806870145788</v>
      </c>
      <c r="CW102" s="20">
        <f t="shared" si="67"/>
        <v>510.67423463217045</v>
      </c>
      <c r="CX102" s="59">
        <f t="shared" si="68"/>
        <v>804.00756796550377</v>
      </c>
      <c r="CY102" s="59">
        <f ca="1">AVERAGE(OFFSET($CX$3,0,0,'Données projet'!$E$13+1,1))-AVERAGE(OFFSET($H$3,0,0,'Données projet'!$E$13+1,1))</f>
        <v>381.72225529388083</v>
      </c>
      <c r="CZ102" s="59">
        <f t="shared" si="96"/>
        <v>360.05900046417361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34.11120187905906</v>
      </c>
      <c r="DG102" s="21">
        <f>EXP(-LN(2)/25)*DG101+(1-EXP(-LN(2)/25))/(LN(2)/25)*Calculateur!DB102*Calculateur!DD102*VLOOKUP('Données projet'!$B$13,Paramètres!$A$1:$I$89,3,0)*0.475*44/12</f>
        <v>13.266089757212516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47.377291636271579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318.25</v>
      </c>
      <c r="DM102" s="12">
        <f>VLOOKUP(A102,'Données projet'!$A$165:$I$185,9,0)</f>
        <v>7.1782051282051267</v>
      </c>
      <c r="DN102" s="12">
        <f t="array" ref="DN102">INDEX(DM:DM,MIN(IF(ISNUMBER(DM102:DM298),ROW(DM102:DM298),"")))</f>
        <v>7.1782051282051267</v>
      </c>
      <c r="DO102" s="12">
        <f>IF('Données projet'!$A$166&gt;35,DO101+DN102-DW101,IF(A102&lt;'Données projet'!$A$166,$DL$205^A102,IF(A102='Données projet'!$A$166,'Données projet'!$B$166,DO101+DN102-DW101)))</f>
        <v>318.25000000000051</v>
      </c>
      <c r="DP102" s="17">
        <f>DO102*VLOOKUP('Données projet'!$B$14,Paramètres!$A$1:$I$89,3,0)*VLOOKUP('Données projet'!$B$14,Paramètres!$A$1:$I$89,5,0)</f>
        <v>307.8114000000005</v>
      </c>
      <c r="DQ102" s="13">
        <f t="shared" si="97"/>
        <v>72.811575082750721</v>
      </c>
      <c r="DR102" s="20">
        <f t="shared" si="70"/>
        <v>662.91834826912498</v>
      </c>
      <c r="DS102" s="59">
        <f t="shared" si="71"/>
        <v>956.25168160245835</v>
      </c>
      <c r="DT102" s="59">
        <f ca="1">AVERAGE(OFFSET($DS$3,0,0,'Données projet'!$E$14+1,1))-AVERAGE(OFFSET($H$3,0,0,'Données projet'!$E$14+1,1))</f>
        <v>407.73540492005355</v>
      </c>
      <c r="DU102" s="59">
        <f t="shared" si="98"/>
        <v>296.29416764204774</v>
      </c>
      <c r="DV102" s="15">
        <f>IF(ISNA(VLOOKUP(A102,'Données projet'!$A$165:$I$185,3,0)),0,VLOOKUP(A102,'Données projet'!$A$165:$I$185,3,0))</f>
        <v>9</v>
      </c>
      <c r="DW102" s="15">
        <f>IF(ISNA(VLOOKUP(A102,'Données projet'!$A$165:$I$185,4,0)),0,VLOOKUP(A102,'Données projet'!$A$165:$I$185,4,0))</f>
        <v>48.019230769230766</v>
      </c>
      <c r="DX102" s="16">
        <f>IF(ISNA(VLOOKUP(A102,'Données projet'!$A$165:$I$185,5,0)),0%,VLOOKUP(A102,'Données projet'!$A$165:$I$185,5,0)*VLOOKUP('Données projet'!$B$14,Paramètres!$A$1:$I$89,7,0))</f>
        <v>0.30099999999999999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52.533727134382282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52.533727134382282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328.00000000000017</v>
      </c>
      <c r="EK102" s="17">
        <f>EJ102*VLOOKUP('Données projet'!$B$15,Paramètres!$A$1:$I$89,3,0)*VLOOKUP('Données projet'!$B$15,Paramètres!$A$1:$I$89,5,0)</f>
        <v>255.84000000000015</v>
      </c>
      <c r="EL102" s="13">
        <f t="shared" si="99"/>
        <v>61.834803371075886</v>
      </c>
      <c r="EM102" s="20">
        <f t="shared" si="73"/>
        <v>553.28361587129086</v>
      </c>
      <c r="EN102" s="59">
        <f t="shared" si="74"/>
        <v>846.61694920462423</v>
      </c>
      <c r="EO102" s="59">
        <f ca="1">AVERAGE(OFFSET($EN$3,0,0,'Données projet'!$E$15+1,1))-AVERAGE(OFFSET($H$3,0,0,'Données projet'!$E$15+1,1))</f>
        <v>288.80569134263209</v>
      </c>
      <c r="EP102" s="59">
        <f t="shared" si="100"/>
        <v>283.48738729114024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11.221183767174104</v>
      </c>
      <c r="EW102" s="21">
        <f>EXP(-LN(2)/25)*EW101+(1-EXP(-LN(2)/25))/(LN(2)/25)*Calculateur!ER102*Calculateur!ET102*VLOOKUP('Données projet'!$B$15,Paramètres!$A$1:$I$89,3,0)*0.475*44/12</f>
        <v>8.5990493988812737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19.820233166055377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836.03108479280058</v>
      </c>
      <c r="S103" s="59">
        <f ca="1">AVERAGE(OFFSET($R$3,0,0,'Données projet'!$E$9+1,1))-AVERAGE(OFFSET($H$3,0,0,'Données projet'!$E$9+1,1))</f>
        <v>384.05928630855732</v>
      </c>
      <c r="T103" s="59">
        <f t="shared" si="88"/>
        <v>279.93992813630513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4.7211538461538396</v>
      </c>
      <c r="AI103" s="13">
        <f>IF('Données projet'!$A$62&gt;35,AI102+AH103-AQ102,IF(A103&lt;'Données projet'!$A$62,$AF$205^A103,IF(A103='Données projet'!$A$62,'Données projet'!$B$62,AI102+AH103-AQ102)))</f>
        <v>167.68269230769204</v>
      </c>
      <c r="AJ103" s="13">
        <f>AI103*VLOOKUP('Données projet'!$B$10,Paramètres!$A$1:$I$89,3,0)*VLOOKUP('Données projet'!$B$10,Paramètres!$A$1:$I$89,5,0)</f>
        <v>141.2558999999998</v>
      </c>
      <c r="AK103" s="13">
        <f t="shared" si="89"/>
        <v>36.584564836542413</v>
      </c>
      <c r="AL103" s="20">
        <f t="shared" si="58"/>
        <v>309.73880959031101</v>
      </c>
      <c r="AM103" s="59">
        <f t="shared" si="59"/>
        <v>603.07214292364438</v>
      </c>
      <c r="AN103" s="59">
        <f ca="1">AVERAGE(OFFSET($AM$3,0,0,'Données projet'!$E$10+1,1))-AVERAGE(OFFSET($H$3,0,0,'Données projet'!$E$10+1,1))</f>
        <v>312.48716825299158</v>
      </c>
      <c r="AO103" s="59">
        <f t="shared" si="90"/>
        <v>258.68277822755357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109.30698011089588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109.30698011089588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367.99999999999972</v>
      </c>
      <c r="BE103" s="13">
        <f>BD103*VLOOKUP('Données projet'!$B$11,Paramètres!$A$1:$I$89,3,0)*VLOOKUP('Données projet'!$B$11,Paramètres!$A$1:$I$89,5,0)</f>
        <v>269.8175999999998</v>
      </c>
      <c r="BF103" s="13">
        <f t="shared" si="91"/>
        <v>64.810557882019467</v>
      </c>
      <c r="BG103" s="20">
        <f t="shared" si="61"/>
        <v>582.81070831118348</v>
      </c>
      <c r="BH103" s="59">
        <f t="shared" si="62"/>
        <v>876.14404164451685</v>
      </c>
      <c r="BI103" s="59">
        <f ca="1">AVERAGE(OFFSET($BH$3,0,0,'Données projet'!$E$11+1,1))-AVERAGE(OFFSET($H$3,0,0,'Données projet'!$E$11+1,1))</f>
        <v>376.58419691967526</v>
      </c>
      <c r="BJ103" s="59">
        <f t="shared" si="92"/>
        <v>365.76175372075869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30.41732068421442</v>
      </c>
      <c r="BQ103" s="21">
        <f>EXP(-LN(2)/25)*BQ102+(1-EXP(-LN(2)/25))/(LN(2)/25)*Calculateur!BL103*Calculateur!BN103*VLOOKUP('Données projet'!$B$11,Paramètres!$A$1:$I$89,3,0)*0.475*44/12</f>
        <v>3.0755672532904694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33.492887937504889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292.78079999999977</v>
      </c>
      <c r="CA103" s="13">
        <f t="shared" si="93"/>
        <v>69.660903052386217</v>
      </c>
      <c r="CB103" s="20">
        <f t="shared" si="64"/>
        <v>631.25263281623893</v>
      </c>
      <c r="CC103" s="59">
        <f t="shared" si="65"/>
        <v>924.58596614957219</v>
      </c>
      <c r="CD103" s="59">
        <f ca="1">AVERAGE(OFFSET($CC$3,0,0,'Données projet'!$E$12+1,1))-AVERAGE(OFFSET($H$3,0,0,'Données projet'!$E$12+1,1))</f>
        <v>405.40026823646758</v>
      </c>
      <c r="CE103" s="59">
        <f t="shared" si="94"/>
        <v>393.0787141050053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40.68184948512198</v>
      </c>
      <c r="CL103" s="21">
        <f>EXP(-LN(2)/25)*CL102+(1-EXP(-LN(2)/25))/(LN(2)/25)*Calculateur!CG103*Calculateur!CI103*VLOOKUP('Données projet'!$B$12,Paramètres!$A$1:$I$89,3,0)*0.475*44/12</f>
        <v>4.1134380433667195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44.7952875284887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273</v>
      </c>
      <c r="CR103" s="12">
        <f>VLOOKUP(A103,'Données projet'!$A$139:$I$159,9,0)</f>
        <v>3.2</v>
      </c>
      <c r="CS103" s="12">
        <f t="array" ref="CS103">INDEX(CR:CR,MIN(IF(ISNUMBER(CR103:CR299),ROW(CR103:CR299),"")))</f>
        <v>3.2</v>
      </c>
      <c r="CT103" s="12">
        <f>IF('Données projet'!$A$140&gt;35,CT102+CS103-DB102,IF(A103&lt;'Données projet'!$A$140,$CQ$205^A103,IF(A103='Données projet'!$A$140,'Données projet'!$B$140,CT102+CS103-DB102)))</f>
        <v>272.99999999999983</v>
      </c>
      <c r="CU103" s="17">
        <f>CT103*VLOOKUP('Données projet'!$B$13,Paramètres!$A$1:$I$89,3,0)*VLOOKUP('Données projet'!$B$13,Paramètres!$A$1:$I$89,5,0)</f>
        <v>238.49279999999987</v>
      </c>
      <c r="CV103" s="13">
        <f t="shared" si="95"/>
        <v>58.115130258576542</v>
      </c>
      <c r="CW103" s="20">
        <f t="shared" si="67"/>
        <v>516.59214520035391</v>
      </c>
      <c r="CX103" s="59">
        <f t="shared" si="68"/>
        <v>809.92547853368728</v>
      </c>
      <c r="CY103" s="59">
        <f ca="1">AVERAGE(OFFSET($CX$3,0,0,'Données projet'!$E$13+1,1))-AVERAGE(OFFSET($H$3,0,0,'Données projet'!$E$13+1,1))</f>
        <v>381.72225529388083</v>
      </c>
      <c r="CZ103" s="59">
        <f t="shared" si="96"/>
        <v>360.05900046417361</v>
      </c>
      <c r="DA103" s="15">
        <f>IF(ISNA(VLOOKUP(A103,'Données projet'!$A$139:$I$159,3,0)),0,VLOOKUP(A103,'Données projet'!$A$139:$I$159,3,0))</f>
        <v>17</v>
      </c>
      <c r="DB103" s="15" t="str">
        <f>IF(ISNA(VLOOKUP(A103,'Données projet'!$A$139:$I$159,4,0)),0,VLOOKUP(A103,'Données projet'!$A$139:$I$159,4,0))</f>
        <v>13</v>
      </c>
      <c r="DC103" s="16">
        <f>IF(ISNA(VLOOKUP(A103,'Données projet'!$A$139:$I$159,5,0)),0%,VLOOKUP(A103,'Données projet'!$A$139:$I$159,5,0)*VLOOKUP('Données projet'!$B$13,Paramètres!$A$1:$I$89,7,0))</f>
        <v>0.34400000000000003</v>
      </c>
      <c r="DD103" s="16">
        <f>IF(ISNA(VLOOKUP(A103,'Données projet'!$A$139:$I$159,6,0)),0%,VLOOKUP(A103,'Données projet'!$A$139:$I$159,6,0)*VLOOKUP('Données projet'!$B$13,Paramètres!$A$1:$I$89,7,0))</f>
        <v>4.3000000000000003E-2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37.761086482149707</v>
      </c>
      <c r="DG103" s="21">
        <f>EXP(-LN(2)/25)*DG102+(1-EXP(-LN(2)/25))/(LN(2)/25)*Calculateur!DB103*Calculateur!DD103*VLOOKUP('Données projet'!$B$13,Paramètres!$A$1:$I$89,3,0)*0.475*44/12</f>
        <v>13.441050305934585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51.202136788084289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6.9935897435897401</v>
      </c>
      <c r="DO103" s="12">
        <f>IF('Données projet'!$A$166&gt;35,DO102+DN103-DW102,IF(A103&lt;'Données projet'!$A$166,$DL$205^A103,IF(A103='Données projet'!$A$166,'Données projet'!$B$166,DO102+DN103-DW102)))</f>
        <v>277.22435897435946</v>
      </c>
      <c r="DP103" s="17">
        <f>DO103*VLOOKUP('Données projet'!$B$14,Paramètres!$A$1:$I$89,3,0)*VLOOKUP('Données projet'!$B$14,Paramètres!$A$1:$I$89,5,0)</f>
        <v>268.13140000000044</v>
      </c>
      <c r="DQ103" s="13">
        <f t="shared" si="97"/>
        <v>64.452545063749213</v>
      </c>
      <c r="DR103" s="20">
        <f t="shared" si="70"/>
        <v>579.25037098603059</v>
      </c>
      <c r="DS103" s="59">
        <f t="shared" si="71"/>
        <v>872.58370431936396</v>
      </c>
      <c r="DT103" s="59">
        <f ca="1">AVERAGE(OFFSET($DS$3,0,0,'Données projet'!$E$14+1,1))-AVERAGE(OFFSET($H$3,0,0,'Données projet'!$E$14+1,1))</f>
        <v>407.73540492005355</v>
      </c>
      <c r="DU103" s="59">
        <f t="shared" si="98"/>
        <v>296.29416764204774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51.503572787686672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51.503572787686672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328.00000000000017</v>
      </c>
      <c r="EK103" s="17">
        <f>EJ103*VLOOKUP('Données projet'!$B$15,Paramètres!$A$1:$I$89,3,0)*VLOOKUP('Données projet'!$B$15,Paramètres!$A$1:$I$89,5,0)</f>
        <v>255.84000000000015</v>
      </c>
      <c r="EL103" s="13">
        <f t="shared" si="99"/>
        <v>61.834803371075886</v>
      </c>
      <c r="EM103" s="20">
        <f t="shared" si="73"/>
        <v>553.28361587129086</v>
      </c>
      <c r="EN103" s="59">
        <f t="shared" si="74"/>
        <v>846.61694920462423</v>
      </c>
      <c r="EO103" s="59">
        <f ca="1">AVERAGE(OFFSET($EN$3,0,0,'Données projet'!$E$15+1,1))-AVERAGE(OFFSET($H$3,0,0,'Données projet'!$E$15+1,1))</f>
        <v>288.80569134263209</v>
      </c>
      <c r="EP103" s="59">
        <f t="shared" si="100"/>
        <v>283.48738729114024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11.001143197746105</v>
      </c>
      <c r="EW103" s="21">
        <f>EXP(-LN(2)/25)*EW102+(1-EXP(-LN(2)/25))/(LN(2)/25)*Calculateur!ER103*Calculateur!ET103*VLOOKUP('Données projet'!$B$15,Paramètres!$A$1:$I$89,3,0)*0.475*44/12</f>
        <v>8.3639079408645109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19.365051138610617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384.05928630855732</v>
      </c>
      <c r="T104" s="59">
        <f t="shared" si="88"/>
        <v>279.93992813630513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172.40384615384613</v>
      </c>
      <c r="AG104" s="12">
        <f>VLOOKUP(A104,'Données projet'!$A$61:$I$81,9,0)</f>
        <v>4.7211538461538396</v>
      </c>
      <c r="AH104" s="12">
        <f t="array" ref="AH104">INDEX(AG:AG,MIN(IF(ISNUMBER(AG104:AG300),ROW(AG104:AG300),"")))</f>
        <v>4.7211538461538396</v>
      </c>
      <c r="AI104" s="13">
        <f>IF('Données projet'!$A$62&gt;35,AI103+AH104-AQ103,IF(A104&lt;'Données projet'!$A$62,$AF$205^A104,IF(A104='Données projet'!$A$62,'Données projet'!$B$62,AI103+AH104-AQ103)))</f>
        <v>172.40384615384588</v>
      </c>
      <c r="AJ104" s="13">
        <f>AI104*VLOOKUP('Données projet'!$B$10,Paramètres!$A$1:$I$89,3,0)*VLOOKUP('Données projet'!$B$10,Paramètres!$A$1:$I$89,5,0)</f>
        <v>145.23299999999978</v>
      </c>
      <c r="AK104" s="13">
        <f t="shared" si="89"/>
        <v>37.493239961671939</v>
      </c>
      <c r="AL104" s="20">
        <f t="shared" si="58"/>
        <v>318.24820126657823</v>
      </c>
      <c r="AM104" s="59">
        <f t="shared" si="59"/>
        <v>611.58153459991149</v>
      </c>
      <c r="AN104" s="59">
        <f ca="1">AVERAGE(OFFSET($AM$3,0,0,'Données projet'!$E$10+1,1))-AVERAGE(OFFSET($H$3,0,0,'Données projet'!$E$10+1,1))</f>
        <v>312.48716825299158</v>
      </c>
      <c r="AO104" s="59">
        <f t="shared" si="90"/>
        <v>258.68277822755357</v>
      </c>
      <c r="AP104" s="15">
        <f>IF(ISNA(VLOOKUP(A104,'Données projet'!$A$61:$I$81,3,0)),0,VLOOKUP(A104,'Données projet'!$A$61:$I$81,3,0))</f>
        <v>11</v>
      </c>
      <c r="AQ104" s="15">
        <f>IF(ISNA(VLOOKUP(A104,'Données projet'!$A$61:$I$81,4,0)),0,VLOOKUP(A104,'Données projet'!$A$61:$I$81,4,0))</f>
        <v>56.294871794871788</v>
      </c>
      <c r="AR104" s="16">
        <f>IF(ISNA(VLOOKUP(A104,'Données projet'!$A$61:$I$81,5,0)),0%,VLOOKUP(A104,'Données projet'!$A$61:$I$81,5,0)*VLOOKUP('Données projet'!$B$10,Paramètres!$A$1:$I$89,7,0))</f>
        <v>0.38700000000000001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127.45181867811327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127.45181867811327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367.99999999999972</v>
      </c>
      <c r="BE104" s="13">
        <f>BD104*VLOOKUP('Données projet'!$B$11,Paramètres!$A$1:$I$89,3,0)*VLOOKUP('Données projet'!$B$11,Paramètres!$A$1:$I$89,5,0)</f>
        <v>269.8175999999998</v>
      </c>
      <c r="BF104" s="13">
        <f t="shared" si="91"/>
        <v>64.810557882019467</v>
      </c>
      <c r="BG104" s="20">
        <f t="shared" si="61"/>
        <v>582.81070831118348</v>
      </c>
      <c r="BH104" s="59">
        <f t="shared" si="62"/>
        <v>876.14404164451685</v>
      </c>
      <c r="BI104" s="59">
        <f ca="1">AVERAGE(OFFSET($BH$3,0,0,'Données projet'!$E$11+1,1))-AVERAGE(OFFSET($H$3,0,0,'Données projet'!$E$11+1,1))</f>
        <v>376.58419691967526</v>
      </c>
      <c r="BJ104" s="59">
        <f t="shared" si="92"/>
        <v>365.76175372075869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29.820855578330661</v>
      </c>
      <c r="BQ104" s="21">
        <f>EXP(-LN(2)/25)*BQ103+(1-EXP(-LN(2)/25))/(LN(2)/25)*Calculateur!BL104*Calculateur!BN104*VLOOKUP('Données projet'!$B$11,Paramètres!$A$1:$I$89,3,0)*0.475*44/12</f>
        <v>2.9914657050121889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32.812321283342854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292.78079999999977</v>
      </c>
      <c r="CA104" s="13">
        <f t="shared" si="93"/>
        <v>69.660903052386217</v>
      </c>
      <c r="CB104" s="20">
        <f t="shared" si="64"/>
        <v>631.25263281623893</v>
      </c>
      <c r="CC104" s="59">
        <f t="shared" si="65"/>
        <v>924.58596614957219</v>
      </c>
      <c r="CD104" s="59">
        <f ca="1">AVERAGE(OFFSET($CC$3,0,0,'Données projet'!$E$12+1,1))-AVERAGE(OFFSET($H$3,0,0,'Données projet'!$E$12+1,1))</f>
        <v>405.40026823646758</v>
      </c>
      <c r="CE104" s="59">
        <f t="shared" si="94"/>
        <v>393.0787141050053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39.884103230196793</v>
      </c>
      <c r="CL104" s="21">
        <f>EXP(-LN(2)/25)*CL103+(1-EXP(-LN(2)/25))/(LN(2)/25)*Calculateur!CG104*Calculateur!CI104*VLOOKUP('Données projet'!$B$12,Paramètres!$A$1:$I$89,3,0)*0.475*44/12</f>
        <v>4.0009558637545508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43.885059093951341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259.99999999999983</v>
      </c>
      <c r="CU104" s="17">
        <f>CT104*VLOOKUP('Données projet'!$B$13,Paramètres!$A$1:$I$89,3,0)*VLOOKUP('Données projet'!$B$13,Paramètres!$A$1:$I$89,5,0)</f>
        <v>227.13599999999985</v>
      </c>
      <c r="CV104" s="13">
        <f t="shared" si="95"/>
        <v>55.662966886685133</v>
      </c>
      <c r="CW104" s="20">
        <f t="shared" si="67"/>
        <v>492.5415339943097</v>
      </c>
      <c r="CX104" s="59">
        <f t="shared" si="68"/>
        <v>785.87486732764296</v>
      </c>
      <c r="CY104" s="59">
        <f ca="1">AVERAGE(OFFSET($CX$3,0,0,'Données projet'!$E$13+1,1))-AVERAGE(OFFSET($H$3,0,0,'Données projet'!$E$13+1,1))</f>
        <v>381.72225529388083</v>
      </c>
      <c r="CZ104" s="59">
        <f t="shared" si="96"/>
        <v>360.05900046417361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37.020614608223283</v>
      </c>
      <c r="DG104" s="21">
        <f>EXP(-LN(2)/25)*DG103+(1-EXP(-LN(2)/25))/(LN(2)/25)*Calculateur!DB104*Calculateur!DD104*VLOOKUP('Données projet'!$B$13,Paramètres!$A$1:$I$89,3,0)*0.475*44/12</f>
        <v>13.073504078484689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50.094118686707972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6.9935897435897401</v>
      </c>
      <c r="DO104" s="12">
        <f>IF('Données projet'!$A$166&gt;35,DO103+DN104-DW103,IF(A104&lt;'Données projet'!$A$166,$DL$205^A104,IF(A104='Données projet'!$A$166,'Données projet'!$B$166,DO103+DN104-DW103)))</f>
        <v>284.21794871794918</v>
      </c>
      <c r="DP104" s="17">
        <f>DO104*VLOOKUP('Données projet'!$B$14,Paramètres!$A$1:$I$89,3,0)*VLOOKUP('Données projet'!$B$14,Paramètres!$A$1:$I$89,5,0)</f>
        <v>274.89560000000046</v>
      </c>
      <c r="DQ104" s="13">
        <f t="shared" si="97"/>
        <v>65.887150094551444</v>
      </c>
      <c r="DR104" s="20">
        <f t="shared" si="70"/>
        <v>593.52995641467794</v>
      </c>
      <c r="DS104" s="59">
        <f t="shared" si="71"/>
        <v>886.86328974801131</v>
      </c>
      <c r="DT104" s="59">
        <f ca="1">AVERAGE(OFFSET($DS$3,0,0,'Données projet'!$E$14+1,1))-AVERAGE(OFFSET($H$3,0,0,'Données projet'!$E$14+1,1))</f>
        <v>407.73540492005355</v>
      </c>
      <c r="DU104" s="59">
        <f t="shared" si="98"/>
        <v>296.29416764204774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50.493619139397651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50.493619139397651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328.00000000000017</v>
      </c>
      <c r="EK104" s="17">
        <f>EJ104*VLOOKUP('Données projet'!$B$15,Paramètres!$A$1:$I$89,3,0)*VLOOKUP('Données projet'!$B$15,Paramètres!$A$1:$I$89,5,0)</f>
        <v>255.84000000000015</v>
      </c>
      <c r="EL104" s="13">
        <f t="shared" si="99"/>
        <v>61.834803371075886</v>
      </c>
      <c r="EM104" s="20">
        <f t="shared" si="73"/>
        <v>553.28361587129086</v>
      </c>
      <c r="EN104" s="59">
        <f t="shared" si="74"/>
        <v>846.61694920462423</v>
      </c>
      <c r="EO104" s="59">
        <f ca="1">AVERAGE(OFFSET($EN$3,0,0,'Données projet'!$E$15+1,1))-AVERAGE(OFFSET($H$3,0,0,'Données projet'!$E$15+1,1))</f>
        <v>288.80569134263209</v>
      </c>
      <c r="EP104" s="59">
        <f t="shared" si="100"/>
        <v>283.48738729114024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10.785417489673094</v>
      </c>
      <c r="EW104" s="21">
        <f>EXP(-LN(2)/25)*EW103+(1-EXP(-LN(2)/25))/(LN(2)/25)*Calculateur!ER104*Calculateur!ET104*VLOOKUP('Données projet'!$B$15,Paramètres!$A$1:$I$89,3,0)*0.475*44/12</f>
        <v>8.1351964383827688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18.920613928055865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862.77742166445023</v>
      </c>
      <c r="S105" s="59">
        <f ca="1">AVERAGE(OFFSET($R$3,0,0,'Données projet'!$E$9+1,1))-AVERAGE(OFFSET($H$3,0,0,'Données projet'!$E$9+1,1))</f>
        <v>384.05928630855732</v>
      </c>
      <c r="T105" s="59">
        <f t="shared" si="88"/>
        <v>279.93992813630513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3.2339743589743648</v>
      </c>
      <c r="AI105" s="13">
        <f>IF('Données projet'!$A$62&gt;35,AI104+AH105-AQ104,IF(A105&lt;'Données projet'!$A$62,$AF$205^A105,IF(A105='Données projet'!$A$62,'Données projet'!$B$62,AI104+AH105-AQ104)))</f>
        <v>119.34294871794845</v>
      </c>
      <c r="AJ105" s="13">
        <f>AI105*VLOOKUP('Données projet'!$B$10,Paramètres!$A$1:$I$89,3,0)*VLOOKUP('Données projet'!$B$10,Paramètres!$A$1:$I$89,5,0)</f>
        <v>100.53449999999978</v>
      </c>
      <c r="AK105" s="13">
        <f t="shared" si="89"/>
        <v>27.089295269398566</v>
      </c>
      <c r="AL105" s="20">
        <f t="shared" si="58"/>
        <v>222.27811009420211</v>
      </c>
      <c r="AM105" s="59">
        <f t="shared" si="59"/>
        <v>515.61144342753539</v>
      </c>
      <c r="AN105" s="59">
        <f ca="1">AVERAGE(OFFSET($AM$3,0,0,'Données projet'!$E$10+1,1))-AVERAGE(OFFSET($H$3,0,0,'Données projet'!$E$10+1,1))</f>
        <v>312.48716825299158</v>
      </c>
      <c r="AO105" s="59">
        <f t="shared" si="90"/>
        <v>258.68277822755357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124.95256625176889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124.95256625176889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367.99999999999972</v>
      </c>
      <c r="BE105" s="13">
        <f>BD105*VLOOKUP('Données projet'!$B$11,Paramètres!$A$1:$I$89,3,0)*VLOOKUP('Données projet'!$B$11,Paramètres!$A$1:$I$89,5,0)</f>
        <v>269.8175999999998</v>
      </c>
      <c r="BF105" s="13">
        <f t="shared" si="91"/>
        <v>64.810557882019467</v>
      </c>
      <c r="BG105" s="20">
        <f t="shared" si="61"/>
        <v>582.81070831118348</v>
      </c>
      <c r="BH105" s="59">
        <f t="shared" si="62"/>
        <v>876.14404164451685</v>
      </c>
      <c r="BI105" s="59">
        <f ca="1">AVERAGE(OFFSET($BH$3,0,0,'Données projet'!$E$11+1,1))-AVERAGE(OFFSET($H$3,0,0,'Données projet'!$E$11+1,1))</f>
        <v>376.58419691967526</v>
      </c>
      <c r="BJ105" s="59">
        <f t="shared" si="92"/>
        <v>365.76175372075869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29.236086789365494</v>
      </c>
      <c r="BQ105" s="21">
        <f>EXP(-LN(2)/25)*BQ104+(1-EXP(-LN(2)/25))/(LN(2)/25)*Calculateur!BL105*Calculateur!BN105*VLOOKUP('Données projet'!$B$11,Paramètres!$A$1:$I$89,3,0)*0.475*44/12</f>
        <v>2.909663917994286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32.145750707359781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292.78079999999977</v>
      </c>
      <c r="CA105" s="13">
        <f t="shared" si="93"/>
        <v>69.660903052386217</v>
      </c>
      <c r="CB105" s="20">
        <f t="shared" si="64"/>
        <v>631.25263281623893</v>
      </c>
      <c r="CC105" s="59">
        <f t="shared" si="65"/>
        <v>924.58596614957219</v>
      </c>
      <c r="CD105" s="59">
        <f ca="1">AVERAGE(OFFSET($CC$3,0,0,'Données projet'!$E$12+1,1))-AVERAGE(OFFSET($H$3,0,0,'Données projet'!$E$12+1,1))</f>
        <v>405.40026823646758</v>
      </c>
      <c r="CE105" s="59">
        <f t="shared" si="94"/>
        <v>393.0787141050053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39.102000292753523</v>
      </c>
      <c r="CL105" s="21">
        <f>EXP(-LN(2)/25)*CL104+(1-EXP(-LN(2)/25))/(LN(2)/25)*Calculateur!CG105*Calculateur!CI105*VLOOKUP('Données projet'!$B$12,Paramètres!$A$1:$I$89,3,0)*0.475*44/12</f>
        <v>3.891549515259058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42.993549808012581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259.99999999999983</v>
      </c>
      <c r="CU105" s="17">
        <f>CT105*VLOOKUP('Données projet'!$B$13,Paramètres!$A$1:$I$89,3,0)*VLOOKUP('Données projet'!$B$13,Paramètres!$A$1:$I$89,5,0)</f>
        <v>227.13599999999985</v>
      </c>
      <c r="CV105" s="13">
        <f t="shared" si="95"/>
        <v>55.662966886685133</v>
      </c>
      <c r="CW105" s="20">
        <f t="shared" si="67"/>
        <v>492.5415339943097</v>
      </c>
      <c r="CX105" s="59">
        <f t="shared" si="68"/>
        <v>785.87486732764296</v>
      </c>
      <c r="CY105" s="59">
        <f ca="1">AVERAGE(OFFSET($CX$3,0,0,'Données projet'!$E$13+1,1))-AVERAGE(OFFSET($H$3,0,0,'Données projet'!$E$13+1,1))</f>
        <v>381.72225529388083</v>
      </c>
      <c r="CZ105" s="59">
        <f t="shared" si="96"/>
        <v>360.05900046417361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36.294662936101311</v>
      </c>
      <c r="DG105" s="21">
        <f>EXP(-LN(2)/25)*DG104+(1-EXP(-LN(2)/25))/(LN(2)/25)*Calculateur!DB105*Calculateur!DD105*VLOOKUP('Données projet'!$B$13,Paramètres!$A$1:$I$89,3,0)*0.475*44/12</f>
        <v>12.716008421952825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49.01067135805414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6.9935897435897401</v>
      </c>
      <c r="DO105" s="12">
        <f>IF('Données projet'!$A$166&gt;35,DO104+DN105-DW104,IF(A105&lt;'Données projet'!$A$166,$DL$205^A105,IF(A105='Données projet'!$A$166,'Données projet'!$B$166,DO104+DN105-DW104)))</f>
        <v>291.21153846153891</v>
      </c>
      <c r="DP105" s="17">
        <f>DO105*VLOOKUP('Données projet'!$B$14,Paramètres!$A$1:$I$89,3,0)*VLOOKUP('Données projet'!$B$14,Paramètres!$A$1:$I$89,5,0)</f>
        <v>281.65980000000042</v>
      </c>
      <c r="DQ105" s="13">
        <f t="shared" si="97"/>
        <v>67.317651586985107</v>
      </c>
      <c r="DR105" s="20">
        <f t="shared" si="70"/>
        <v>607.80239484733306</v>
      </c>
      <c r="DS105" s="59">
        <f t="shared" si="71"/>
        <v>901.13572818066632</v>
      </c>
      <c r="DT105" s="59">
        <f ca="1">AVERAGE(OFFSET($DS$3,0,0,'Données projet'!$E$14+1,1))-AVERAGE(OFFSET($H$3,0,0,'Données projet'!$E$14+1,1))</f>
        <v>407.73540492005355</v>
      </c>
      <c r="DU105" s="59">
        <f t="shared" si="98"/>
        <v>296.29416764204774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49.503470066140679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49.503470066140679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328.00000000000017</v>
      </c>
      <c r="EK105" s="17">
        <f>EJ105*VLOOKUP('Données projet'!$B$15,Paramètres!$A$1:$I$89,3,0)*VLOOKUP('Données projet'!$B$15,Paramètres!$A$1:$I$89,5,0)</f>
        <v>255.84000000000015</v>
      </c>
      <c r="EL105" s="13">
        <f t="shared" si="99"/>
        <v>61.834803371075886</v>
      </c>
      <c r="EM105" s="20">
        <f t="shared" si="73"/>
        <v>553.28361587129086</v>
      </c>
      <c r="EN105" s="59">
        <f t="shared" si="74"/>
        <v>846.61694920462423</v>
      </c>
      <c r="EO105" s="59">
        <f ca="1">AVERAGE(OFFSET($EN$3,0,0,'Données projet'!$E$15+1,1))-AVERAGE(OFFSET($H$3,0,0,'Données projet'!$E$15+1,1))</f>
        <v>288.80569134263209</v>
      </c>
      <c r="EP105" s="59">
        <f t="shared" si="100"/>
        <v>283.48738729114024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10.573922031155705</v>
      </c>
      <c r="EW105" s="21">
        <f>EXP(-LN(2)/25)*EW104+(1-EXP(-LN(2)/25))/(LN(2)/25)*Calculateur!ER105*Calculateur!ET105*VLOOKUP('Données projet'!$B$15,Paramètres!$A$1:$I$89,3,0)*0.475*44/12</f>
        <v>7.9127390639638042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18.486661095119509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876.14066353012754</v>
      </c>
      <c r="S106" s="59">
        <f ca="1">AVERAGE(OFFSET($R$3,0,0,'Données projet'!$E$9+1,1))-AVERAGE(OFFSET($H$3,0,0,'Données projet'!$E$9+1,1))</f>
        <v>384.05928630855732</v>
      </c>
      <c r="T106" s="59">
        <f t="shared" si="88"/>
        <v>279.93992813630513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122.57692307692307</v>
      </c>
      <c r="AG106" s="12">
        <f>VLOOKUP(A106,'Données projet'!$A$61:$I$81,9,0)</f>
        <v>3.2339743589743648</v>
      </c>
      <c r="AH106" s="12">
        <f t="array" ref="AH106">INDEX(AG:AG,MIN(IF(ISNUMBER(AG106:AG302),ROW(AG106:AG302),"")))</f>
        <v>3.2339743589743648</v>
      </c>
      <c r="AI106" s="13">
        <f>IF('Données projet'!$A$62&gt;35,AI105+AH106-AQ105,IF(A106&lt;'Données projet'!$A$62,$AF$205^A106,IF(A106='Données projet'!$A$62,'Données projet'!$B$62,AI105+AH106-AQ105)))</f>
        <v>122.57692307692281</v>
      </c>
      <c r="AJ106" s="13">
        <f>AI106*VLOOKUP('Données projet'!$B$10,Paramètres!$A$1:$I$89,3,0)*VLOOKUP('Données projet'!$B$10,Paramètres!$A$1:$I$89,5,0)</f>
        <v>103.25879999999979</v>
      </c>
      <c r="AK106" s="13">
        <f t="shared" si="89"/>
        <v>27.736906796535244</v>
      </c>
      <c r="AL106" s="20">
        <f t="shared" si="58"/>
        <v>228.15085600396517</v>
      </c>
      <c r="AM106" s="59">
        <f t="shared" si="59"/>
        <v>521.48418933729852</v>
      </c>
      <c r="AN106" s="59">
        <f ca="1">AVERAGE(OFFSET($AM$3,0,0,'Données projet'!$E$10+1,1))-AVERAGE(OFFSET($H$3,0,0,'Données projet'!$E$10+1,1))</f>
        <v>312.48716825299158</v>
      </c>
      <c r="AO106" s="59">
        <f t="shared" si="90"/>
        <v>258.68277822755357</v>
      </c>
      <c r="AP106" s="15">
        <f>IF(ISNA(VLOOKUP(A106,'Données projet'!$A$61:$I$81,3,0)),0,VLOOKUP(A106,'Données projet'!$A$61:$I$81,3,0))</f>
        <v>12</v>
      </c>
      <c r="AQ106" s="15">
        <f>IF(ISNA(VLOOKUP(A106,'Données projet'!$A$61:$I$81,4,0)),0,VLOOKUP(A106,'Données projet'!$A$61:$I$81,4,0))</f>
        <v>39.92307692307692</v>
      </c>
      <c r="AR106" s="16">
        <f>IF(ISNA(VLOOKUP(A106,'Données projet'!$A$61:$I$81,5,0)),0%,VLOOKUP(A106,'Données projet'!$A$61:$I$81,5,0)*VLOOKUP('Données projet'!$B$10,Paramètres!$A$1:$I$89,7,0))</f>
        <v>0.38700000000000001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136.89032297180515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136.89032297180515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367.99999999999972</v>
      </c>
      <c r="BE106" s="13">
        <f>BD106*VLOOKUP('Données projet'!$B$11,Paramètres!$A$1:$I$89,3,0)*VLOOKUP('Données projet'!$B$11,Paramètres!$A$1:$I$89,5,0)</f>
        <v>269.8175999999998</v>
      </c>
      <c r="BF106" s="13">
        <f t="shared" si="91"/>
        <v>64.810557882019467</v>
      </c>
      <c r="BG106" s="20">
        <f t="shared" si="61"/>
        <v>582.81070831118348</v>
      </c>
      <c r="BH106" s="59">
        <f t="shared" si="62"/>
        <v>876.14404164451685</v>
      </c>
      <c r="BI106" s="59">
        <f ca="1">AVERAGE(OFFSET($BH$3,0,0,'Données projet'!$E$11+1,1))-AVERAGE(OFFSET($H$3,0,0,'Données projet'!$E$11+1,1))</f>
        <v>376.58419691967526</v>
      </c>
      <c r="BJ106" s="59">
        <f t="shared" si="92"/>
        <v>365.76175372075869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28.662784959678188</v>
      </c>
      <c r="BQ106" s="21">
        <f>EXP(-LN(2)/25)*BQ105+(1-EXP(-LN(2)/25))/(LN(2)/25)*Calculateur!BL106*Calculateur!BN106*VLOOKUP('Données projet'!$B$11,Paramètres!$A$1:$I$89,3,0)*0.475*44/12</f>
        <v>2.8300990051441568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31.492883964822344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292.78079999999977</v>
      </c>
      <c r="CA106" s="13">
        <f t="shared" si="93"/>
        <v>69.660903052386217</v>
      </c>
      <c r="CB106" s="20">
        <f t="shared" si="64"/>
        <v>631.25263281623893</v>
      </c>
      <c r="CC106" s="59">
        <f t="shared" si="65"/>
        <v>924.58596614957219</v>
      </c>
      <c r="CD106" s="59">
        <f ca="1">AVERAGE(OFFSET($CC$3,0,0,'Données projet'!$E$12+1,1))-AVERAGE(OFFSET($H$3,0,0,'Données projet'!$E$12+1,1))</f>
        <v>405.40026823646758</v>
      </c>
      <c r="CE106" s="59">
        <f t="shared" si="94"/>
        <v>393.0787141050053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38.335233916877826</v>
      </c>
      <c r="CL106" s="21">
        <f>EXP(-LN(2)/25)*CL105+(1-EXP(-LN(2)/25))/(LN(2)/25)*Calculateur!CG106*Calculateur!CI106*VLOOKUP('Données projet'!$B$12,Paramètres!$A$1:$I$89,3,0)*0.475*44/12</f>
        <v>3.7851348891166041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42.120368805994431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259.99999999999983</v>
      </c>
      <c r="CU106" s="17">
        <f>CT106*VLOOKUP('Données projet'!$B$13,Paramètres!$A$1:$I$89,3,0)*VLOOKUP('Données projet'!$B$13,Paramètres!$A$1:$I$89,5,0)</f>
        <v>227.13599999999985</v>
      </c>
      <c r="CV106" s="13">
        <f t="shared" si="95"/>
        <v>55.662966886685133</v>
      </c>
      <c r="CW106" s="20">
        <f t="shared" si="67"/>
        <v>492.5415339943097</v>
      </c>
      <c r="CX106" s="59">
        <f t="shared" si="68"/>
        <v>785.87486732764296</v>
      </c>
      <c r="CY106" s="59">
        <f ca="1">AVERAGE(OFFSET($CX$3,0,0,'Données projet'!$E$13+1,1))-AVERAGE(OFFSET($H$3,0,0,'Données projet'!$E$13+1,1))</f>
        <v>381.72225529388083</v>
      </c>
      <c r="CZ106" s="59">
        <f t="shared" si="96"/>
        <v>360.05900046417361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35.582946733482856</v>
      </c>
      <c r="DG106" s="21">
        <f>EXP(-LN(2)/25)*DG105+(1-EXP(-LN(2)/25))/(LN(2)/25)*Calculateur!DB106*Calculateur!DD106*VLOOKUP('Données projet'!$B$13,Paramètres!$A$1:$I$89,3,0)*0.475*44/12</f>
        <v>12.368288502948705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47.951235236431557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6.9935897435897401</v>
      </c>
      <c r="DO106" s="12">
        <f>IF('Données projet'!$A$166&gt;35,DO105+DN106-DW105,IF(A106&lt;'Données projet'!$A$166,$DL$205^A106,IF(A106='Données projet'!$A$166,'Données projet'!$B$166,DO105+DN106-DW105)))</f>
        <v>298.20512820512863</v>
      </c>
      <c r="DP106" s="17">
        <f>DO106*VLOOKUP('Données projet'!$B$14,Paramètres!$A$1:$I$89,3,0)*VLOOKUP('Données projet'!$B$14,Paramètres!$A$1:$I$89,5,0)</f>
        <v>288.42400000000038</v>
      </c>
      <c r="DQ106" s="13">
        <f t="shared" si="97"/>
        <v>68.744159428336587</v>
      </c>
      <c r="DR106" s="20">
        <f t="shared" si="70"/>
        <v>622.06787767102014</v>
      </c>
      <c r="DS106" s="59">
        <f t="shared" si="71"/>
        <v>915.4012110043534</v>
      </c>
      <c r="DT106" s="59">
        <f ca="1">AVERAGE(OFFSET($DS$3,0,0,'Données projet'!$E$14+1,1))-AVERAGE(OFFSET($H$3,0,0,'Données projet'!$E$14+1,1))</f>
        <v>407.73540492005355</v>
      </c>
      <c r="DU106" s="59">
        <f t="shared" si="98"/>
        <v>296.29416764204774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48.532737212278974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48.532737212278974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328.00000000000017</v>
      </c>
      <c r="EK106" s="17">
        <f>EJ106*VLOOKUP('Données projet'!$B$15,Paramètres!$A$1:$I$89,3,0)*VLOOKUP('Données projet'!$B$15,Paramètres!$A$1:$I$89,5,0)</f>
        <v>255.84000000000015</v>
      </c>
      <c r="EL106" s="13">
        <f t="shared" si="99"/>
        <v>61.834803371075886</v>
      </c>
      <c r="EM106" s="20">
        <f t="shared" si="73"/>
        <v>553.28361587129086</v>
      </c>
      <c r="EN106" s="59">
        <f t="shared" si="74"/>
        <v>846.61694920462423</v>
      </c>
      <c r="EO106" s="59">
        <f ca="1">AVERAGE(OFFSET($EN$3,0,0,'Données projet'!$E$15+1,1))-AVERAGE(OFFSET($H$3,0,0,'Données projet'!$E$15+1,1))</f>
        <v>288.80569134263209</v>
      </c>
      <c r="EP106" s="59">
        <f t="shared" si="100"/>
        <v>283.48738729114024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10.36657386958035</v>
      </c>
      <c r="EW106" s="21">
        <f>EXP(-LN(2)/25)*EW105+(1-EXP(-LN(2)/25))/(LN(2)/25)*Calculateur!ER106*Calculateur!ET106*VLOOKUP('Données projet'!$B$15,Paramètres!$A$1:$I$89,3,0)*0.475*44/12</f>
        <v>7.6963647981468517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18.062938667727202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384.05928630855732</v>
      </c>
      <c r="T107" s="59">
        <f t="shared" si="88"/>
        <v>279.93992813630513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2.2585470085470072</v>
      </c>
      <c r="AI107" s="13">
        <f>IF('Données projet'!$A$62&gt;35,AI106+AH107-AQ106,IF(A107&lt;'Données projet'!$A$62,$AF$205^A107,IF(A107='Données projet'!$A$62,'Données projet'!$B$62,AI106+AH107-AQ106)))</f>
        <v>84.912393162392902</v>
      </c>
      <c r="AJ107" s="13">
        <f>AI107*VLOOKUP('Données projet'!$B$10,Paramètres!$A$1:$I$89,3,0)*VLOOKUP('Données projet'!$B$10,Paramètres!$A$1:$I$89,5,0)</f>
        <v>71.530199999999795</v>
      </c>
      <c r="AK107" s="13">
        <f t="shared" si="89"/>
        <v>20.052980591330837</v>
      </c>
      <c r="AL107" s="20">
        <f t="shared" si="58"/>
        <v>159.50737286323417</v>
      </c>
      <c r="AM107" s="59">
        <f t="shared" si="59"/>
        <v>452.84070619656745</v>
      </c>
      <c r="AN107" s="59">
        <f ca="1">AVERAGE(OFFSET($AM$3,0,0,'Données projet'!$E$10+1,1))-AVERAGE(OFFSET($H$3,0,0,'Données projet'!$E$10+1,1))</f>
        <v>312.48716825299158</v>
      </c>
      <c r="AO107" s="59">
        <f t="shared" si="90"/>
        <v>258.68277822755357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134.20598723318062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134.20598723318062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367.99999999999972</v>
      </c>
      <c r="BE107" s="13">
        <f>BD107*VLOOKUP('Données projet'!$B$11,Paramètres!$A$1:$I$89,3,0)*VLOOKUP('Données projet'!$B$11,Paramètres!$A$1:$I$89,5,0)</f>
        <v>269.8175999999998</v>
      </c>
      <c r="BF107" s="13">
        <f t="shared" si="91"/>
        <v>64.810557882019467</v>
      </c>
      <c r="BG107" s="20">
        <f t="shared" si="61"/>
        <v>582.81070831118348</v>
      </c>
      <c r="BH107" s="59">
        <f t="shared" si="62"/>
        <v>876.14404164451685</v>
      </c>
      <c r="BI107" s="59">
        <f ca="1">AVERAGE(OFFSET($BH$3,0,0,'Données projet'!$E$11+1,1))-AVERAGE(OFFSET($H$3,0,0,'Données projet'!$E$11+1,1))</f>
        <v>376.58419691967526</v>
      </c>
      <c r="BJ107" s="59">
        <f t="shared" si="92"/>
        <v>365.76175372075869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28.100725229191465</v>
      </c>
      <c r="BQ107" s="21">
        <f>EXP(-LN(2)/25)*BQ106+(1-EXP(-LN(2)/25))/(LN(2)/25)*Calculateur!BL107*Calculateur!BN107*VLOOKUP('Données projet'!$B$11,Paramètres!$A$1:$I$89,3,0)*0.475*44/12</f>
        <v>2.7527097990200513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30.853435028211514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292.78079999999977</v>
      </c>
      <c r="CA107" s="13">
        <f t="shared" si="93"/>
        <v>69.660903052386217</v>
      </c>
      <c r="CB107" s="20">
        <f t="shared" si="64"/>
        <v>631.25263281623893</v>
      </c>
      <c r="CC107" s="59">
        <f t="shared" si="65"/>
        <v>924.58596614957219</v>
      </c>
      <c r="CD107" s="59">
        <f ca="1">AVERAGE(OFFSET($CC$3,0,0,'Données projet'!$E$12+1,1))-AVERAGE(OFFSET($H$3,0,0,'Données projet'!$E$12+1,1))</f>
        <v>405.40026823646758</v>
      </c>
      <c r="CE107" s="59">
        <f t="shared" si="94"/>
        <v>393.0787141050053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37.583503361951742</v>
      </c>
      <c r="CL107" s="21">
        <f>EXP(-LN(2)/25)*CL106+(1-EXP(-LN(2)/25))/(LN(2)/25)*Calculateur!CG107*Calculateur!CI107*VLOOKUP('Données projet'!$B$12,Paramètres!$A$1:$I$89,3,0)*0.475*44/12</f>
        <v>3.681630176522118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41.265133538473862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259.99999999999983</v>
      </c>
      <c r="CU107" s="17">
        <f>CT107*VLOOKUP('Données projet'!$B$13,Paramètres!$A$1:$I$89,3,0)*VLOOKUP('Données projet'!$B$13,Paramètres!$A$1:$I$89,5,0)</f>
        <v>227.13599999999985</v>
      </c>
      <c r="CV107" s="13">
        <f t="shared" si="95"/>
        <v>55.662966886685133</v>
      </c>
      <c r="CW107" s="20">
        <f t="shared" si="67"/>
        <v>492.5415339943097</v>
      </c>
      <c r="CX107" s="59">
        <f t="shared" si="68"/>
        <v>785.87486732764296</v>
      </c>
      <c r="CY107" s="59">
        <f ca="1">AVERAGE(OFFSET($CX$3,0,0,'Données projet'!$E$13+1,1))-AVERAGE(OFFSET($H$3,0,0,'Données projet'!$E$13+1,1))</f>
        <v>381.72225529388083</v>
      </c>
      <c r="CZ107" s="59">
        <f t="shared" si="96"/>
        <v>360.05900046417361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34.885186851493728</v>
      </c>
      <c r="DG107" s="21">
        <f>EXP(-LN(2)/25)*DG106+(1-EXP(-LN(2)/25))/(LN(2)/25)*Calculateur!DB107*Calculateur!DD107*VLOOKUP('Données projet'!$B$13,Paramètres!$A$1:$I$89,3,0)*0.475*44/12</f>
        <v>12.030077003415547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46.915263854909277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6.9935897435897401</v>
      </c>
      <c r="DO107" s="12">
        <f>IF('Données projet'!$A$166&gt;35,DO106+DN107-DW106,IF(A107&lt;'Données projet'!$A$166,$DL$205^A107,IF(A107='Données projet'!$A$166,'Données projet'!$B$166,DO106+DN107-DW106)))</f>
        <v>305.19871794871835</v>
      </c>
      <c r="DP107" s="17">
        <f>DO107*VLOOKUP('Données projet'!$B$14,Paramètres!$A$1:$I$89,3,0)*VLOOKUP('Données projet'!$B$14,Paramètres!$A$1:$I$89,5,0)</f>
        <v>295.18820000000039</v>
      </c>
      <c r="DQ107" s="13">
        <f t="shared" si="97"/>
        <v>70.166778057637003</v>
      </c>
      <c r="DR107" s="20">
        <f t="shared" si="70"/>
        <v>636.32658678371843</v>
      </c>
      <c r="DS107" s="59">
        <f t="shared" si="71"/>
        <v>929.6599201170518</v>
      </c>
      <c r="DT107" s="59">
        <f ca="1">AVERAGE(OFFSET($DS$3,0,0,'Données projet'!$E$14+1,1))-AVERAGE(OFFSET($H$3,0,0,'Données projet'!$E$14+1,1))</f>
        <v>407.73540492005355</v>
      </c>
      <c r="DU107" s="59">
        <f t="shared" si="98"/>
        <v>296.29416764204774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47.581039837592925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47.581039837592925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328.00000000000017</v>
      </c>
      <c r="EK107" s="17">
        <f>EJ107*VLOOKUP('Données projet'!$B$15,Paramètres!$A$1:$I$89,3,0)*VLOOKUP('Données projet'!$B$15,Paramètres!$A$1:$I$89,5,0)</f>
        <v>255.84000000000015</v>
      </c>
      <c r="EL107" s="13">
        <f t="shared" si="99"/>
        <v>61.834803371075886</v>
      </c>
      <c r="EM107" s="20">
        <f t="shared" si="73"/>
        <v>553.28361587129086</v>
      </c>
      <c r="EN107" s="59">
        <f t="shared" si="74"/>
        <v>846.61694920462423</v>
      </c>
      <c r="EO107" s="59">
        <f ca="1">AVERAGE(OFFSET($EN$3,0,0,'Données projet'!$E$15+1,1))-AVERAGE(OFFSET($H$3,0,0,'Données projet'!$E$15+1,1))</f>
        <v>288.80569134263209</v>
      </c>
      <c r="EP107" s="59">
        <f t="shared" si="100"/>
        <v>283.48738729114024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10.163291678983597</v>
      </c>
      <c r="EW107" s="21">
        <f>EXP(-LN(2)/25)*EW106+(1-EXP(-LN(2)/25))/(LN(2)/25)*Calculateur!ER107*Calculateur!ET107*VLOOKUP('Données projet'!$B$15,Paramètres!$A$1:$I$89,3,0)*0.475*44/12</f>
        <v>7.4859072980072918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17.649198976990888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902.84815220300129</v>
      </c>
      <c r="S108" s="59">
        <f ca="1">AVERAGE(OFFSET($R$3,0,0,'Données projet'!$E$9+1,1))-AVERAGE(OFFSET($H$3,0,0,'Données projet'!$E$9+1,1))</f>
        <v>384.05928630855732</v>
      </c>
      <c r="T108" s="59">
        <f t="shared" si="88"/>
        <v>279.93992813630513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2.2585470085470072</v>
      </c>
      <c r="AI108" s="13">
        <f>IF('Données projet'!$A$62&gt;35,AI107+AH108-AQ107,IF(A108&lt;'Données projet'!$A$62,$AF$205^A108,IF(A108='Données projet'!$A$62,'Données projet'!$B$62,AI107+AH108-AQ107)))</f>
        <v>87.170940170939915</v>
      </c>
      <c r="AJ108" s="13">
        <f>AI108*VLOOKUP('Données projet'!$B$10,Paramètres!$A$1:$I$89,3,0)*VLOOKUP('Données projet'!$B$10,Paramètres!$A$1:$I$89,5,0)</f>
        <v>73.432799999999787</v>
      </c>
      <c r="AK108" s="13">
        <f t="shared" si="89"/>
        <v>20.523552981148718</v>
      </c>
      <c r="AL108" s="20">
        <f t="shared" si="58"/>
        <v>163.64064810883366</v>
      </c>
      <c r="AM108" s="59">
        <f t="shared" si="59"/>
        <v>456.97398144216697</v>
      </c>
      <c r="AN108" s="59">
        <f ca="1">AVERAGE(OFFSET($AM$3,0,0,'Données projet'!$E$10+1,1))-AVERAGE(OFFSET($H$3,0,0,'Données projet'!$E$10+1,1))</f>
        <v>312.48716825299158</v>
      </c>
      <c r="AO108" s="59">
        <f t="shared" si="90"/>
        <v>258.68277822755357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131.57428968110739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131.57428968110739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367.99999999999972</v>
      </c>
      <c r="BE108" s="13">
        <f>BD108*VLOOKUP('Données projet'!$B$11,Paramètres!$A$1:$I$89,3,0)*VLOOKUP('Données projet'!$B$11,Paramètres!$A$1:$I$89,5,0)</f>
        <v>269.8175999999998</v>
      </c>
      <c r="BF108" s="13">
        <f t="shared" si="91"/>
        <v>64.810557882019467</v>
      </c>
      <c r="BG108" s="20">
        <f t="shared" si="61"/>
        <v>582.81070831118348</v>
      </c>
      <c r="BH108" s="59">
        <f t="shared" si="62"/>
        <v>876.14404164451685</v>
      </c>
      <c r="BI108" s="59">
        <f ca="1">AVERAGE(OFFSET($BH$3,0,0,'Données projet'!$E$11+1,1))-AVERAGE(OFFSET($H$3,0,0,'Données projet'!$E$11+1,1))</f>
        <v>376.58419691967526</v>
      </c>
      <c r="BJ108" s="59">
        <f t="shared" si="92"/>
        <v>365.76175372075869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27.549687147197002</v>
      </c>
      <c r="BQ108" s="21">
        <f>EXP(-LN(2)/25)*BQ107+(1-EXP(-LN(2)/25))/(LN(2)/25)*Calculateur!BL108*Calculateur!BN108*VLOOKUP('Données projet'!$B$11,Paramètres!$A$1:$I$89,3,0)*0.475*44/12</f>
        <v>2.6774368048071309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30.227123952004131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292.78079999999977</v>
      </c>
      <c r="CA108" s="13">
        <f t="shared" si="93"/>
        <v>69.660903052386217</v>
      </c>
      <c r="CB108" s="20">
        <f t="shared" si="64"/>
        <v>631.25263281623893</v>
      </c>
      <c r="CC108" s="59">
        <f t="shared" si="65"/>
        <v>924.58596614957219</v>
      </c>
      <c r="CD108" s="59">
        <f ca="1">AVERAGE(OFFSET($CC$3,0,0,'Données projet'!$E$12+1,1))-AVERAGE(OFFSET($H$3,0,0,'Données projet'!$E$12+1,1))</f>
        <v>405.40026823646758</v>
      </c>
      <c r="CE108" s="59">
        <f t="shared" si="94"/>
        <v>393.0787141050053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36.846513784697393</v>
      </c>
      <c r="CL108" s="21">
        <f>EXP(-LN(2)/25)*CL107+(1-EXP(-LN(2)/25))/(LN(2)/25)*Calculateur!CG108*Calculateur!CI108*VLOOKUP('Données projet'!$B$12,Paramètres!$A$1:$I$89,3,0)*0.475*44/12</f>
        <v>3.580955805736604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40.427469590434001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259.99999999999983</v>
      </c>
      <c r="CU108" s="17">
        <f>CT108*VLOOKUP('Données projet'!$B$13,Paramètres!$A$1:$I$89,3,0)*VLOOKUP('Données projet'!$B$13,Paramètres!$A$1:$I$89,5,0)</f>
        <v>227.13599999999985</v>
      </c>
      <c r="CV108" s="13">
        <f t="shared" si="95"/>
        <v>55.662966886685133</v>
      </c>
      <c r="CW108" s="20">
        <f t="shared" si="67"/>
        <v>492.5415339943097</v>
      </c>
      <c r="CX108" s="59">
        <f t="shared" si="68"/>
        <v>785.87486732764296</v>
      </c>
      <c r="CY108" s="59">
        <f ca="1">AVERAGE(OFFSET($CX$3,0,0,'Données projet'!$E$13+1,1))-AVERAGE(OFFSET($H$3,0,0,'Données projet'!$E$13+1,1))</f>
        <v>381.72225529388083</v>
      </c>
      <c r="CZ108" s="59">
        <f t="shared" si="96"/>
        <v>360.05900046417361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34.201109615198902</v>
      </c>
      <c r="DG108" s="21">
        <f>EXP(-LN(2)/25)*DG107+(1-EXP(-LN(2)/25))/(LN(2)/25)*Calculateur!DB108*Calculateur!DD108*VLOOKUP('Données projet'!$B$13,Paramètres!$A$1:$I$89,3,0)*0.475*44/12</f>
        <v>11.701113915122894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45.902223530321798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6.9935897435897401</v>
      </c>
      <c r="DO108" s="12">
        <f>IF('Données projet'!$A$166&gt;35,DO107+DN108-DW107,IF(A108&lt;'Données projet'!$A$166,$DL$205^A108,IF(A108='Données projet'!$A$166,'Données projet'!$B$166,DO107+DN108-DW107)))</f>
        <v>312.19230769230808</v>
      </c>
      <c r="DP108" s="17">
        <f>DO108*VLOOKUP('Données projet'!$B$14,Paramètres!$A$1:$I$89,3,0)*VLOOKUP('Données projet'!$B$14,Paramètres!$A$1:$I$89,5,0)</f>
        <v>301.95240000000035</v>
      </c>
      <c r="DQ108" s="13">
        <f t="shared" si="97"/>
        <v>71.585606854350786</v>
      </c>
      <c r="DR108" s="20">
        <f t="shared" si="70"/>
        <v>650.57869527132823</v>
      </c>
      <c r="DS108" s="59">
        <f t="shared" si="71"/>
        <v>943.9120286046616</v>
      </c>
      <c r="DT108" s="59">
        <f ca="1">AVERAGE(OFFSET($DS$3,0,0,'Données projet'!$E$14+1,1))-AVERAGE(OFFSET($H$3,0,0,'Données projet'!$E$14+1,1))</f>
        <v>407.73540492005355</v>
      </c>
      <c r="DU108" s="59">
        <f t="shared" si="98"/>
        <v>296.29416764204774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46.648004667946388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46.648004667946388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328.00000000000017</v>
      </c>
      <c r="EK108" s="17">
        <f>EJ108*VLOOKUP('Données projet'!$B$15,Paramètres!$A$1:$I$89,3,0)*VLOOKUP('Données projet'!$B$15,Paramètres!$A$1:$I$89,5,0)</f>
        <v>255.84000000000015</v>
      </c>
      <c r="EL108" s="13">
        <f t="shared" si="99"/>
        <v>61.834803371075886</v>
      </c>
      <c r="EM108" s="20">
        <f t="shared" si="73"/>
        <v>553.28361587129086</v>
      </c>
      <c r="EN108" s="59">
        <f t="shared" si="74"/>
        <v>846.61694920462423</v>
      </c>
      <c r="EO108" s="59">
        <f ca="1">AVERAGE(OFFSET($EN$3,0,0,'Données projet'!$E$15+1,1))-AVERAGE(OFFSET($H$3,0,0,'Données projet'!$E$15+1,1))</f>
        <v>288.80569134263209</v>
      </c>
      <c r="EP108" s="59">
        <f t="shared" si="100"/>
        <v>283.48738729114024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9.9639957281545541</v>
      </c>
      <c r="EW108" s="21">
        <f>EXP(-LN(2)/25)*EW107+(1-EXP(-LN(2)/25))/(LN(2)/25)*Calculateur!ER108*Calculateur!ET108*VLOOKUP('Données projet'!$B$15,Paramètres!$A$1:$I$89,3,0)*0.475*44/12</f>
        <v>7.2812047692765267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17.245200497431082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916.19271764365703</v>
      </c>
      <c r="S109" s="59">
        <f ca="1">AVERAGE(OFFSET($R$3,0,0,'Données projet'!$E$9+1,1))-AVERAGE(OFFSET($H$3,0,0,'Données projet'!$E$9+1,1))</f>
        <v>384.05928630855732</v>
      </c>
      <c r="T109" s="59">
        <f t="shared" si="88"/>
        <v>279.93992813630513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>
        <f>VLOOKUP(A109,'Données projet'!$A$61:$I$81,2,0)</f>
        <v>89.429487179487168</v>
      </c>
      <c r="AG109" s="12">
        <f>VLOOKUP(A109,'Données projet'!$A$61:$I$81,9,0)</f>
        <v>2.2585470085470072</v>
      </c>
      <c r="AH109" s="12">
        <f t="array" ref="AH109">INDEX(AG:AG,MIN(IF(ISNUMBER(AG109:AG305),ROW(AG109:AG305),"")))</f>
        <v>2.2585470085470072</v>
      </c>
      <c r="AI109" s="13">
        <f>IF('Données projet'!$A$62&gt;35,AI108+AH109-AQ108,IF(A109&lt;'Données projet'!$A$62,$AF$205^A109,IF(A109='Données projet'!$A$62,'Données projet'!$B$62,AI108+AH109-AQ108)))</f>
        <v>89.429487179486927</v>
      </c>
      <c r="AJ109" s="13">
        <f>AI109*VLOOKUP('Données projet'!$B$10,Paramètres!$A$1:$I$89,3,0)*VLOOKUP('Données projet'!$B$10,Paramètres!$A$1:$I$89,5,0)</f>
        <v>75.335399999999794</v>
      </c>
      <c r="AK109" s="13">
        <f t="shared" si="89"/>
        <v>20.992708163412662</v>
      </c>
      <c r="AL109" s="20">
        <f t="shared" si="58"/>
        <v>167.77145505127669</v>
      </c>
      <c r="AM109" s="59">
        <f t="shared" si="59"/>
        <v>461.10478838461</v>
      </c>
      <c r="AN109" s="59">
        <f ca="1">AVERAGE(OFFSET($AM$3,0,0,'Données projet'!$E$10+1,1))-AVERAGE(OFFSET($H$3,0,0,'Données projet'!$E$10+1,1))</f>
        <v>312.48716825299158</v>
      </c>
      <c r="AO109" s="59">
        <f t="shared" si="90"/>
        <v>258.68277822755357</v>
      </c>
      <c r="AP109" s="15">
        <f>IF(ISNA(VLOOKUP(A109,'Données projet'!$A$61:$I$81,3,0)),0,VLOOKUP(A109,'Données projet'!$A$61:$I$81,3,0))</f>
        <v>13</v>
      </c>
      <c r="AQ109" s="15">
        <f>IF(ISNA(VLOOKUP(A109,'Données projet'!$A$61:$I$81,4,0)),0,VLOOKUP(A109,'Données projet'!$A$61:$I$81,4,0))</f>
        <v>89.429487179487168</v>
      </c>
      <c r="AR109" s="16">
        <f>IF(ISNA(VLOOKUP(A109,'Données projet'!$A$61:$I$81,5,0)),0%,VLOOKUP(A109,'Données projet'!$A$61:$I$81,5,0)*VLOOKUP('Données projet'!$B$10,Paramètres!$A$1:$I$89,7,0))</f>
        <v>0.38700000000000001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161.2239657129665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161.2239657129665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367.99999999999972</v>
      </c>
      <c r="BE109" s="13">
        <f>BD109*VLOOKUP('Données projet'!$B$11,Paramètres!$A$1:$I$89,3,0)*VLOOKUP('Données projet'!$B$11,Paramètres!$A$1:$I$89,5,0)</f>
        <v>269.8175999999998</v>
      </c>
      <c r="BF109" s="13">
        <f t="shared" si="91"/>
        <v>64.810557882019467</v>
      </c>
      <c r="BG109" s="20">
        <f t="shared" si="61"/>
        <v>582.81070831118348</v>
      </c>
      <c r="BH109" s="59">
        <f t="shared" si="62"/>
        <v>876.14404164451685</v>
      </c>
      <c r="BI109" s="59">
        <f ca="1">AVERAGE(OFFSET($BH$3,0,0,'Données projet'!$E$11+1,1))-AVERAGE(OFFSET($H$3,0,0,'Données projet'!$E$11+1,1))</f>
        <v>376.58419691967526</v>
      </c>
      <c r="BJ109" s="59">
        <f t="shared" si="92"/>
        <v>365.76175372075869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27.009454585890406</v>
      </c>
      <c r="BQ109" s="21">
        <f>EXP(-LN(2)/25)*BQ108+(1-EXP(-LN(2)/25))/(LN(2)/25)*Calculateur!BL109*Calculateur!BN109*VLOOKUP('Données projet'!$B$11,Paramètres!$A$1:$I$89,3,0)*0.475*44/12</f>
        <v>2.6042221545793978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29.613676740469803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292.78079999999977</v>
      </c>
      <c r="CA109" s="13">
        <f t="shared" si="93"/>
        <v>69.660903052386217</v>
      </c>
      <c r="CB109" s="20">
        <f t="shared" si="64"/>
        <v>631.25263281623893</v>
      </c>
      <c r="CC109" s="59">
        <f t="shared" si="65"/>
        <v>924.58596614957219</v>
      </c>
      <c r="CD109" s="59">
        <f ca="1">AVERAGE(OFFSET($CC$3,0,0,'Données projet'!$E$12+1,1))-AVERAGE(OFFSET($H$3,0,0,'Données projet'!$E$12+1,1))</f>
        <v>405.40026823646758</v>
      </c>
      <c r="CE109" s="59">
        <f t="shared" si="94"/>
        <v>393.0787141050053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36.123976123533744</v>
      </c>
      <c r="CL109" s="21">
        <f>EXP(-LN(2)/25)*CL108+(1-EXP(-LN(2)/25))/(LN(2)/25)*Calculateur!CG109*Calculateur!CI109*VLOOKUP('Données projet'!$B$12,Paramètres!$A$1:$I$89,3,0)*0.475*44/12</f>
        <v>3.4830343809144551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39.607010504448198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259.99999999999983</v>
      </c>
      <c r="CU109" s="17">
        <f>CT109*VLOOKUP('Données projet'!$B$13,Paramètres!$A$1:$I$89,3,0)*VLOOKUP('Données projet'!$B$13,Paramètres!$A$1:$I$89,5,0)</f>
        <v>227.13599999999985</v>
      </c>
      <c r="CV109" s="13">
        <f t="shared" si="95"/>
        <v>55.662966886685133</v>
      </c>
      <c r="CW109" s="20">
        <f t="shared" si="67"/>
        <v>492.5415339943097</v>
      </c>
      <c r="CX109" s="59">
        <f t="shared" si="68"/>
        <v>785.87486732764296</v>
      </c>
      <c r="CY109" s="59">
        <f ca="1">AVERAGE(OFFSET($CX$3,0,0,'Données projet'!$E$13+1,1))-AVERAGE(OFFSET($H$3,0,0,'Données projet'!$E$13+1,1))</f>
        <v>381.72225529388083</v>
      </c>
      <c r="CZ109" s="59">
        <f t="shared" si="96"/>
        <v>360.05900046417361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33.530446716261899</v>
      </c>
      <c r="DG109" s="21">
        <f>EXP(-LN(2)/25)*DG108+(1-EXP(-LN(2)/25))/(LN(2)/25)*Calculateur!DB109*Calculateur!DD109*VLOOKUP('Données projet'!$B$13,Paramètres!$A$1:$I$89,3,0)*0.475*44/12</f>
        <v>11.381146339779022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44.911593056040921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6.9935897435897401</v>
      </c>
      <c r="DO109" s="12">
        <f>IF('Données projet'!$A$166&gt;35,DO108+DN109-DW108,IF(A109&lt;'Données projet'!$A$166,$DL$205^A109,IF(A109='Données projet'!$A$166,'Données projet'!$B$166,DO108+DN109-DW108)))</f>
        <v>319.1858974358978</v>
      </c>
      <c r="DP109" s="17">
        <f>DO109*VLOOKUP('Données projet'!$B$14,Paramètres!$A$1:$I$89,3,0)*VLOOKUP('Données projet'!$B$14,Paramètres!$A$1:$I$89,5,0)</f>
        <v>308.71660000000031</v>
      </c>
      <c r="DQ109" s="13">
        <f t="shared" si="97"/>
        <v>73.00074049125358</v>
      </c>
      <c r="DR109" s="20">
        <f t="shared" si="70"/>
        <v>664.82436802226709</v>
      </c>
      <c r="DS109" s="59">
        <f t="shared" si="71"/>
        <v>958.15770135560047</v>
      </c>
      <c r="DT109" s="59">
        <f ca="1">AVERAGE(OFFSET($DS$3,0,0,'Données projet'!$E$14+1,1))-AVERAGE(OFFSET($H$3,0,0,'Données projet'!$E$14+1,1))</f>
        <v>407.73540492005355</v>
      </c>
      <c r="DU109" s="59">
        <f t="shared" si="98"/>
        <v>296.29416764204774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45.733265748881358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45.733265748881358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328.00000000000017</v>
      </c>
      <c r="EK109" s="17">
        <f>EJ109*VLOOKUP('Données projet'!$B$15,Paramètres!$A$1:$I$89,3,0)*VLOOKUP('Données projet'!$B$15,Paramètres!$A$1:$I$89,5,0)</f>
        <v>255.84000000000015</v>
      </c>
      <c r="EL109" s="13">
        <f t="shared" si="99"/>
        <v>61.834803371075886</v>
      </c>
      <c r="EM109" s="20">
        <f t="shared" si="73"/>
        <v>553.28361587129086</v>
      </c>
      <c r="EN109" s="59">
        <f t="shared" si="74"/>
        <v>846.61694920462423</v>
      </c>
      <c r="EO109" s="59">
        <f ca="1">AVERAGE(OFFSET($EN$3,0,0,'Données projet'!$E$15+1,1))-AVERAGE(OFFSET($H$3,0,0,'Données projet'!$E$15+1,1))</f>
        <v>288.80569134263209</v>
      </c>
      <c r="EP109" s="59">
        <f t="shared" si="100"/>
        <v>283.48738729114024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9.7686078493627413</v>
      </c>
      <c r="EW109" s="21">
        <f>EXP(-LN(2)/25)*EW108+(1-EXP(-LN(2)/25))/(LN(2)/25)*Calculateur!ER109*Calculateur!ET109*VLOOKUP('Données projet'!$B$15,Paramètres!$A$1:$I$89,3,0)*0.475*44/12</f>
        <v>7.0820998419587431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16.850707691321485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929.53136388934922</v>
      </c>
      <c r="S110" s="59">
        <f ca="1">AVERAGE(OFFSET($R$3,0,0,'Données projet'!$E$9+1,1))-AVERAGE(OFFSET($H$3,0,0,'Données projet'!$E$9+1,1))</f>
        <v>384.05928630855732</v>
      </c>
      <c r="T110" s="59">
        <f t="shared" si="88"/>
        <v>279.93992813630513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-2.4158453015843406E-13</v>
      </c>
      <c r="AJ110" s="13">
        <f>AI110*VLOOKUP('Données projet'!$B$10,Paramètres!$A$1:$I$89,3,0)*VLOOKUP('Données projet'!$B$10,Paramètres!$A$1:$I$89,5,0)</f>
        <v>-2.0351080820546486E-13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312.48716825299158</v>
      </c>
      <c r="AO110" s="59">
        <f t="shared" si="90"/>
        <v>258.68277822755357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158.06246208224437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158.06246208224437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367.99999999999972</v>
      </c>
      <c r="BE110" s="13">
        <f>BD110*VLOOKUP('Données projet'!$B$11,Paramètres!$A$1:$I$89,3,0)*VLOOKUP('Données projet'!$B$11,Paramètres!$A$1:$I$89,5,0)</f>
        <v>269.8175999999998</v>
      </c>
      <c r="BF110" s="13">
        <f t="shared" si="91"/>
        <v>64.810557882019467</v>
      </c>
      <c r="BG110" s="20">
        <f t="shared" si="61"/>
        <v>582.81070831118348</v>
      </c>
      <c r="BH110" s="59">
        <f t="shared" si="62"/>
        <v>876.14404164451685</v>
      </c>
      <c r="BI110" s="59">
        <f ca="1">AVERAGE(OFFSET($BH$3,0,0,'Données projet'!$E$11+1,1))-AVERAGE(OFFSET($H$3,0,0,'Données projet'!$E$11+1,1))</f>
        <v>376.58419691967526</v>
      </c>
      <c r="BJ110" s="59">
        <f t="shared" si="92"/>
        <v>365.76175372075869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26.479815655601705</v>
      </c>
      <c r="BQ110" s="21">
        <f>EXP(-LN(2)/25)*BQ109+(1-EXP(-LN(2)/25))/(LN(2)/25)*Calculateur!BL110*Calculateur!BN110*VLOOKUP('Données projet'!$B$11,Paramètres!$A$1:$I$89,3,0)*0.475*44/12</f>
        <v>2.533009562812333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29.012825218414036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292.78079999999977</v>
      </c>
      <c r="CA110" s="13">
        <f t="shared" si="93"/>
        <v>69.660903052386217</v>
      </c>
      <c r="CB110" s="20">
        <f t="shared" si="64"/>
        <v>631.25263281623893</v>
      </c>
      <c r="CC110" s="59">
        <f t="shared" si="65"/>
        <v>924.58596614957219</v>
      </c>
      <c r="CD110" s="59">
        <f ca="1">AVERAGE(OFFSET($CC$3,0,0,'Données projet'!$E$12+1,1))-AVERAGE(OFFSET($H$3,0,0,'Données projet'!$E$12+1,1))</f>
        <v>405.40026823646758</v>
      </c>
      <c r="CE110" s="59">
        <f t="shared" si="94"/>
        <v>393.0787141050053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35.415606985201059</v>
      </c>
      <c r="CL110" s="21">
        <f>EXP(-LN(2)/25)*CL109+(1-EXP(-LN(2)/25))/(LN(2)/25)*Calculateur!CG110*Calculateur!CI110*VLOOKUP('Données projet'!$B$12,Paramètres!$A$1:$I$89,3,0)*0.475*44/12</f>
        <v>3.3877906226035317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38.803397607804591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259.99999999999983</v>
      </c>
      <c r="CU110" s="17">
        <f>CT110*VLOOKUP('Données projet'!$B$13,Paramètres!$A$1:$I$89,3,0)*VLOOKUP('Données projet'!$B$13,Paramètres!$A$1:$I$89,5,0)</f>
        <v>227.13599999999985</v>
      </c>
      <c r="CV110" s="13">
        <f t="shared" si="95"/>
        <v>55.662966886685133</v>
      </c>
      <c r="CW110" s="20">
        <f t="shared" si="67"/>
        <v>492.5415339943097</v>
      </c>
      <c r="CX110" s="59">
        <f t="shared" si="68"/>
        <v>785.87486732764296</v>
      </c>
      <c r="CY110" s="59">
        <f ca="1">AVERAGE(OFFSET($CX$3,0,0,'Données projet'!$E$13+1,1))-AVERAGE(OFFSET($H$3,0,0,'Données projet'!$E$13+1,1))</f>
        <v>381.72225529388083</v>
      </c>
      <c r="CZ110" s="59">
        <f t="shared" si="96"/>
        <v>360.05900046417361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32.872935107709075</v>
      </c>
      <c r="DG110" s="21">
        <f>EXP(-LN(2)/25)*DG109+(1-EXP(-LN(2)/25))/(LN(2)/25)*Calculateur!DB110*Calculateur!DD110*VLOOKUP('Données projet'!$B$13,Paramètres!$A$1:$I$89,3,0)*0.475*44/12</f>
        <v>11.069928294609291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43.942863402318366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6.9935897435897401</v>
      </c>
      <c r="DO110" s="12">
        <f>IF('Données projet'!$A$166&gt;35,DO109+DN110-DW109,IF(A110&lt;'Données projet'!$A$166,$DL$205^A110,IF(A110='Données projet'!$A$166,'Données projet'!$B$166,DO109+DN110-DW109)))</f>
        <v>326.17948717948752</v>
      </c>
      <c r="DP110" s="17">
        <f>DO110*VLOOKUP('Données projet'!$B$14,Paramètres!$A$1:$I$89,3,0)*VLOOKUP('Données projet'!$B$14,Paramètres!$A$1:$I$89,5,0)</f>
        <v>315.48080000000033</v>
      </c>
      <c r="DQ110" s="13">
        <f t="shared" si="97"/>
        <v>74.412269255510381</v>
      </c>
      <c r="DR110" s="20">
        <f t="shared" si="70"/>
        <v>679.06376228668103</v>
      </c>
      <c r="DS110" s="59">
        <f t="shared" si="71"/>
        <v>972.3970956200144</v>
      </c>
      <c r="DT110" s="59">
        <f ca="1">AVERAGE(OFFSET($DS$3,0,0,'Données projet'!$E$14+1,1))-AVERAGE(OFFSET($H$3,0,0,'Données projet'!$E$14+1,1))</f>
        <v>407.73540492005355</v>
      </c>
      <c r="DU110" s="59">
        <f t="shared" si="98"/>
        <v>296.29416764204774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44.836464302083542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44.836464302083542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328.00000000000017</v>
      </c>
      <c r="EK110" s="17">
        <f>EJ110*VLOOKUP('Données projet'!$B$15,Paramètres!$A$1:$I$89,3,0)*VLOOKUP('Données projet'!$B$15,Paramètres!$A$1:$I$89,5,0)</f>
        <v>255.84000000000015</v>
      </c>
      <c r="EL110" s="13">
        <f t="shared" si="99"/>
        <v>61.834803371075886</v>
      </c>
      <c r="EM110" s="20">
        <f t="shared" si="73"/>
        <v>553.28361587129086</v>
      </c>
      <c r="EN110" s="59">
        <f t="shared" si="74"/>
        <v>846.61694920462423</v>
      </c>
      <c r="EO110" s="59">
        <f ca="1">AVERAGE(OFFSET($EN$3,0,0,'Données projet'!$E$15+1,1))-AVERAGE(OFFSET($H$3,0,0,'Données projet'!$E$15+1,1))</f>
        <v>288.80569134263209</v>
      </c>
      <c r="EP110" s="59">
        <f t="shared" si="100"/>
        <v>283.48738729114024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9.5770514076991962</v>
      </c>
      <c r="EW110" s="21">
        <f>EXP(-LN(2)/25)*EW109+(1-EXP(-LN(2)/25))/(LN(2)/25)*Calculateur!ER110*Calculateur!ET110*VLOOKUP('Données projet'!$B$15,Paramètres!$A$1:$I$89,3,0)*0.475*44/12</f>
        <v>6.8884394493489367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16.465490857048131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942.86423247100811</v>
      </c>
      <c r="S111" s="59">
        <f ca="1">AVERAGE(OFFSET($R$3,0,0,'Données projet'!$E$9+1,1))-AVERAGE(OFFSET($H$3,0,0,'Données projet'!$E$9+1,1))</f>
        <v>384.05928630855732</v>
      </c>
      <c r="T111" s="59">
        <f t="shared" si="88"/>
        <v>279.93992813630513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-2.4158453015843406E-13</v>
      </c>
      <c r="AJ111" s="13">
        <f>AI111*VLOOKUP('Données projet'!$B$10,Paramètres!$A$1:$I$89,3,0)*VLOOKUP('Données projet'!$B$10,Paramètres!$A$1:$I$89,5,0)</f>
        <v>-2.0351080820546486E-13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312.48716825299158</v>
      </c>
      <c r="AO111" s="59">
        <f t="shared" si="90"/>
        <v>258.68277822755357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154.96295360939388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154.96295360939388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367.99999999999972</v>
      </c>
      <c r="BE111" s="13">
        <f>BD111*VLOOKUP('Données projet'!$B$11,Paramètres!$A$1:$I$89,3,0)*VLOOKUP('Données projet'!$B$11,Paramètres!$A$1:$I$89,5,0)</f>
        <v>269.8175999999998</v>
      </c>
      <c r="BF111" s="13">
        <f t="shared" si="91"/>
        <v>64.810557882019467</v>
      </c>
      <c r="BG111" s="20">
        <f t="shared" si="61"/>
        <v>582.81070831118348</v>
      </c>
      <c r="BH111" s="59">
        <f t="shared" si="62"/>
        <v>876.14404164451685</v>
      </c>
      <c r="BI111" s="59">
        <f ca="1">AVERAGE(OFFSET($BH$3,0,0,'Données projet'!$E$11+1,1))-AVERAGE(OFFSET($H$3,0,0,'Données projet'!$E$11+1,1))</f>
        <v>376.58419691967526</v>
      </c>
      <c r="BJ111" s="59">
        <f t="shared" si="92"/>
        <v>365.76175372075869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25.960562621688116</v>
      </c>
      <c r="BQ111" s="21">
        <f>EXP(-LN(2)/25)*BQ110+(1-EXP(-LN(2)/25))/(LN(2)/25)*Calculateur!BL111*Calculateur!BN111*VLOOKUP('Données projet'!$B$11,Paramètres!$A$1:$I$89,3,0)*0.475*44/12</f>
        <v>2.463744283112046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28.424306904800162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292.78079999999977</v>
      </c>
      <c r="CA111" s="13">
        <f t="shared" si="93"/>
        <v>69.660903052386217</v>
      </c>
      <c r="CB111" s="20">
        <f t="shared" si="64"/>
        <v>631.25263281623893</v>
      </c>
      <c r="CC111" s="59">
        <f t="shared" si="65"/>
        <v>924.58596614957219</v>
      </c>
      <c r="CD111" s="59">
        <f ca="1">AVERAGE(OFFSET($CC$3,0,0,'Données projet'!$E$12+1,1))-AVERAGE(OFFSET($H$3,0,0,'Données projet'!$E$12+1,1))</f>
        <v>405.40026823646758</v>
      </c>
      <c r="CE111" s="59">
        <f t="shared" si="94"/>
        <v>393.0787141050053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34.721128533608564</v>
      </c>
      <c r="CL111" s="21">
        <f>EXP(-LN(2)/25)*CL110+(1-EXP(-LN(2)/25))/(LN(2)/25)*Calculateur!CG111*Calculateur!CI111*VLOOKUP('Données projet'!$B$12,Paramètres!$A$1:$I$89,3,0)*0.475*44/12</f>
        <v>3.295151309872272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38.016279843480838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259.99999999999983</v>
      </c>
      <c r="CU111" s="17">
        <f>CT111*VLOOKUP('Données projet'!$B$13,Paramètres!$A$1:$I$89,3,0)*VLOOKUP('Données projet'!$B$13,Paramètres!$A$1:$I$89,5,0)</f>
        <v>227.13599999999985</v>
      </c>
      <c r="CV111" s="13">
        <f t="shared" si="95"/>
        <v>55.662966886685133</v>
      </c>
      <c r="CW111" s="20">
        <f t="shared" si="67"/>
        <v>492.5415339943097</v>
      </c>
      <c r="CX111" s="59">
        <f t="shared" si="68"/>
        <v>785.87486732764296</v>
      </c>
      <c r="CY111" s="59">
        <f ca="1">AVERAGE(OFFSET($CX$3,0,0,'Données projet'!$E$13+1,1))-AVERAGE(OFFSET($H$3,0,0,'Données projet'!$E$13+1,1))</f>
        <v>381.72225529388083</v>
      </c>
      <c r="CZ111" s="59">
        <f t="shared" si="96"/>
        <v>360.05900046417361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32.228316900757491</v>
      </c>
      <c r="DG111" s="21">
        <f>EXP(-LN(2)/25)*DG110+(1-EXP(-LN(2)/25))/(LN(2)/25)*Calculateur!DB111*Calculateur!DD111*VLOOKUP('Données projet'!$B$13,Paramètres!$A$1:$I$89,3,0)*0.475*44/12</f>
        <v>10.767220523250971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42.995537424008461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6.9935897435897401</v>
      </c>
      <c r="DO111" s="12">
        <f>IF('Données projet'!$A$166&gt;35,DO110+DN111-DW110,IF(A111&lt;'Données projet'!$A$166,$DL$205^A111,IF(A111='Données projet'!$A$166,'Données projet'!$B$166,DO110+DN111-DW110)))</f>
        <v>333.17307692307725</v>
      </c>
      <c r="DP111" s="17">
        <f>DO111*VLOOKUP('Données projet'!$B$14,Paramètres!$A$1:$I$89,3,0)*VLOOKUP('Données projet'!$B$14,Paramètres!$A$1:$I$89,5,0)</f>
        <v>322.24500000000029</v>
      </c>
      <c r="DQ111" s="13">
        <f t="shared" si="97"/>
        <v>75.820279341440056</v>
      </c>
      <c r="DR111" s="20">
        <f t="shared" si="70"/>
        <v>693.29702818634189</v>
      </c>
      <c r="DS111" s="59">
        <f t="shared" si="71"/>
        <v>986.63036151967526</v>
      </c>
      <c r="DT111" s="59">
        <f ca="1">AVERAGE(OFFSET($DS$3,0,0,'Données projet'!$E$14+1,1))-AVERAGE(OFFSET($H$3,0,0,'Données projet'!$E$14+1,1))</f>
        <v>407.73540492005355</v>
      </c>
      <c r="DU111" s="59">
        <f t="shared" si="98"/>
        <v>296.29416764204774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43.957248584662565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43.957248584662565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328.00000000000017</v>
      </c>
      <c r="EK111" s="17">
        <f>EJ111*VLOOKUP('Données projet'!$B$15,Paramètres!$A$1:$I$89,3,0)*VLOOKUP('Données projet'!$B$15,Paramètres!$A$1:$I$89,5,0)</f>
        <v>255.84000000000015</v>
      </c>
      <c r="EL111" s="13">
        <f t="shared" si="99"/>
        <v>61.834803371075886</v>
      </c>
      <c r="EM111" s="20">
        <f t="shared" si="73"/>
        <v>553.28361587129086</v>
      </c>
      <c r="EN111" s="59">
        <f t="shared" si="74"/>
        <v>846.61694920462423</v>
      </c>
      <c r="EO111" s="59">
        <f ca="1">AVERAGE(OFFSET($EN$3,0,0,'Données projet'!$E$15+1,1))-AVERAGE(OFFSET($H$3,0,0,'Données projet'!$E$15+1,1))</f>
        <v>288.80569134263209</v>
      </c>
      <c r="EP111" s="59">
        <f t="shared" si="100"/>
        <v>283.48738729114024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9.3892512710187805</v>
      </c>
      <c r="EW111" s="21">
        <f>EXP(-LN(2)/25)*EW110+(1-EXP(-LN(2)/25))/(LN(2)/25)*Calculateur!ER111*Calculateur!ET111*VLOOKUP('Données projet'!$B$15,Paramètres!$A$1:$I$89,3,0)*0.475*44/12</f>
        <v>6.7000747103592033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16.089325981377982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956.19145863833364</v>
      </c>
      <c r="S112" s="59">
        <f ca="1">AVERAGE(OFFSET($R$3,0,0,'Données projet'!$E$9+1,1))-AVERAGE(OFFSET($H$3,0,0,'Données projet'!$E$9+1,1))</f>
        <v>384.05928630855732</v>
      </c>
      <c r="T112" s="59">
        <f t="shared" si="88"/>
        <v>279.93992813630513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-2.4158453015843406E-13</v>
      </c>
      <c r="AJ112" s="13">
        <f>AI112*VLOOKUP('Données projet'!$B$10,Paramètres!$A$1:$I$89,3,0)*VLOOKUP('Données projet'!$B$10,Paramètres!$A$1:$I$89,5,0)</f>
        <v>-2.0351080820546486E-13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312.48716825299158</v>
      </c>
      <c r="AO112" s="59">
        <f t="shared" si="90"/>
        <v>258.68277822755357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151.92422460718248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151.92422460718248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367.99999999999972</v>
      </c>
      <c r="BE112" s="13">
        <f>BD112*VLOOKUP('Données projet'!$B$11,Paramètres!$A$1:$I$89,3,0)*VLOOKUP('Données projet'!$B$11,Paramètres!$A$1:$I$89,5,0)</f>
        <v>269.8175999999998</v>
      </c>
      <c r="BF112" s="13">
        <f t="shared" si="91"/>
        <v>64.810557882019467</v>
      </c>
      <c r="BG112" s="20">
        <f t="shared" si="61"/>
        <v>582.81070831118348</v>
      </c>
      <c r="BH112" s="59">
        <f t="shared" si="62"/>
        <v>876.14404164451685</v>
      </c>
      <c r="BI112" s="59">
        <f ca="1">AVERAGE(OFFSET($BH$3,0,0,'Données projet'!$E$11+1,1))-AVERAGE(OFFSET($H$3,0,0,'Données projet'!$E$11+1,1))</f>
        <v>376.58419691967526</v>
      </c>
      <c r="BJ112" s="59">
        <f t="shared" si="92"/>
        <v>365.76175372075869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25.451491823056497</v>
      </c>
      <c r="BQ112" s="21">
        <f>EXP(-LN(2)/25)*BQ111+(1-EXP(-LN(2)/25))/(LN(2)/25)*Calculateur!BL112*Calculateur!BN112*VLOOKUP('Données projet'!$B$11,Paramètres!$A$1:$I$89,3,0)*0.475*44/12</f>
        <v>2.3963730661276661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27.847864889184162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292.78079999999977</v>
      </c>
      <c r="CA112" s="13">
        <f t="shared" si="93"/>
        <v>69.660903052386217</v>
      </c>
      <c r="CB112" s="20">
        <f t="shared" si="64"/>
        <v>631.25263281623893</v>
      </c>
      <c r="CC112" s="59">
        <f t="shared" si="65"/>
        <v>924.58596614957219</v>
      </c>
      <c r="CD112" s="59">
        <f ca="1">AVERAGE(OFFSET($CC$3,0,0,'Données projet'!$E$12+1,1))-AVERAGE(OFFSET($H$3,0,0,'Données projet'!$E$12+1,1))</f>
        <v>405.40026823646758</v>
      </c>
      <c r="CE112" s="59">
        <f t="shared" si="94"/>
        <v>393.0787141050053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34.040268380861768</v>
      </c>
      <c r="CL112" s="21">
        <f>EXP(-LN(2)/25)*CL111+(1-EXP(-LN(2)/25))/(LN(2)/25)*Calculateur!CG112*Calculateur!CI112*VLOOKUP('Données projet'!$B$12,Paramètres!$A$1:$I$89,3,0)*0.475*44/12</f>
        <v>3.2050452240193383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37.245313604881105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259.99999999999983</v>
      </c>
      <c r="CU112" s="17">
        <f>CT112*VLOOKUP('Données projet'!$B$13,Paramètres!$A$1:$I$89,3,0)*VLOOKUP('Données projet'!$B$13,Paramètres!$A$1:$I$89,5,0)</f>
        <v>227.13599999999985</v>
      </c>
      <c r="CV112" s="13">
        <f t="shared" si="95"/>
        <v>55.662966886685133</v>
      </c>
      <c r="CW112" s="20">
        <f t="shared" si="67"/>
        <v>492.5415339943097</v>
      </c>
      <c r="CX112" s="59">
        <f t="shared" si="68"/>
        <v>785.87486732764296</v>
      </c>
      <c r="CY112" s="59">
        <f ca="1">AVERAGE(OFFSET($CX$3,0,0,'Données projet'!$E$13+1,1))-AVERAGE(OFFSET($H$3,0,0,'Données projet'!$E$13+1,1))</f>
        <v>381.72225529388083</v>
      </c>
      <c r="CZ112" s="59">
        <f t="shared" si="96"/>
        <v>360.05900046417361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31.596339263665946</v>
      </c>
      <c r="DG112" s="21">
        <f>EXP(-LN(2)/25)*DG111+(1-EXP(-LN(2)/25))/(LN(2)/25)*Calculateur!DB112*Calculateur!DD112*VLOOKUP('Données projet'!$B$13,Paramètres!$A$1:$I$89,3,0)*0.475*44/12</f>
        <v>10.472790311819155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42.0691295754851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340.16666666666663</v>
      </c>
      <c r="DM112" s="12">
        <f>VLOOKUP(A112,'Données projet'!$A$165:$I$185,9,0)</f>
        <v>6.9935897435897401</v>
      </c>
      <c r="DN112" s="12">
        <f t="array" ref="DN112">INDEX(DM:DM,MIN(IF(ISNUMBER(DM112:DM308),ROW(DM112:DM308),"")))</f>
        <v>6.9935897435897401</v>
      </c>
      <c r="DO112" s="12">
        <f>IF('Données projet'!$A$166&gt;35,DO111+DN112-DW111,IF(A112&lt;'Données projet'!$A$166,$DL$205^A112,IF(A112='Données projet'!$A$166,'Données projet'!$B$166,DO111+DN112-DW111)))</f>
        <v>340.16666666666697</v>
      </c>
      <c r="DP112" s="17">
        <f>DO112*VLOOKUP('Données projet'!$B$14,Paramètres!$A$1:$I$89,3,0)*VLOOKUP('Données projet'!$B$14,Paramètres!$A$1:$I$89,5,0)</f>
        <v>329.00920000000031</v>
      </c>
      <c r="DQ112" s="13">
        <f t="shared" si="97"/>
        <v>77.224853118004603</v>
      </c>
      <c r="DR112" s="20">
        <f t="shared" si="70"/>
        <v>707.52430918052517</v>
      </c>
      <c r="DS112" s="59">
        <f t="shared" si="71"/>
        <v>1000.8576425138585</v>
      </c>
      <c r="DT112" s="59">
        <f ca="1">AVERAGE(OFFSET($DS$3,0,0,'Données projet'!$E$14+1,1))-AVERAGE(OFFSET($H$3,0,0,'Données projet'!$E$14+1,1))</f>
        <v>407.73540492005355</v>
      </c>
      <c r="DU112" s="59">
        <f t="shared" si="98"/>
        <v>296.29416764204774</v>
      </c>
      <c r="DV112" s="15">
        <f>IF(ISNA(VLOOKUP(A112,'Données projet'!$A$165:$I$185,3,0)),0,VLOOKUP(A112,'Données projet'!$A$165:$I$185,3,0))</f>
        <v>10</v>
      </c>
      <c r="DW112" s="15">
        <f>IF(ISNA(VLOOKUP(A112,'Données projet'!$A$165:$I$185,4,0)),0,VLOOKUP(A112,'Données projet'!$A$165:$I$185,4,0))</f>
        <v>51.28846153846154</v>
      </c>
      <c r="DX112" s="16">
        <f>IF(ISNA(VLOOKUP(A112,'Données projet'!$A$165:$I$185,5,0)),0%,VLOOKUP(A112,'Données projet'!$A$165:$I$185,5,0)*VLOOKUP('Données projet'!$B$14,Paramètres!$A$1:$I$89,7,0))</f>
        <v>0.38700000000000001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64.317651246031119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64.317651246031119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328.00000000000017</v>
      </c>
      <c r="EK112" s="17">
        <f>EJ112*VLOOKUP('Données projet'!$B$15,Paramètres!$A$1:$I$89,3,0)*VLOOKUP('Données projet'!$B$15,Paramètres!$A$1:$I$89,5,0)</f>
        <v>255.84000000000015</v>
      </c>
      <c r="EL112" s="13">
        <f t="shared" si="99"/>
        <v>61.834803371075886</v>
      </c>
      <c r="EM112" s="20">
        <f t="shared" si="73"/>
        <v>553.28361587129086</v>
      </c>
      <c r="EN112" s="59">
        <f t="shared" si="74"/>
        <v>846.61694920462423</v>
      </c>
      <c r="EO112" s="59">
        <f ca="1">AVERAGE(OFFSET($EN$3,0,0,'Données projet'!$E$15+1,1))-AVERAGE(OFFSET($H$3,0,0,'Données projet'!$E$15+1,1))</f>
        <v>288.80569134263209</v>
      </c>
      <c r="EP112" s="59">
        <f t="shared" si="100"/>
        <v>283.48738729114024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9.2051337804718951</v>
      </c>
      <c r="EW112" s="21">
        <f>EXP(-LN(2)/25)*EW111+(1-EXP(-LN(2)/25))/(LN(2)/25)*Calculateur!ER112*Calculateur!ET112*VLOOKUP('Données projet'!$B$15,Paramètres!$A$1:$I$89,3,0)*0.475*44/12</f>
        <v>6.5168608150628149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15.72199459553471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871.40118804341614</v>
      </c>
      <c r="S113" s="59">
        <f ca="1">AVERAGE(OFFSET($R$3,0,0,'Données projet'!$E$9+1,1))-AVERAGE(OFFSET($H$3,0,0,'Données projet'!$E$9+1,1))</f>
        <v>384.05928630855732</v>
      </c>
      <c r="T113" s="59">
        <f t="shared" si="88"/>
        <v>279.93992813630513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-2.4158453015843406E-13</v>
      </c>
      <c r="AJ113" s="13">
        <f>AI113*VLOOKUP('Données projet'!$B$10,Paramètres!$A$1:$I$89,3,0)*VLOOKUP('Données projet'!$B$10,Paramètres!$A$1:$I$89,5,0)</f>
        <v>-2.0351080820546486E-13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312.48716825299158</v>
      </c>
      <c r="AO113" s="59">
        <f t="shared" si="90"/>
        <v>258.68277822755357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148.94508322726278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148.94508322726278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367.99999999999972</v>
      </c>
      <c r="BE113" s="13">
        <f>BD113*VLOOKUP('Données projet'!$B$11,Paramètres!$A$1:$I$89,3,0)*VLOOKUP('Données projet'!$B$11,Paramètres!$A$1:$I$89,5,0)</f>
        <v>269.8175999999998</v>
      </c>
      <c r="BF113" s="13">
        <f t="shared" si="91"/>
        <v>64.810557882019467</v>
      </c>
      <c r="BG113" s="20">
        <f t="shared" si="61"/>
        <v>582.81070831118348</v>
      </c>
      <c r="BH113" s="59">
        <f t="shared" si="62"/>
        <v>876.14404164451685</v>
      </c>
      <c r="BI113" s="59">
        <f ca="1">AVERAGE(OFFSET($BH$3,0,0,'Données projet'!$E$11+1,1))-AVERAGE(OFFSET($H$3,0,0,'Données projet'!$E$11+1,1))</f>
        <v>376.58419691967526</v>
      </c>
      <c r="BJ113" s="59">
        <f t="shared" si="92"/>
        <v>365.76175372075869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24.952403592283517</v>
      </c>
      <c r="BQ113" s="21">
        <f>EXP(-LN(2)/25)*BQ112+(1-EXP(-LN(2)/25))/(LN(2)/25)*Calculateur!BL113*Calculateur!BN113*VLOOKUP('Données projet'!$B$11,Paramètres!$A$1:$I$89,3,0)*0.475*44/12</f>
        <v>2.3308441186146225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27.283247710898138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292.78079999999977</v>
      </c>
      <c r="CA113" s="13">
        <f t="shared" si="93"/>
        <v>69.660903052386217</v>
      </c>
      <c r="CB113" s="20">
        <f t="shared" si="64"/>
        <v>631.25263281623893</v>
      </c>
      <c r="CC113" s="59">
        <f t="shared" si="65"/>
        <v>924.58596614957219</v>
      </c>
      <c r="CD113" s="59">
        <f ca="1">AVERAGE(OFFSET($CC$3,0,0,'Données projet'!$E$12+1,1))-AVERAGE(OFFSET($H$3,0,0,'Données projet'!$E$12+1,1))</f>
        <v>405.40026823646758</v>
      </c>
      <c r="CE113" s="59">
        <f t="shared" si="94"/>
        <v>393.0787141050053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33.372759480426652</v>
      </c>
      <c r="CL113" s="21">
        <f>EXP(-LN(2)/25)*CL112+(1-EXP(-LN(2)/25))/(LN(2)/25)*Calculateur!CG113*Calculateur!CI113*VLOOKUP('Données projet'!$B$12,Paramètres!$A$1:$I$89,3,0)*0.475*44/12</f>
        <v>3.1174030938225266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36.490162574249176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259.99999999999983</v>
      </c>
      <c r="CU113" s="17">
        <f>CT113*VLOOKUP('Données projet'!$B$13,Paramètres!$A$1:$I$89,3,0)*VLOOKUP('Données projet'!$B$13,Paramètres!$A$1:$I$89,5,0)</f>
        <v>227.13599999999985</v>
      </c>
      <c r="CV113" s="13">
        <f t="shared" si="95"/>
        <v>55.662966886685133</v>
      </c>
      <c r="CW113" s="20">
        <f t="shared" si="67"/>
        <v>492.5415339943097</v>
      </c>
      <c r="CX113" s="59">
        <f t="shared" si="68"/>
        <v>785.87486732764296</v>
      </c>
      <c r="CY113" s="59">
        <f ca="1">AVERAGE(OFFSET($CX$3,0,0,'Données projet'!$E$13+1,1))-AVERAGE(OFFSET($H$3,0,0,'Données projet'!$E$13+1,1))</f>
        <v>381.72225529388083</v>
      </c>
      <c r="CZ113" s="59">
        <f t="shared" si="96"/>
        <v>360.05900046417361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30.976754322569469</v>
      </c>
      <c r="DG113" s="21">
        <f>EXP(-LN(2)/25)*DG112+(1-EXP(-LN(2)/25))/(LN(2)/25)*Calculateur!DB113*Calculateur!DD113*VLOOKUP('Données projet'!$B$13,Paramètres!$A$1:$I$89,3,0)*0.475*44/12</f>
        <v>10.186411310002354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41.163165632571825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6.8461538461538511</v>
      </c>
      <c r="DO113" s="12">
        <f>IF('Données projet'!$A$166&gt;35,DO112+DN113-DW112,IF(A113&lt;'Données projet'!$A$166,$DL$205^A113,IF(A113='Données projet'!$A$166,'Données projet'!$B$166,DO112+DN113-DW112)))</f>
        <v>295.72435897435929</v>
      </c>
      <c r="DP113" s="17">
        <f>DO113*VLOOKUP('Données projet'!$B$14,Paramètres!$A$1:$I$89,3,0)*VLOOKUP('Données projet'!$B$14,Paramètres!$A$1:$I$89,5,0)</f>
        <v>286.02460000000031</v>
      </c>
      <c r="DQ113" s="13">
        <f t="shared" si="97"/>
        <v>68.238598333856345</v>
      </c>
      <c r="DR113" s="20">
        <f t="shared" si="70"/>
        <v>617.00840376480016</v>
      </c>
      <c r="DS113" s="59">
        <f t="shared" si="71"/>
        <v>910.34173709813354</v>
      </c>
      <c r="DT113" s="59">
        <f ca="1">AVERAGE(OFFSET($DS$3,0,0,'Données projet'!$E$14+1,1))-AVERAGE(OFFSET($H$3,0,0,'Données projet'!$E$14+1,1))</f>
        <v>407.73540492005355</v>
      </c>
      <c r="DU113" s="59">
        <f t="shared" si="98"/>
        <v>296.29416764204774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63.056421334990077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63.056421334990077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328.00000000000017</v>
      </c>
      <c r="EK113" s="17">
        <f>EJ113*VLOOKUP('Données projet'!$B$15,Paramètres!$A$1:$I$89,3,0)*VLOOKUP('Données projet'!$B$15,Paramètres!$A$1:$I$89,5,0)</f>
        <v>255.84000000000015</v>
      </c>
      <c r="EL113" s="13">
        <f t="shared" si="99"/>
        <v>61.834803371075886</v>
      </c>
      <c r="EM113" s="20">
        <f t="shared" si="73"/>
        <v>553.28361587129086</v>
      </c>
      <c r="EN113" s="59">
        <f t="shared" si="74"/>
        <v>846.61694920462423</v>
      </c>
      <c r="EO113" s="59">
        <f ca="1">AVERAGE(OFFSET($EN$3,0,0,'Données projet'!$E$15+1,1))-AVERAGE(OFFSET($H$3,0,0,'Données projet'!$E$15+1,1))</f>
        <v>288.80569134263209</v>
      </c>
      <c r="EP113" s="59">
        <f t="shared" si="100"/>
        <v>283.48738729114024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9.0246267216140534</v>
      </c>
      <c r="EW113" s="21">
        <f>EXP(-LN(2)/25)*EW112+(1-EXP(-LN(2)/25))/(LN(2)/25)*Calculateur!ER113*Calculateur!ET113*VLOOKUP('Données projet'!$B$15,Paramètres!$A$1:$I$89,3,0)*0.475*44/12</f>
        <v>6.3386569133681068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15.36328363498216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884.47872444804648</v>
      </c>
      <c r="S114" s="59">
        <f ca="1">AVERAGE(OFFSET($R$3,0,0,'Données projet'!$E$9+1,1))-AVERAGE(OFFSET($H$3,0,0,'Données projet'!$E$9+1,1))</f>
        <v>384.05928630855732</v>
      </c>
      <c r="T114" s="59">
        <f t="shared" si="88"/>
        <v>279.93992813630513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-2.4158453015843406E-13</v>
      </c>
      <c r="AJ114" s="13">
        <f>AI114*VLOOKUP('Données projet'!$B$10,Paramètres!$A$1:$I$89,3,0)*VLOOKUP('Données projet'!$B$10,Paramètres!$A$1:$I$89,5,0)</f>
        <v>-2.0351080820546486E-13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312.48716825299158</v>
      </c>
      <c r="AO114" s="59">
        <f t="shared" si="90"/>
        <v>258.68277822755357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146.02436099270648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146.02436099270648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367.99999999999972</v>
      </c>
      <c r="BE114" s="13">
        <f>BD114*VLOOKUP('Données projet'!$B$11,Paramètres!$A$1:$I$89,3,0)*VLOOKUP('Données projet'!$B$11,Paramètres!$A$1:$I$89,5,0)</f>
        <v>269.8175999999998</v>
      </c>
      <c r="BF114" s="13">
        <f t="shared" si="91"/>
        <v>64.810557882019467</v>
      </c>
      <c r="BG114" s="20">
        <f t="shared" si="61"/>
        <v>582.81070831118348</v>
      </c>
      <c r="BH114" s="59">
        <f t="shared" si="62"/>
        <v>876.14404164451685</v>
      </c>
      <c r="BI114" s="59">
        <f ca="1">AVERAGE(OFFSET($BH$3,0,0,'Données projet'!$E$11+1,1))-AVERAGE(OFFSET($H$3,0,0,'Données projet'!$E$11+1,1))</f>
        <v>376.58419691967526</v>
      </c>
      <c r="BJ114" s="59">
        <f t="shared" si="92"/>
        <v>365.76175372075869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24.463102177302233</v>
      </c>
      <c r="BQ114" s="21">
        <f>EXP(-LN(2)/25)*BQ113+(1-EXP(-LN(2)/25))/(LN(2)/25)*Calculateur!BL114*Calculateur!BN114*VLOOKUP('Données projet'!$B$11,Paramètres!$A$1:$I$89,3,0)*0.475*44/12</f>
        <v>2.2671070636173405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26.730209240919574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292.78079999999977</v>
      </c>
      <c r="CA114" s="13">
        <f t="shared" si="93"/>
        <v>69.660903052386217</v>
      </c>
      <c r="CB114" s="20">
        <f t="shared" si="64"/>
        <v>631.25263281623893</v>
      </c>
      <c r="CC114" s="59">
        <f t="shared" si="65"/>
        <v>924.58596614957219</v>
      </c>
      <c r="CD114" s="59">
        <f ca="1">AVERAGE(OFFSET($CC$3,0,0,'Données projet'!$E$12+1,1))-AVERAGE(OFFSET($H$3,0,0,'Données projet'!$E$12+1,1))</f>
        <v>405.40026823646758</v>
      </c>
      <c r="CE114" s="59">
        <f t="shared" si="94"/>
        <v>393.0787141050053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32.718340022388844</v>
      </c>
      <c r="CL114" s="21">
        <f>EXP(-LN(2)/25)*CL113+(1-EXP(-LN(2)/25))/(LN(2)/25)*Calculateur!CG114*Calculateur!CI114*VLOOKUP('Données projet'!$B$12,Paramètres!$A$1:$I$89,3,0)*0.475*44/12</f>
        <v>3.0321575422848457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35.750497564673687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259.99999999999983</v>
      </c>
      <c r="CU114" s="17">
        <f>CT114*VLOOKUP('Données projet'!$B$13,Paramètres!$A$1:$I$89,3,0)*VLOOKUP('Données projet'!$B$13,Paramètres!$A$1:$I$89,5,0)</f>
        <v>227.13599999999985</v>
      </c>
      <c r="CV114" s="13">
        <f t="shared" si="95"/>
        <v>55.662966886685133</v>
      </c>
      <c r="CW114" s="20">
        <f t="shared" si="67"/>
        <v>492.5415339943097</v>
      </c>
      <c r="CX114" s="59">
        <f t="shared" si="68"/>
        <v>785.87486732764296</v>
      </c>
      <c r="CY114" s="59">
        <f ca="1">AVERAGE(OFFSET($CX$3,0,0,'Données projet'!$E$13+1,1))-AVERAGE(OFFSET($H$3,0,0,'Données projet'!$E$13+1,1))</f>
        <v>381.72225529388083</v>
      </c>
      <c r="CZ114" s="59">
        <f t="shared" si="96"/>
        <v>360.05900046417361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30.369319064258395</v>
      </c>
      <c r="DG114" s="21">
        <f>EXP(-LN(2)/25)*DG113+(1-EXP(-LN(2)/25))/(LN(2)/25)*Calculateur!DB114*Calculateur!DD114*VLOOKUP('Données projet'!$B$13,Paramètres!$A$1:$I$89,3,0)*0.475*44/12</f>
        <v>9.9078633570502497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40.277182421308645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6.8461538461538511</v>
      </c>
      <c r="DO114" s="12">
        <f>IF('Données projet'!$A$166&gt;35,DO113+DN114-DW113,IF(A114&lt;'Données projet'!$A$166,$DL$205^A114,IF(A114='Données projet'!$A$166,'Données projet'!$B$166,DO113+DN114-DW113)))</f>
        <v>302.57051282051316</v>
      </c>
      <c r="DP114" s="17">
        <f>DO114*VLOOKUP('Données projet'!$B$14,Paramètres!$A$1:$I$89,3,0)*VLOOKUP('Données projet'!$B$14,Paramètres!$A$1:$I$89,5,0)</f>
        <v>292.64620000000036</v>
      </c>
      <c r="DQ114" s="13">
        <f t="shared" si="97"/>
        <v>69.632604846888739</v>
      </c>
      <c r="DR114" s="20">
        <f t="shared" si="70"/>
        <v>630.9689184416651</v>
      </c>
      <c r="DS114" s="59">
        <f t="shared" si="71"/>
        <v>924.30225177499847</v>
      </c>
      <c r="DT114" s="59">
        <f ca="1">AVERAGE(OFFSET($DS$3,0,0,'Données projet'!$E$14+1,1))-AVERAGE(OFFSET($H$3,0,0,'Données projet'!$E$14+1,1))</f>
        <v>407.73540492005355</v>
      </c>
      <c r="DU114" s="59">
        <f t="shared" si="98"/>
        <v>296.29416764204774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61.819923373230267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61.819923373230267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328.00000000000017</v>
      </c>
      <c r="EK114" s="17">
        <f>EJ114*VLOOKUP('Données projet'!$B$15,Paramètres!$A$1:$I$89,3,0)*VLOOKUP('Données projet'!$B$15,Paramètres!$A$1:$I$89,5,0)</f>
        <v>255.84000000000015</v>
      </c>
      <c r="EL114" s="13">
        <f t="shared" si="99"/>
        <v>61.834803371075886</v>
      </c>
      <c r="EM114" s="20">
        <f t="shared" si="73"/>
        <v>553.28361587129086</v>
      </c>
      <c r="EN114" s="59">
        <f t="shared" si="74"/>
        <v>846.61694920462423</v>
      </c>
      <c r="EO114" s="59">
        <f ca="1">AVERAGE(OFFSET($EN$3,0,0,'Données projet'!$E$15+1,1))-AVERAGE(OFFSET($H$3,0,0,'Données projet'!$E$15+1,1))</f>
        <v>288.80569134263209</v>
      </c>
      <c r="EP114" s="59">
        <f t="shared" si="100"/>
        <v>283.48738729114024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8.8476592960819804</v>
      </c>
      <c r="EW114" s="21">
        <f>EXP(-LN(2)/25)*EW113+(1-EXP(-LN(2)/25))/(LN(2)/25)*Calculateur!ER114*Calculateur!ET114*VLOOKUP('Données projet'!$B$15,Paramètres!$A$1:$I$89,3,0)*0.475*44/12</f>
        <v>6.165326006736576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15.012985302818556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897.55023972357117</v>
      </c>
      <c r="S115" s="59">
        <f ca="1">AVERAGE(OFFSET($R$3,0,0,'Données projet'!$E$9+1,1))-AVERAGE(OFFSET($H$3,0,0,'Données projet'!$E$9+1,1))</f>
        <v>384.05928630855732</v>
      </c>
      <c r="T115" s="59">
        <f t="shared" si="88"/>
        <v>279.93992813630513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-2.4158453015843406E-13</v>
      </c>
      <c r="AJ115" s="13">
        <f>AI115*VLOOKUP('Données projet'!$B$10,Paramètres!$A$1:$I$89,3,0)*VLOOKUP('Données projet'!$B$10,Paramètres!$A$1:$I$89,5,0)</f>
        <v>-2.0351080820546486E-13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312.48716825299158</v>
      </c>
      <c r="AO115" s="59">
        <f t="shared" si="90"/>
        <v>258.68277822755357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143.16091233970516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143.16091233970516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367.99999999999972</v>
      </c>
      <c r="BE115" s="13">
        <f>BD115*VLOOKUP('Données projet'!$B$11,Paramètres!$A$1:$I$89,3,0)*VLOOKUP('Données projet'!$B$11,Paramètres!$A$1:$I$89,5,0)</f>
        <v>269.8175999999998</v>
      </c>
      <c r="BF115" s="13">
        <f t="shared" si="91"/>
        <v>64.810557882019467</v>
      </c>
      <c r="BG115" s="20">
        <f t="shared" si="61"/>
        <v>582.81070831118348</v>
      </c>
      <c r="BH115" s="59">
        <f t="shared" si="62"/>
        <v>876.14404164451685</v>
      </c>
      <c r="BI115" s="59">
        <f ca="1">AVERAGE(OFFSET($BH$3,0,0,'Données projet'!$E$11+1,1))-AVERAGE(OFFSET($H$3,0,0,'Données projet'!$E$11+1,1))</f>
        <v>376.58419691967526</v>
      </c>
      <c r="BJ115" s="59">
        <f t="shared" si="92"/>
        <v>365.76175372075869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23.983395664624336</v>
      </c>
      <c r="BQ115" s="21">
        <f>EXP(-LN(2)/25)*BQ114+(1-EXP(-LN(2)/25))/(LN(2)/25)*Calculateur!BL115*Calculateur!BN115*VLOOKUP('Données projet'!$B$11,Paramètres!$A$1:$I$89,3,0)*0.475*44/12</f>
        <v>2.2051129017407454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26.18850856636508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292.78079999999977</v>
      </c>
      <c r="CA115" s="13">
        <f t="shared" si="93"/>
        <v>69.660903052386217</v>
      </c>
      <c r="CB115" s="20">
        <f t="shared" si="64"/>
        <v>631.25263281623893</v>
      </c>
      <c r="CC115" s="59">
        <f t="shared" si="65"/>
        <v>924.58596614957219</v>
      </c>
      <c r="CD115" s="59">
        <f ca="1">AVERAGE(OFFSET($CC$3,0,0,'Données projet'!$E$12+1,1))-AVERAGE(OFFSET($H$3,0,0,'Données projet'!$E$12+1,1))</f>
        <v>405.40026823646758</v>
      </c>
      <c r="CE115" s="59">
        <f t="shared" si="94"/>
        <v>393.0787141050053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32.076753330766699</v>
      </c>
      <c r="CL115" s="21">
        <f>EXP(-LN(2)/25)*CL114+(1-EXP(-LN(2)/25))/(LN(2)/25)*Calculateur!CG115*Calculateur!CI115*VLOOKUP('Données projet'!$B$12,Paramètres!$A$1:$I$89,3,0)*0.475*44/12</f>
        <v>2.9492430348368317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35.025996365603532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259.99999999999983</v>
      </c>
      <c r="CU115" s="17">
        <f>CT115*VLOOKUP('Données projet'!$B$13,Paramètres!$A$1:$I$89,3,0)*VLOOKUP('Données projet'!$B$13,Paramètres!$A$1:$I$89,5,0)</f>
        <v>227.13599999999985</v>
      </c>
      <c r="CV115" s="13">
        <f t="shared" si="95"/>
        <v>55.662966886685133</v>
      </c>
      <c r="CW115" s="20">
        <f t="shared" si="67"/>
        <v>492.5415339943097</v>
      </c>
      <c r="CX115" s="59">
        <f t="shared" si="68"/>
        <v>785.87486732764296</v>
      </c>
      <c r="CY115" s="59">
        <f ca="1">AVERAGE(OFFSET($CX$3,0,0,'Données projet'!$E$13+1,1))-AVERAGE(OFFSET($H$3,0,0,'Données projet'!$E$13+1,1))</f>
        <v>381.72225529388083</v>
      </c>
      <c r="CZ115" s="59">
        <f t="shared" si="96"/>
        <v>360.05900046417361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29.773795240863876</v>
      </c>
      <c r="DG115" s="21">
        <f>EXP(-LN(2)/25)*DG114+(1-EXP(-LN(2)/25))/(LN(2)/25)*Calculateur!DB115*Calculateur!DD115*VLOOKUP('Données projet'!$B$13,Paramètres!$A$1:$I$89,3,0)*0.475*44/12</f>
        <v>9.6369323125198214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39.410727553383694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6.8461538461538511</v>
      </c>
      <c r="DO115" s="12">
        <f>IF('Données projet'!$A$166&gt;35,DO114+DN115-DW114,IF(A115&lt;'Données projet'!$A$166,$DL$205^A115,IF(A115='Données projet'!$A$166,'Données projet'!$B$166,DO114+DN115-DW114)))</f>
        <v>309.41666666666703</v>
      </c>
      <c r="DP115" s="17">
        <f>DO115*VLOOKUP('Données projet'!$B$14,Paramètres!$A$1:$I$89,3,0)*VLOOKUP('Données projet'!$B$14,Paramètres!$A$1:$I$89,5,0)</f>
        <v>299.26780000000036</v>
      </c>
      <c r="DQ115" s="13">
        <f t="shared" si="97"/>
        <v>71.022944407954824</v>
      </c>
      <c r="DR115" s="20">
        <f t="shared" si="70"/>
        <v>644.92304651052189</v>
      </c>
      <c r="DS115" s="59">
        <f t="shared" si="71"/>
        <v>938.25637984385526</v>
      </c>
      <c r="DT115" s="59">
        <f ca="1">AVERAGE(OFFSET($DS$3,0,0,'Données projet'!$E$14+1,1))-AVERAGE(OFFSET($H$3,0,0,'Données projet'!$E$14+1,1))</f>
        <v>407.73540492005355</v>
      </c>
      <c r="DU115" s="59">
        <f t="shared" si="98"/>
        <v>296.29416764204774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60.607672382311279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60.607672382311279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328.00000000000017</v>
      </c>
      <c r="EK115" s="17">
        <f>EJ115*VLOOKUP('Données projet'!$B$15,Paramètres!$A$1:$I$89,3,0)*VLOOKUP('Données projet'!$B$15,Paramètres!$A$1:$I$89,5,0)</f>
        <v>255.84000000000015</v>
      </c>
      <c r="EL115" s="13">
        <f t="shared" si="99"/>
        <v>61.834803371075886</v>
      </c>
      <c r="EM115" s="20">
        <f t="shared" si="73"/>
        <v>553.28361587129086</v>
      </c>
      <c r="EN115" s="59">
        <f t="shared" si="74"/>
        <v>846.61694920462423</v>
      </c>
      <c r="EO115" s="59">
        <f ca="1">AVERAGE(OFFSET($EN$3,0,0,'Données projet'!$E$15+1,1))-AVERAGE(OFFSET($H$3,0,0,'Données projet'!$E$15+1,1))</f>
        <v>288.80569134263209</v>
      </c>
      <c r="EP115" s="59">
        <f t="shared" si="100"/>
        <v>283.48738729114024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8.6741620938251192</v>
      </c>
      <c r="EW115" s="21">
        <f>EXP(-LN(2)/25)*EW114+(1-EXP(-LN(2)/25))/(LN(2)/25)*Calculateur!ER115*Calculateur!ET115*VLOOKUP('Données projet'!$B$15,Paramètres!$A$1:$I$89,3,0)*0.475*44/12</f>
        <v>5.9967348428619607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14.670896936687079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910.61588243385177</v>
      </c>
      <c r="S116" s="59">
        <f ca="1">AVERAGE(OFFSET($R$3,0,0,'Données projet'!$E$9+1,1))-AVERAGE(OFFSET($H$3,0,0,'Données projet'!$E$9+1,1))</f>
        <v>384.05928630855732</v>
      </c>
      <c r="T116" s="59">
        <f t="shared" si="88"/>
        <v>279.93992813630513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-2.4158453015843406E-13</v>
      </c>
      <c r="AJ116" s="13">
        <f>AI116*VLOOKUP('Données projet'!$B$10,Paramètres!$A$1:$I$89,3,0)*VLOOKUP('Données projet'!$B$10,Paramètres!$A$1:$I$89,5,0)</f>
        <v>-2.0351080820546486E-13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312.48716825299158</v>
      </c>
      <c r="AO116" s="59">
        <f t="shared" si="90"/>
        <v>258.68277822755357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140.35361416825799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140.35361416825799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367.99999999999972</v>
      </c>
      <c r="BE116" s="13">
        <f>BD116*VLOOKUP('Données projet'!$B$11,Paramètres!$A$1:$I$89,3,0)*VLOOKUP('Données projet'!$B$11,Paramètres!$A$1:$I$89,5,0)</f>
        <v>269.8175999999998</v>
      </c>
      <c r="BF116" s="13">
        <f t="shared" si="91"/>
        <v>64.810557882019467</v>
      </c>
      <c r="BG116" s="20">
        <f t="shared" si="61"/>
        <v>582.81070831118348</v>
      </c>
      <c r="BH116" s="59">
        <f t="shared" si="62"/>
        <v>876.14404164451685</v>
      </c>
      <c r="BI116" s="59">
        <f ca="1">AVERAGE(OFFSET($BH$3,0,0,'Données projet'!$E$11+1,1))-AVERAGE(OFFSET($H$3,0,0,'Données projet'!$E$11+1,1))</f>
        <v>376.58419691967526</v>
      </c>
      <c r="BJ116" s="59">
        <f t="shared" si="92"/>
        <v>365.76175372075869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23.513095904067971</v>
      </c>
      <c r="BQ116" s="21">
        <f>EXP(-LN(2)/25)*BQ115+(1-EXP(-LN(2)/25))/(LN(2)/25)*Calculateur!BL116*Calculateur!BN116*VLOOKUP('Données projet'!$B$11,Paramètres!$A$1:$I$89,3,0)*0.475*44/12</f>
        <v>2.1448139734807969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25.657909877548768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292.78079999999977</v>
      </c>
      <c r="CA116" s="13">
        <f t="shared" si="93"/>
        <v>69.660903052386217</v>
      </c>
      <c r="CB116" s="20">
        <f t="shared" si="64"/>
        <v>631.25263281623893</v>
      </c>
      <c r="CC116" s="59">
        <f t="shared" si="65"/>
        <v>924.58596614957219</v>
      </c>
      <c r="CD116" s="59">
        <f ca="1">AVERAGE(OFFSET($CC$3,0,0,'Données projet'!$E$12+1,1))-AVERAGE(OFFSET($H$3,0,0,'Données projet'!$E$12+1,1))</f>
        <v>405.40026823646758</v>
      </c>
      <c r="CE116" s="59">
        <f t="shared" si="94"/>
        <v>393.0787141050053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31.447747762838024</v>
      </c>
      <c r="CL116" s="21">
        <f>EXP(-LN(2)/25)*CL115+(1-EXP(-LN(2)/25))/(LN(2)/25)*Calculateur!CG116*Calculateur!CI116*VLOOKUP('Données projet'!$B$12,Paramètres!$A$1:$I$89,3,0)*0.475*44/12</f>
        <v>2.868595828955268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34.316343591793292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259.99999999999983</v>
      </c>
      <c r="CU116" s="17">
        <f>CT116*VLOOKUP('Données projet'!$B$13,Paramètres!$A$1:$I$89,3,0)*VLOOKUP('Données projet'!$B$13,Paramètres!$A$1:$I$89,5,0)</f>
        <v>227.13599999999985</v>
      </c>
      <c r="CV116" s="13">
        <f t="shared" si="95"/>
        <v>55.662966886685133</v>
      </c>
      <c r="CW116" s="20">
        <f t="shared" si="67"/>
        <v>492.5415339943097</v>
      </c>
      <c r="CX116" s="59">
        <f t="shared" si="68"/>
        <v>785.87486732764296</v>
      </c>
      <c r="CY116" s="59">
        <f ca="1">AVERAGE(OFFSET($CX$3,0,0,'Données projet'!$E$13+1,1))-AVERAGE(OFFSET($H$3,0,0,'Données projet'!$E$13+1,1))</f>
        <v>381.72225529388083</v>
      </c>
      <c r="CZ116" s="59">
        <f t="shared" si="96"/>
        <v>360.05900046417361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29.18994927641246</v>
      </c>
      <c r="DG116" s="21">
        <f>EXP(-LN(2)/25)*DG115+(1-EXP(-LN(2)/25))/(LN(2)/25)*Calculateur!DB116*Calculateur!DD116*VLOOKUP('Données projet'!$B$13,Paramètres!$A$1:$I$89,3,0)*0.475*44/12</f>
        <v>9.3734098916497217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38.563359168062178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6.8461538461538511</v>
      </c>
      <c r="DO116" s="12">
        <f>IF('Données projet'!$A$166&gt;35,DO115+DN116-DW115,IF(A116&lt;'Données projet'!$A$166,$DL$205^A116,IF(A116='Données projet'!$A$166,'Données projet'!$B$166,DO115+DN116-DW115)))</f>
        <v>316.26282051282089</v>
      </c>
      <c r="DP116" s="17">
        <f>DO116*VLOOKUP('Données projet'!$B$14,Paramètres!$A$1:$I$89,3,0)*VLOOKUP('Données projet'!$B$14,Paramètres!$A$1:$I$89,5,0)</f>
        <v>305.88940000000042</v>
      </c>
      <c r="DQ116" s="13">
        <f t="shared" si="97"/>
        <v>72.409707494527041</v>
      </c>
      <c r="DR116" s="20">
        <f t="shared" si="70"/>
        <v>658.87094555296858</v>
      </c>
      <c r="DS116" s="59">
        <f t="shared" si="71"/>
        <v>952.20427888630184</v>
      </c>
      <c r="DT116" s="59">
        <f ca="1">AVERAGE(OFFSET($DS$3,0,0,'Données projet'!$E$14+1,1))-AVERAGE(OFFSET($H$3,0,0,'Données projet'!$E$14+1,1))</f>
        <v>407.73540492005355</v>
      </c>
      <c r="DU116" s="59">
        <f t="shared" si="98"/>
        <v>296.29416764204774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59.419192893924119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59.419192893924119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328.00000000000017</v>
      </c>
      <c r="EK116" s="17">
        <f>EJ116*VLOOKUP('Données projet'!$B$15,Paramètres!$A$1:$I$89,3,0)*VLOOKUP('Données projet'!$B$15,Paramètres!$A$1:$I$89,5,0)</f>
        <v>255.84000000000015</v>
      </c>
      <c r="EL116" s="13">
        <f t="shared" si="99"/>
        <v>61.834803371075886</v>
      </c>
      <c r="EM116" s="20">
        <f t="shared" si="73"/>
        <v>553.28361587129086</v>
      </c>
      <c r="EN116" s="59">
        <f t="shared" si="74"/>
        <v>846.61694920462423</v>
      </c>
      <c r="EO116" s="59">
        <f ca="1">AVERAGE(OFFSET($EN$3,0,0,'Données projet'!$E$15+1,1))-AVERAGE(OFFSET($H$3,0,0,'Données projet'!$E$15+1,1))</f>
        <v>288.80569134263209</v>
      </c>
      <c r="EP116" s="59">
        <f t="shared" si="100"/>
        <v>283.48738729114024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8.5040670658816708</v>
      </c>
      <c r="EW116" s="21">
        <f>EXP(-LN(2)/25)*EW115+(1-EXP(-LN(2)/25))/(LN(2)/25)*Calculateur!ER116*Calculateur!ET116*VLOOKUP('Données projet'!$B$15,Paramètres!$A$1:$I$89,3,0)*0.475*44/12</f>
        <v>5.8327538132293206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14.336820879110991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923.67579434344702</v>
      </c>
      <c r="S117" s="59">
        <f ca="1">AVERAGE(OFFSET($R$3,0,0,'Données projet'!$E$9+1,1))-AVERAGE(OFFSET($H$3,0,0,'Données projet'!$E$9+1,1))</f>
        <v>384.05928630855732</v>
      </c>
      <c r="T117" s="59">
        <f t="shared" si="88"/>
        <v>279.93992813630513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-2.4158453015843406E-13</v>
      </c>
      <c r="AJ117" s="13">
        <f>AI117*VLOOKUP('Données projet'!$B$10,Paramètres!$A$1:$I$89,3,0)*VLOOKUP('Données projet'!$B$10,Paramètres!$A$1:$I$89,5,0)</f>
        <v>-2.0351080820546486E-13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312.48716825299158</v>
      </c>
      <c r="AO117" s="59">
        <f t="shared" si="90"/>
        <v>258.68277822755357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137.60136540167008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137.60136540167008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367.99999999999972</v>
      </c>
      <c r="BE117" s="13">
        <f>BD117*VLOOKUP('Données projet'!$B$11,Paramètres!$A$1:$I$89,3,0)*VLOOKUP('Données projet'!$B$11,Paramètres!$A$1:$I$89,5,0)</f>
        <v>269.8175999999998</v>
      </c>
      <c r="BF117" s="13">
        <f t="shared" si="91"/>
        <v>64.810557882019467</v>
      </c>
      <c r="BG117" s="20">
        <f t="shared" si="61"/>
        <v>582.81070831118348</v>
      </c>
      <c r="BH117" s="59">
        <f t="shared" si="62"/>
        <v>876.14404164451685</v>
      </c>
      <c r="BI117" s="59">
        <f ca="1">AVERAGE(OFFSET($BH$3,0,0,'Données projet'!$E$11+1,1))-AVERAGE(OFFSET($H$3,0,0,'Données projet'!$E$11+1,1))</f>
        <v>376.58419691967526</v>
      </c>
      <c r="BJ117" s="59">
        <f t="shared" si="92"/>
        <v>365.76175372075869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23.052018434961585</v>
      </c>
      <c r="BQ117" s="21">
        <f>EXP(-LN(2)/25)*BQ116+(1-EXP(-LN(2)/25))/(LN(2)/25)*Calculateur!BL117*Calculateur!BN117*VLOOKUP('Données projet'!$B$11,Paramètres!$A$1:$I$89,3,0)*0.475*44/12</f>
        <v>2.0861639225850999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25.138182357546686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292.78079999999977</v>
      </c>
      <c r="CA117" s="13">
        <f t="shared" si="93"/>
        <v>69.660903052386217</v>
      </c>
      <c r="CB117" s="20">
        <f t="shared" si="64"/>
        <v>631.25263281623893</v>
      </c>
      <c r="CC117" s="59">
        <f t="shared" si="65"/>
        <v>924.58596614957219</v>
      </c>
      <c r="CD117" s="59">
        <f ca="1">AVERAGE(OFFSET($CC$3,0,0,'Données projet'!$E$12+1,1))-AVERAGE(OFFSET($H$3,0,0,'Données projet'!$E$12+1,1))</f>
        <v>405.40026823646758</v>
      </c>
      <c r="CE117" s="59">
        <f t="shared" si="94"/>
        <v>393.0787141050053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30.831076610440917</v>
      </c>
      <c r="CL117" s="21">
        <f>EXP(-LN(2)/25)*CL116+(1-EXP(-LN(2)/25))/(LN(2)/25)*Calculateur!CG117*Calculateur!CI117*VLOOKUP('Données projet'!$B$12,Paramètres!$A$1:$I$89,3,0)*0.475*44/12</f>
        <v>2.7901539251595877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33.621230535600503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259.99999999999983</v>
      </c>
      <c r="CU117" s="17">
        <f>CT117*VLOOKUP('Données projet'!$B$13,Paramètres!$A$1:$I$89,3,0)*VLOOKUP('Données projet'!$B$13,Paramètres!$A$1:$I$89,5,0)</f>
        <v>227.13599999999985</v>
      </c>
      <c r="CV117" s="13">
        <f t="shared" si="95"/>
        <v>55.662966886685133</v>
      </c>
      <c r="CW117" s="20">
        <f t="shared" si="67"/>
        <v>492.5415339943097</v>
      </c>
      <c r="CX117" s="59">
        <f t="shared" si="68"/>
        <v>785.87486732764296</v>
      </c>
      <c r="CY117" s="59">
        <f ca="1">AVERAGE(OFFSET($CX$3,0,0,'Données projet'!$E$13+1,1))-AVERAGE(OFFSET($H$3,0,0,'Données projet'!$E$13+1,1))</f>
        <v>381.72225529388083</v>
      </c>
      <c r="CZ117" s="59">
        <f t="shared" si="96"/>
        <v>360.05900046417361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28.61755217521306</v>
      </c>
      <c r="DG117" s="21">
        <f>EXP(-LN(2)/25)*DG116+(1-EXP(-LN(2)/25))/(LN(2)/25)*Calculateur!DB117*Calculateur!DD117*VLOOKUP('Données projet'!$B$13,Paramètres!$A$1:$I$89,3,0)*0.475*44/12</f>
        <v>9.1170935052363564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37.734645680449418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6.8461538461538511</v>
      </c>
      <c r="DO117" s="12">
        <f>IF('Données projet'!$A$166&gt;35,DO116+DN117-DW116,IF(A117&lt;'Données projet'!$A$166,$DL$205^A117,IF(A117='Données projet'!$A$166,'Données projet'!$B$166,DO116+DN117-DW116)))</f>
        <v>323.10897435897476</v>
      </c>
      <c r="DP117" s="17">
        <f>DO117*VLOOKUP('Données projet'!$B$14,Paramètres!$A$1:$I$89,3,0)*VLOOKUP('Données projet'!$B$14,Paramètres!$A$1:$I$89,5,0)</f>
        <v>312.51100000000037</v>
      </c>
      <c r="DQ117" s="13">
        <f t="shared" si="97"/>
        <v>73.792980443207668</v>
      </c>
      <c r="DR117" s="20">
        <f t="shared" si="70"/>
        <v>672.81276593858729</v>
      </c>
      <c r="DS117" s="59">
        <f t="shared" si="71"/>
        <v>966.14609927192055</v>
      </c>
      <c r="DT117" s="59">
        <f ca="1">AVERAGE(OFFSET($DS$3,0,0,'Données projet'!$E$14+1,1))-AVERAGE(OFFSET($H$3,0,0,'Données projet'!$E$14+1,1))</f>
        <v>407.73540492005355</v>
      </c>
      <c r="DU117" s="59">
        <f t="shared" si="98"/>
        <v>296.29416764204774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58.254018763403323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58.254018763403323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328.00000000000017</v>
      </c>
      <c r="EK117" s="17">
        <f>EJ117*VLOOKUP('Données projet'!$B$15,Paramètres!$A$1:$I$89,3,0)*VLOOKUP('Données projet'!$B$15,Paramètres!$A$1:$I$89,5,0)</f>
        <v>255.84000000000015</v>
      </c>
      <c r="EL117" s="13">
        <f t="shared" si="99"/>
        <v>61.834803371075886</v>
      </c>
      <c r="EM117" s="20">
        <f t="shared" si="73"/>
        <v>553.28361587129086</v>
      </c>
      <c r="EN117" s="59">
        <f t="shared" si="74"/>
        <v>846.61694920462423</v>
      </c>
      <c r="EO117" s="59">
        <f ca="1">AVERAGE(OFFSET($EN$3,0,0,'Données projet'!$E$15+1,1))-AVERAGE(OFFSET($H$3,0,0,'Données projet'!$E$15+1,1))</f>
        <v>288.80569134263209</v>
      </c>
      <c r="EP117" s="59">
        <f t="shared" si="100"/>
        <v>283.48738729114024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8.3373074976884709</v>
      </c>
      <c r="EW117" s="21">
        <f>EXP(-LN(2)/25)*EW116+(1-EXP(-LN(2)/25))/(LN(2)/25)*Calculateur!ER117*Calculateur!ET117*VLOOKUP('Données projet'!$B$15,Paramètres!$A$1:$I$89,3,0)*0.475*44/12</f>
        <v>5.6732568534753725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14.010564351163843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936.73011086616384</v>
      </c>
      <c r="S118" s="59">
        <f ca="1">AVERAGE(OFFSET($R$3,0,0,'Données projet'!$E$9+1,1))-AVERAGE(OFFSET($H$3,0,0,'Données projet'!$E$9+1,1))</f>
        <v>384.05928630855732</v>
      </c>
      <c r="T118" s="59">
        <f t="shared" si="88"/>
        <v>279.93992813630513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-2.4158453015843406E-13</v>
      </c>
      <c r="AJ118" s="13">
        <f>AI118*VLOOKUP('Données projet'!$B$10,Paramètres!$A$1:$I$89,3,0)*VLOOKUP('Données projet'!$B$10,Paramètres!$A$1:$I$89,5,0)</f>
        <v>-2.0351080820546486E-13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312.48716825299158</v>
      </c>
      <c r="AO118" s="59">
        <f t="shared" si="90"/>
        <v>258.68277822755357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134.90308655468897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134.90308655468897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367.99999999999972</v>
      </c>
      <c r="BE118" s="13">
        <f>BD118*VLOOKUP('Données projet'!$B$11,Paramètres!$A$1:$I$89,3,0)*VLOOKUP('Données projet'!$B$11,Paramètres!$A$1:$I$89,5,0)</f>
        <v>269.8175999999998</v>
      </c>
      <c r="BF118" s="13">
        <f t="shared" si="91"/>
        <v>64.810557882019467</v>
      </c>
      <c r="BG118" s="20">
        <f t="shared" si="61"/>
        <v>582.81070831118348</v>
      </c>
      <c r="BH118" s="59">
        <f t="shared" si="62"/>
        <v>876.14404164451685</v>
      </c>
      <c r="BI118" s="59">
        <f ca="1">AVERAGE(OFFSET($BH$3,0,0,'Données projet'!$E$11+1,1))-AVERAGE(OFFSET($H$3,0,0,'Données projet'!$E$11+1,1))</f>
        <v>376.58419691967526</v>
      </c>
      <c r="BJ118" s="59">
        <f t="shared" si="92"/>
        <v>365.76175372075869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22.599982413794891</v>
      </c>
      <c r="BQ118" s="21">
        <f>EXP(-LN(2)/25)*BQ117+(1-EXP(-LN(2)/25))/(LN(2)/25)*Calculateur!BL118*Calculateur!BN118*VLOOKUP('Données projet'!$B$11,Paramètres!$A$1:$I$89,3,0)*0.475*44/12</f>
        <v>2.0291176604154177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24.629100074210307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292.78079999999977</v>
      </c>
      <c r="CA118" s="13">
        <f t="shared" si="93"/>
        <v>69.660903052386217</v>
      </c>
      <c r="CB118" s="20">
        <f t="shared" si="64"/>
        <v>631.25263281623893</v>
      </c>
      <c r="CC118" s="59">
        <f t="shared" si="65"/>
        <v>924.58596614957219</v>
      </c>
      <c r="CD118" s="59">
        <f ca="1">AVERAGE(OFFSET($CC$3,0,0,'Données projet'!$E$12+1,1))-AVERAGE(OFFSET($H$3,0,0,'Données projet'!$E$12+1,1))</f>
        <v>405.40026823646758</v>
      </c>
      <c r="CE118" s="59">
        <f t="shared" si="94"/>
        <v>393.0787141050053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30.226498003210054</v>
      </c>
      <c r="CL118" s="21">
        <f>EXP(-LN(2)/25)*CL117+(1-EXP(-LN(2)/25))/(LN(2)/25)*Calculateur!CG118*Calculateur!CI118*VLOOKUP('Données projet'!$B$12,Paramètres!$A$1:$I$89,3,0)*0.475*44/12</f>
        <v>2.7138570193482807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32.940355022558336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259.99999999999983</v>
      </c>
      <c r="CU118" s="17">
        <f>CT118*VLOOKUP('Données projet'!$B$13,Paramètres!$A$1:$I$89,3,0)*VLOOKUP('Données projet'!$B$13,Paramètres!$A$1:$I$89,5,0)</f>
        <v>227.13599999999985</v>
      </c>
      <c r="CV118" s="13">
        <f t="shared" si="95"/>
        <v>55.662966886685133</v>
      </c>
      <c r="CW118" s="20">
        <f t="shared" si="67"/>
        <v>492.5415339943097</v>
      </c>
      <c r="CX118" s="59">
        <f t="shared" si="68"/>
        <v>785.87486732764296</v>
      </c>
      <c r="CY118" s="59">
        <f ca="1">AVERAGE(OFFSET($CX$3,0,0,'Données projet'!$E$13+1,1))-AVERAGE(OFFSET($H$3,0,0,'Données projet'!$E$13+1,1))</f>
        <v>381.72225529388083</v>
      </c>
      <c r="CZ118" s="59">
        <f t="shared" si="96"/>
        <v>360.05900046417361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28.056379432040423</v>
      </c>
      <c r="DG118" s="21">
        <f>EXP(-LN(2)/25)*DG117+(1-EXP(-LN(2)/25))/(LN(2)/25)*Calculateur!DB118*Calculateur!DD118*VLOOKUP('Données projet'!$B$13,Paramètres!$A$1:$I$89,3,0)*0.475*44/12</f>
        <v>8.8677861038885588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36.924165535928978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6.8461538461538511</v>
      </c>
      <c r="DO118" s="12">
        <f>IF('Données projet'!$A$166&gt;35,DO117+DN118-DW117,IF(A118&lt;'Données projet'!$A$166,$DL$205^A118,IF(A118='Données projet'!$A$166,'Données projet'!$B$166,DO117+DN118-DW117)))</f>
        <v>329.95512820512863</v>
      </c>
      <c r="DP118" s="17">
        <f>DO118*VLOOKUP('Données projet'!$B$14,Paramètres!$A$1:$I$89,3,0)*VLOOKUP('Données projet'!$B$14,Paramètres!$A$1:$I$89,5,0)</f>
        <v>319.13260000000042</v>
      </c>
      <c r="DQ118" s="13">
        <f t="shared" si="97"/>
        <v>75.172845722901712</v>
      </c>
      <c r="DR118" s="20">
        <f t="shared" si="70"/>
        <v>686.74865130072124</v>
      </c>
      <c r="DS118" s="59">
        <f t="shared" si="71"/>
        <v>980.08198463405461</v>
      </c>
      <c r="DT118" s="59">
        <f ca="1">AVERAGE(OFFSET($DS$3,0,0,'Données projet'!$E$14+1,1))-AVERAGE(OFFSET($H$3,0,0,'Données projet'!$E$14+1,1))</f>
        <v>407.73540492005355</v>
      </c>
      <c r="DU118" s="59">
        <f t="shared" si="98"/>
        <v>296.29416764204774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57.111692986895989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57.111692986895989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328.00000000000017</v>
      </c>
      <c r="EK118" s="17">
        <f>EJ118*VLOOKUP('Données projet'!$B$15,Paramètres!$A$1:$I$89,3,0)*VLOOKUP('Données projet'!$B$15,Paramètres!$A$1:$I$89,5,0)</f>
        <v>255.84000000000015</v>
      </c>
      <c r="EL118" s="13">
        <f t="shared" si="99"/>
        <v>61.834803371075886</v>
      </c>
      <c r="EM118" s="20">
        <f t="shared" si="73"/>
        <v>553.28361587129086</v>
      </c>
      <c r="EN118" s="59">
        <f t="shared" si="74"/>
        <v>846.61694920462423</v>
      </c>
      <c r="EO118" s="59">
        <f ca="1">AVERAGE(OFFSET($EN$3,0,0,'Données projet'!$E$15+1,1))-AVERAGE(OFFSET($H$3,0,0,'Données projet'!$E$15+1,1))</f>
        <v>288.80569134263209</v>
      </c>
      <c r="EP118" s="59">
        <f t="shared" si="100"/>
        <v>283.48738729114024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8.1738179829142457</v>
      </c>
      <c r="EW118" s="21">
        <f>EXP(-LN(2)/25)*EW117+(1-EXP(-LN(2)/25))/(LN(2)/25)*Calculateur!ER118*Calculateur!ET118*VLOOKUP('Données projet'!$B$15,Paramètres!$A$1:$I$89,3,0)*0.475*44/12</f>
        <v>5.5181213464734773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13.691939329387722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949.77896147532647</v>
      </c>
      <c r="S119" s="59">
        <f ca="1">AVERAGE(OFFSET($R$3,0,0,'Données projet'!$E$9+1,1))-AVERAGE(OFFSET($H$3,0,0,'Données projet'!$E$9+1,1))</f>
        <v>384.05928630855732</v>
      </c>
      <c r="T119" s="59">
        <f t="shared" si="88"/>
        <v>279.93992813630513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-2.4158453015843406E-13</v>
      </c>
      <c r="AJ119" s="13">
        <f>AI119*VLOOKUP('Données projet'!$B$10,Paramètres!$A$1:$I$89,3,0)*VLOOKUP('Données projet'!$B$10,Paramètres!$A$1:$I$89,5,0)</f>
        <v>-2.0351080820546486E-13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312.48716825299158</v>
      </c>
      <c r="AO119" s="59">
        <f t="shared" si="90"/>
        <v>258.68277822755357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132.25771931010956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132.25771931010956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367.99999999999972</v>
      </c>
      <c r="BE119" s="13">
        <f>BD119*VLOOKUP('Données projet'!$B$11,Paramètres!$A$1:$I$89,3,0)*VLOOKUP('Données projet'!$B$11,Paramètres!$A$1:$I$89,5,0)</f>
        <v>269.8175999999998</v>
      </c>
      <c r="BF119" s="13">
        <f t="shared" si="91"/>
        <v>64.810557882019467</v>
      </c>
      <c r="BG119" s="20">
        <f t="shared" si="61"/>
        <v>582.81070831118348</v>
      </c>
      <c r="BH119" s="59">
        <f t="shared" si="62"/>
        <v>876.14404164451685</v>
      </c>
      <c r="BI119" s="59">
        <f ca="1">AVERAGE(OFFSET($BH$3,0,0,'Données projet'!$E$11+1,1))-AVERAGE(OFFSET($H$3,0,0,'Données projet'!$E$11+1,1))</f>
        <v>376.58419691967526</v>
      </c>
      <c r="BJ119" s="59">
        <f t="shared" si="92"/>
        <v>365.76175372075869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22.156810543288525</v>
      </c>
      <c r="BQ119" s="21">
        <f>EXP(-LN(2)/25)*BQ118+(1-EXP(-LN(2)/25))/(LN(2)/25)*Calculateur!BL119*Calculateur!BN119*VLOOKUP('Données projet'!$B$11,Paramètres!$A$1:$I$89,3,0)*0.475*44/12</f>
        <v>1.973631331284698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24.130441874573222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292.78079999999977</v>
      </c>
      <c r="CA119" s="13">
        <f t="shared" si="93"/>
        <v>69.660903052386217</v>
      </c>
      <c r="CB119" s="20">
        <f t="shared" si="64"/>
        <v>631.25263281623893</v>
      </c>
      <c r="CC119" s="59">
        <f t="shared" si="65"/>
        <v>924.58596614957219</v>
      </c>
      <c r="CD119" s="59">
        <f ca="1">AVERAGE(OFFSET($CC$3,0,0,'Données projet'!$E$12+1,1))-AVERAGE(OFFSET($H$3,0,0,'Données projet'!$E$12+1,1))</f>
        <v>405.40026823646758</v>
      </c>
      <c r="CE119" s="59">
        <f t="shared" si="94"/>
        <v>393.0787141050053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29.633774813710449</v>
      </c>
      <c r="CL119" s="21">
        <f>EXP(-LN(2)/25)*CL118+(1-EXP(-LN(2)/25))/(LN(2)/25)*Calculateur!CG119*Calculateur!CI119*VLOOKUP('Données projet'!$B$12,Paramètres!$A$1:$I$89,3,0)*0.475*44/12</f>
        <v>2.6396464564386641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32.273421270149115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259.99999999999983</v>
      </c>
      <c r="CU119" s="17">
        <f>CT119*VLOOKUP('Données projet'!$B$13,Paramètres!$A$1:$I$89,3,0)*VLOOKUP('Données projet'!$B$13,Paramètres!$A$1:$I$89,5,0)</f>
        <v>227.13599999999985</v>
      </c>
      <c r="CV119" s="13">
        <f t="shared" si="95"/>
        <v>55.662966886685133</v>
      </c>
      <c r="CW119" s="20">
        <f t="shared" si="67"/>
        <v>492.5415339943097</v>
      </c>
      <c r="CX119" s="59">
        <f t="shared" si="68"/>
        <v>785.87486732764296</v>
      </c>
      <c r="CY119" s="59">
        <f ca="1">AVERAGE(OFFSET($CX$3,0,0,'Données projet'!$E$13+1,1))-AVERAGE(OFFSET($H$3,0,0,'Données projet'!$E$13+1,1))</f>
        <v>381.72225529388083</v>
      </c>
      <c r="CZ119" s="59">
        <f t="shared" si="96"/>
        <v>360.05900046417361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27.506210944079825</v>
      </c>
      <c r="DG119" s="21">
        <f>EXP(-LN(2)/25)*DG118+(1-EXP(-LN(2)/25))/(LN(2)/25)*Calculateur!DB119*Calculateur!DD119*VLOOKUP('Données projet'!$B$13,Paramètres!$A$1:$I$89,3,0)*0.475*44/12</f>
        <v>8.6252960265411218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36.131506970620947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6.8461538461538511</v>
      </c>
      <c r="DO119" s="12">
        <f>IF('Données projet'!$A$166&gt;35,DO118+DN119-DW118,IF(A119&lt;'Données projet'!$A$166,$DL$205^A119,IF(A119='Données projet'!$A$166,'Données projet'!$B$166,DO118+DN119-DW118)))</f>
        <v>336.8012820512825</v>
      </c>
      <c r="DP119" s="17">
        <f>DO119*VLOOKUP('Données projet'!$B$14,Paramètres!$A$1:$I$89,3,0)*VLOOKUP('Données projet'!$B$14,Paramètres!$A$1:$I$89,5,0)</f>
        <v>325.75420000000042</v>
      </c>
      <c r="DQ119" s="13">
        <f t="shared" si="97"/>
        <v>76.549382184677185</v>
      </c>
      <c r="DR119" s="20">
        <f t="shared" si="70"/>
        <v>700.67873897164679</v>
      </c>
      <c r="DS119" s="59">
        <f t="shared" si="71"/>
        <v>994.01207230498017</v>
      </c>
      <c r="DT119" s="59">
        <f ca="1">AVERAGE(OFFSET($DS$3,0,0,'Données projet'!$E$14+1,1))-AVERAGE(OFFSET($H$3,0,0,'Données projet'!$E$14+1,1))</f>
        <v>407.73540492005355</v>
      </c>
      <c r="DU119" s="59">
        <f t="shared" si="98"/>
        <v>296.29416764204774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55.991767522116042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55.991767522116042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328.00000000000017</v>
      </c>
      <c r="EK119" s="17">
        <f>EJ119*VLOOKUP('Données projet'!$B$15,Paramètres!$A$1:$I$89,3,0)*VLOOKUP('Données projet'!$B$15,Paramètres!$A$1:$I$89,5,0)</f>
        <v>255.84000000000015</v>
      </c>
      <c r="EL119" s="13">
        <f t="shared" si="99"/>
        <v>61.834803371075886</v>
      </c>
      <c r="EM119" s="20">
        <f t="shared" si="73"/>
        <v>553.28361587129086</v>
      </c>
      <c r="EN119" s="59">
        <f t="shared" si="74"/>
        <v>846.61694920462423</v>
      </c>
      <c r="EO119" s="59">
        <f ca="1">AVERAGE(OFFSET($EN$3,0,0,'Données projet'!$E$15+1,1))-AVERAGE(OFFSET($H$3,0,0,'Données projet'!$E$15+1,1))</f>
        <v>288.80569134263209</v>
      </c>
      <c r="EP119" s="59">
        <f t="shared" si="100"/>
        <v>283.48738729114024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8.0135343978059854</v>
      </c>
      <c r="EW119" s="21">
        <f>EXP(-LN(2)/25)*EW118+(1-EXP(-LN(2)/25))/(LN(2)/25)*Calculateur!ER119*Calculateur!ET119*VLOOKUP('Données projet'!$B$15,Paramètres!$A$1:$I$89,3,0)*0.475*44/12</f>
        <v>5.3672280280687703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13.380762425874757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962.82247007974752</v>
      </c>
      <c r="S120" s="59">
        <f ca="1">AVERAGE(OFFSET($R$3,0,0,'Données projet'!$E$9+1,1))-AVERAGE(OFFSET($H$3,0,0,'Données projet'!$E$9+1,1))</f>
        <v>384.05928630855732</v>
      </c>
      <c r="T120" s="59">
        <f t="shared" si="88"/>
        <v>279.93992813630513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-2.4158453015843406E-13</v>
      </c>
      <c r="AJ120" s="13">
        <f>AI120*VLOOKUP('Données projet'!$B$10,Paramètres!$A$1:$I$89,3,0)*VLOOKUP('Données projet'!$B$10,Paramètres!$A$1:$I$89,5,0)</f>
        <v>-2.0351080820546486E-13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312.48716825299158</v>
      </c>
      <c r="AO120" s="59">
        <f t="shared" si="90"/>
        <v>258.68277822755357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129.66422610368167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129.66422610368167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367.99999999999972</v>
      </c>
      <c r="BE120" s="13">
        <f>BD120*VLOOKUP('Données projet'!$B$11,Paramètres!$A$1:$I$89,3,0)*VLOOKUP('Données projet'!$B$11,Paramètres!$A$1:$I$89,5,0)</f>
        <v>269.8175999999998</v>
      </c>
      <c r="BF120" s="13">
        <f t="shared" si="91"/>
        <v>64.810557882019467</v>
      </c>
      <c r="BG120" s="20">
        <f t="shared" si="61"/>
        <v>582.81070831118348</v>
      </c>
      <c r="BH120" s="59">
        <f t="shared" si="62"/>
        <v>876.14404164451685</v>
      </c>
      <c r="BI120" s="59">
        <f ca="1">AVERAGE(OFFSET($BH$3,0,0,'Données projet'!$E$11+1,1))-AVERAGE(OFFSET($H$3,0,0,'Données projet'!$E$11+1,1))</f>
        <v>376.58419691967526</v>
      </c>
      <c r="BJ120" s="59">
        <f t="shared" si="92"/>
        <v>365.76175372075869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21.722329002854639</v>
      </c>
      <c r="BQ120" s="21">
        <f>EXP(-LN(2)/25)*BQ119+(1-EXP(-LN(2)/25))/(LN(2)/25)*Calculateur!BL120*Calculateur!BN120*VLOOKUP('Données projet'!$B$11,Paramètres!$A$1:$I$89,3,0)*0.475*44/12</f>
        <v>1.9196622787419571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23.641991281596596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292.78079999999977</v>
      </c>
      <c r="CA120" s="13">
        <f t="shared" si="93"/>
        <v>69.660903052386217</v>
      </c>
      <c r="CB120" s="20">
        <f t="shared" si="64"/>
        <v>631.25263281623893</v>
      </c>
      <c r="CC120" s="59">
        <f t="shared" si="65"/>
        <v>924.58596614957219</v>
      </c>
      <c r="CD120" s="59">
        <f ca="1">AVERAGE(OFFSET($CC$3,0,0,'Données projet'!$E$12+1,1))-AVERAGE(OFFSET($H$3,0,0,'Données projet'!$E$12+1,1))</f>
        <v>405.40026823646758</v>
      </c>
      <c r="CE120" s="59">
        <f t="shared" si="94"/>
        <v>393.0787141050053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29.052674564431484</v>
      </c>
      <c r="CL120" s="21">
        <f>EXP(-LN(2)/25)*CL119+(1-EXP(-LN(2)/25))/(LN(2)/25)*Calculateur!CG120*Calculateur!CI120*VLOOKUP('Données projet'!$B$12,Paramètres!$A$1:$I$89,3,0)*0.475*44/12</f>
        <v>2.5674651852743748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31.62013974970586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259.99999999999983</v>
      </c>
      <c r="CU120" s="17">
        <f>CT120*VLOOKUP('Données projet'!$B$13,Paramètres!$A$1:$I$89,3,0)*VLOOKUP('Données projet'!$B$13,Paramètres!$A$1:$I$89,5,0)</f>
        <v>227.13599999999985</v>
      </c>
      <c r="CV120" s="13">
        <f t="shared" si="95"/>
        <v>55.662966886685133</v>
      </c>
      <c r="CW120" s="20">
        <f t="shared" si="67"/>
        <v>492.5415339943097</v>
      </c>
      <c r="CX120" s="59">
        <f t="shared" si="68"/>
        <v>785.87486732764296</v>
      </c>
      <c r="CY120" s="59">
        <f ca="1">AVERAGE(OFFSET($CX$3,0,0,'Données projet'!$E$13+1,1))-AVERAGE(OFFSET($H$3,0,0,'Données projet'!$E$13+1,1))</f>
        <v>381.72225529388083</v>
      </c>
      <c r="CZ120" s="59">
        <f t="shared" si="96"/>
        <v>360.05900046417361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26.96683092459849</v>
      </c>
      <c r="DG120" s="21">
        <f>EXP(-LN(2)/25)*DG119+(1-EXP(-LN(2)/25))/(LN(2)/25)*Calculateur!DB120*Calculateur!DD120*VLOOKUP('Données projet'!$B$13,Paramètres!$A$1:$I$89,3,0)*0.475*44/12</f>
        <v>8.3894368531107499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35.356267777709242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6.8461538461538511</v>
      </c>
      <c r="DO120" s="12">
        <f>IF('Données projet'!$A$166&gt;35,DO119+DN120-DW119,IF(A120&lt;'Données projet'!$A$166,$DL$205^A120,IF(A120='Données projet'!$A$166,'Données projet'!$B$166,DO119+DN120-DW119)))</f>
        <v>343.64743589743637</v>
      </c>
      <c r="DP120" s="17">
        <f>DO120*VLOOKUP('Données projet'!$B$14,Paramètres!$A$1:$I$89,3,0)*VLOOKUP('Données projet'!$B$14,Paramètres!$A$1:$I$89,5,0)</f>
        <v>332.37580000000042</v>
      </c>
      <c r="DQ120" s="13">
        <f t="shared" si="97"/>
        <v>77.922665290736944</v>
      </c>
      <c r="DR120" s="20">
        <f t="shared" si="70"/>
        <v>714.6031603813675</v>
      </c>
      <c r="DS120" s="59">
        <f t="shared" si="71"/>
        <v>1007.9364937147009</v>
      </c>
      <c r="DT120" s="59">
        <f ca="1">AVERAGE(OFFSET($DS$3,0,0,'Données projet'!$E$14+1,1))-AVERAGE(OFFSET($H$3,0,0,'Données projet'!$E$14+1,1))</f>
        <v>407.73540492005355</v>
      </c>
      <c r="DU120" s="59">
        <f t="shared" si="98"/>
        <v>296.29416764204774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54.893803112613341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54.893803112613341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328.00000000000017</v>
      </c>
      <c r="EK120" s="17">
        <f>EJ120*VLOOKUP('Données projet'!$B$15,Paramètres!$A$1:$I$89,3,0)*VLOOKUP('Données projet'!$B$15,Paramètres!$A$1:$I$89,5,0)</f>
        <v>255.84000000000015</v>
      </c>
      <c r="EL120" s="13">
        <f t="shared" si="99"/>
        <v>61.834803371075886</v>
      </c>
      <c r="EM120" s="20">
        <f t="shared" si="73"/>
        <v>553.28361587129086</v>
      </c>
      <c r="EN120" s="59">
        <f t="shared" si="74"/>
        <v>846.61694920462423</v>
      </c>
      <c r="EO120" s="59">
        <f ca="1">AVERAGE(OFFSET($EN$3,0,0,'Données projet'!$E$15+1,1))-AVERAGE(OFFSET($H$3,0,0,'Données projet'!$E$15+1,1))</f>
        <v>288.80569134263209</v>
      </c>
      <c r="EP120" s="59">
        <f t="shared" si="100"/>
        <v>283.48738729114024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7.8563938760383651</v>
      </c>
      <c r="EW120" s="21">
        <f>EXP(-LN(2)/25)*EW119+(1-EXP(-LN(2)/25))/(LN(2)/25)*Calculateur!ER120*Calculateur!ET120*VLOOKUP('Données projet'!$B$15,Paramètres!$A$1:$I$89,3,0)*0.475*44/12</f>
        <v>5.2204608953909748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13.076854771429339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384.05928630855732</v>
      </c>
      <c r="T121" s="59">
        <f t="shared" si="88"/>
        <v>279.93992813630513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-2.4158453015843406E-13</v>
      </c>
      <c r="AJ121" s="13">
        <f>AI121*VLOOKUP('Données projet'!$B$10,Paramètres!$A$1:$I$89,3,0)*VLOOKUP('Données projet'!$B$10,Paramètres!$A$1:$I$89,5,0)</f>
        <v>-2.0351080820546486E-13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312.48716825299158</v>
      </c>
      <c r="AO121" s="59">
        <f t="shared" si="90"/>
        <v>258.68277822755357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127.12158971715716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127.12158971715716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367.99999999999972</v>
      </c>
      <c r="BE121" s="13">
        <f>BD121*VLOOKUP('Données projet'!$B$11,Paramètres!$A$1:$I$89,3,0)*VLOOKUP('Données projet'!$B$11,Paramètres!$A$1:$I$89,5,0)</f>
        <v>269.8175999999998</v>
      </c>
      <c r="BF121" s="13">
        <f t="shared" si="91"/>
        <v>64.810557882019467</v>
      </c>
      <c r="BG121" s="20">
        <f t="shared" si="61"/>
        <v>582.81070831118348</v>
      </c>
      <c r="BH121" s="59">
        <f t="shared" si="62"/>
        <v>876.14404164451685</v>
      </c>
      <c r="BI121" s="59">
        <f ca="1">AVERAGE(OFFSET($BH$3,0,0,'Données projet'!$E$11+1,1))-AVERAGE(OFFSET($H$3,0,0,'Données projet'!$E$11+1,1))</f>
        <v>376.58419691967526</v>
      </c>
      <c r="BJ121" s="59">
        <f t="shared" si="92"/>
        <v>365.76175372075869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21.296367380421092</v>
      </c>
      <c r="BQ121" s="21">
        <f>EXP(-LN(2)/25)*BQ120+(1-EXP(-LN(2)/25))/(LN(2)/25)*Calculateur!BL121*Calculateur!BN121*VLOOKUP('Données projet'!$B$11,Paramètres!$A$1:$I$89,3,0)*0.475*44/12</f>
        <v>1.8671690127791065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23.1635363932002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292.78079999999977</v>
      </c>
      <c r="CA121" s="13">
        <f t="shared" si="93"/>
        <v>69.660903052386217</v>
      </c>
      <c r="CB121" s="20">
        <f t="shared" si="64"/>
        <v>631.25263281623893</v>
      </c>
      <c r="CC121" s="59">
        <f t="shared" si="65"/>
        <v>924.58596614957219</v>
      </c>
      <c r="CD121" s="59">
        <f ca="1">AVERAGE(OFFSET($CC$3,0,0,'Données projet'!$E$12+1,1))-AVERAGE(OFFSET($H$3,0,0,'Données projet'!$E$12+1,1))</f>
        <v>405.40026823646758</v>
      </c>
      <c r="CE121" s="59">
        <f t="shared" si="94"/>
        <v>393.0787141050053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28.482969336604725</v>
      </c>
      <c r="CL121" s="21">
        <f>EXP(-LN(2)/25)*CL120+(1-EXP(-LN(2)/25))/(LN(2)/25)*Calculateur!CG121*Calculateur!CI121*VLOOKUP('Données projet'!$B$12,Paramètres!$A$1:$I$89,3,0)*0.475*44/12</f>
        <v>2.497257714765921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30.980227051370647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259.99999999999983</v>
      </c>
      <c r="CU121" s="17">
        <f>CT121*VLOOKUP('Données projet'!$B$13,Paramètres!$A$1:$I$89,3,0)*VLOOKUP('Données projet'!$B$13,Paramètres!$A$1:$I$89,5,0)</f>
        <v>227.13599999999985</v>
      </c>
      <c r="CV121" s="13">
        <f t="shared" si="95"/>
        <v>55.662966886685133</v>
      </c>
      <c r="CW121" s="20">
        <f t="shared" si="67"/>
        <v>492.5415339943097</v>
      </c>
      <c r="CX121" s="59">
        <f t="shared" si="68"/>
        <v>785.87486732764296</v>
      </c>
      <c r="CY121" s="59">
        <f ca="1">AVERAGE(OFFSET($CX$3,0,0,'Données projet'!$E$13+1,1))-AVERAGE(OFFSET($H$3,0,0,'Données projet'!$E$13+1,1))</f>
        <v>381.72225529388083</v>
      </c>
      <c r="CZ121" s="59">
        <f t="shared" si="96"/>
        <v>360.05900046417361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26.438027818309859</v>
      </c>
      <c r="DG121" s="21">
        <f>EXP(-LN(2)/25)*DG120+(1-EXP(-LN(2)/25))/(LN(2)/25)*Calculateur!DB121*Calculateur!DD121*VLOOKUP('Données projet'!$B$13,Paramètres!$A$1:$I$89,3,0)*0.475*44/12</f>
        <v>8.160027261181126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34.598055079490983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6.8461538461538511</v>
      </c>
      <c r="DO121" s="12">
        <f>IF('Données projet'!$A$166&gt;35,DO120+DN121-DW120,IF(A121&lt;'Données projet'!$A$166,$DL$205^A121,IF(A121='Données projet'!$A$166,'Données projet'!$B$166,DO120+DN121-DW120)))</f>
        <v>350.49358974359023</v>
      </c>
      <c r="DP121" s="17">
        <f>DO121*VLOOKUP('Données projet'!$B$14,Paramètres!$A$1:$I$89,3,0)*VLOOKUP('Données projet'!$B$14,Paramètres!$A$1:$I$89,5,0)</f>
        <v>338.99740000000048</v>
      </c>
      <c r="DQ121" s="13">
        <f t="shared" si="97"/>
        <v>79.292767324628201</v>
      </c>
      <c r="DR121" s="20">
        <f t="shared" si="70"/>
        <v>728.52204142372818</v>
      </c>
      <c r="DS121" s="59">
        <f t="shared" si="71"/>
        <v>1021.8553747570616</v>
      </c>
      <c r="DT121" s="59">
        <f ca="1">AVERAGE(OFFSET($DS$3,0,0,'Données projet'!$E$14+1,1))-AVERAGE(OFFSET($H$3,0,0,'Données projet'!$E$14+1,1))</f>
        <v>407.73540492005355</v>
      </c>
      <c r="DU121" s="59">
        <f t="shared" si="98"/>
        <v>296.29416764204774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53.81736911548883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53.81736911548883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328.00000000000017</v>
      </c>
      <c r="EK121" s="17">
        <f>EJ121*VLOOKUP('Données projet'!$B$15,Paramètres!$A$1:$I$89,3,0)*VLOOKUP('Données projet'!$B$15,Paramètres!$A$1:$I$89,5,0)</f>
        <v>255.84000000000015</v>
      </c>
      <c r="EL121" s="13">
        <f t="shared" si="99"/>
        <v>61.834803371075886</v>
      </c>
      <c r="EM121" s="20">
        <f t="shared" si="73"/>
        <v>553.28361587129086</v>
      </c>
      <c r="EN121" s="59">
        <f t="shared" si="74"/>
        <v>846.61694920462423</v>
      </c>
      <c r="EO121" s="59">
        <f ca="1">AVERAGE(OFFSET($EN$3,0,0,'Données projet'!$E$15+1,1))-AVERAGE(OFFSET($H$3,0,0,'Données projet'!$E$15+1,1))</f>
        <v>288.80569134263209</v>
      </c>
      <c r="EP121" s="59">
        <f t="shared" si="100"/>
        <v>283.48738729114024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7.7023347840563536</v>
      </c>
      <c r="EW121" s="21">
        <f>EXP(-LN(2)/25)*EW120+(1-EXP(-LN(2)/25))/(LN(2)/25)*Calculateur!ER121*Calculateur!ET121*VLOOKUP('Données projet'!$B$15,Paramètres!$A$1:$I$89,3,0)*0.475*44/12</f>
        <v>5.077707117674402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12.780041901730755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988.89393113031406</v>
      </c>
      <c r="S122" s="59">
        <f ca="1">AVERAGE(OFFSET($R$3,0,0,'Données projet'!$E$9+1,1))-AVERAGE(OFFSET($H$3,0,0,'Données projet'!$E$9+1,1))</f>
        <v>384.05928630855732</v>
      </c>
      <c r="T122" s="59">
        <f t="shared" si="88"/>
        <v>279.93992813630513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-2.4158453015843406E-13</v>
      </c>
      <c r="AJ122" s="13">
        <f>AI122*VLOOKUP('Données projet'!$B$10,Paramètres!$A$1:$I$89,3,0)*VLOOKUP('Données projet'!$B$10,Paramètres!$A$1:$I$89,5,0)</f>
        <v>-2.0351080820546486E-13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312.48716825299158</v>
      </c>
      <c r="AO122" s="59">
        <f t="shared" si="90"/>
        <v>258.68277822755357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124.62881287931735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124.62881287931735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367.99999999999972</v>
      </c>
      <c r="BE122" s="13">
        <f>BD122*VLOOKUP('Données projet'!$B$11,Paramètres!$A$1:$I$89,3,0)*VLOOKUP('Données projet'!$B$11,Paramètres!$A$1:$I$89,5,0)</f>
        <v>269.8175999999998</v>
      </c>
      <c r="BF122" s="13">
        <f t="shared" si="91"/>
        <v>64.810557882019467</v>
      </c>
      <c r="BG122" s="20">
        <f t="shared" si="61"/>
        <v>582.81070831118348</v>
      </c>
      <c r="BH122" s="59">
        <f t="shared" si="62"/>
        <v>876.14404164451685</v>
      </c>
      <c r="BI122" s="59">
        <f ca="1">AVERAGE(OFFSET($BH$3,0,0,'Données projet'!$E$11+1,1))-AVERAGE(OFFSET($H$3,0,0,'Données projet'!$E$11+1,1))</f>
        <v>376.58419691967526</v>
      </c>
      <c r="BJ122" s="59">
        <f t="shared" si="92"/>
        <v>365.76175372075869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20.87875860559253</v>
      </c>
      <c r="BQ122" s="21">
        <f>EXP(-LN(2)/25)*BQ121+(1-EXP(-LN(2)/25))/(LN(2)/25)*Calculateur!BL122*Calculateur!BN122*VLOOKUP('Données projet'!$B$11,Paramètres!$A$1:$I$89,3,0)*0.475*44/12</f>
        <v>1.8161111779345109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22.694869783527039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292.78079999999977</v>
      </c>
      <c r="CA122" s="13">
        <f t="shared" si="93"/>
        <v>69.660903052386217</v>
      </c>
      <c r="CB122" s="20">
        <f t="shared" si="64"/>
        <v>631.25263281623893</v>
      </c>
      <c r="CC122" s="59">
        <f t="shared" si="65"/>
        <v>924.58596614957219</v>
      </c>
      <c r="CD122" s="59">
        <f ca="1">AVERAGE(OFFSET($CC$3,0,0,'Données projet'!$E$12+1,1))-AVERAGE(OFFSET($H$3,0,0,'Données projet'!$E$12+1,1))</f>
        <v>405.40026823646758</v>
      </c>
      <c r="CE122" s="59">
        <f t="shared" si="94"/>
        <v>393.0787141050053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27.924435680809772</v>
      </c>
      <c r="CL122" s="21">
        <f>EXP(-LN(2)/25)*CL121+(1-EXP(-LN(2)/25))/(LN(2)/25)*Calculateur!CG122*Calculateur!CI122*VLOOKUP('Données projet'!$B$12,Paramètres!$A$1:$I$89,3,0)*0.475*44/12</f>
        <v>2.4289700712305713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30.353405752040345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259.99999999999983</v>
      </c>
      <c r="CU122" s="17">
        <f>CT122*VLOOKUP('Données projet'!$B$13,Paramètres!$A$1:$I$89,3,0)*VLOOKUP('Données projet'!$B$13,Paramètres!$A$1:$I$89,5,0)</f>
        <v>227.13599999999985</v>
      </c>
      <c r="CV122" s="13">
        <f t="shared" si="95"/>
        <v>55.662966886685133</v>
      </c>
      <c r="CW122" s="20">
        <f t="shared" si="67"/>
        <v>492.5415339943097</v>
      </c>
      <c r="CX122" s="59">
        <f t="shared" si="68"/>
        <v>785.87486732764296</v>
      </c>
      <c r="CY122" s="59">
        <f ca="1">AVERAGE(OFFSET($CX$3,0,0,'Données projet'!$E$13+1,1))-AVERAGE(OFFSET($H$3,0,0,'Données projet'!$E$13+1,1))</f>
        <v>381.72225529388083</v>
      </c>
      <c r="CZ122" s="59">
        <f t="shared" si="96"/>
        <v>360.05900046417361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25.919594218397499</v>
      </c>
      <c r="DG122" s="21">
        <f>EXP(-LN(2)/25)*DG121+(1-EXP(-LN(2)/25))/(LN(2)/25)*Calculateur!DB122*Calculateur!DD122*VLOOKUP('Données projet'!$B$13,Paramètres!$A$1:$I$89,3,0)*0.475*44/12</f>
        <v>7.9368908866069443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33.856485105004445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>
        <f>VLOOKUP(A122,'Données projet'!$A$165:$I$185,2,0)</f>
        <v>357.33974358974359</v>
      </c>
      <c r="DM122" s="12">
        <f>VLOOKUP(A122,'Données projet'!$A$165:$I$185,9,0)</f>
        <v>6.8461538461538511</v>
      </c>
      <c r="DN122" s="12">
        <f t="array" ref="DN122">INDEX(DM:DM,MIN(IF(ISNUMBER(DM122:DM318),ROW(DM122:DM318),"")))</f>
        <v>6.8461538461538511</v>
      </c>
      <c r="DO122" s="12">
        <f>IF('Données projet'!$A$166&gt;35,DO121+DN122-DW121,IF(A122&lt;'Données projet'!$A$166,$DL$205^A122,IF(A122='Données projet'!$A$166,'Données projet'!$B$166,DO121+DN122-DW121)))</f>
        <v>357.3397435897441</v>
      </c>
      <c r="DP122" s="17">
        <f>DO122*VLOOKUP('Données projet'!$B$14,Paramètres!$A$1:$I$89,3,0)*VLOOKUP('Données projet'!$B$14,Paramètres!$A$1:$I$89,5,0)</f>
        <v>345.61900000000048</v>
      </c>
      <c r="DQ122" s="13">
        <f t="shared" si="97"/>
        <v>80.659757584563494</v>
      </c>
      <c r="DR122" s="20">
        <f t="shared" si="70"/>
        <v>742.43550279311557</v>
      </c>
      <c r="DS122" s="59">
        <f t="shared" si="71"/>
        <v>1035.7688361264488</v>
      </c>
      <c r="DT122" s="59">
        <f ca="1">AVERAGE(OFFSET($DS$3,0,0,'Données projet'!$E$14+1,1))-AVERAGE(OFFSET($H$3,0,0,'Données projet'!$E$14+1,1))</f>
        <v>407.73540492005355</v>
      </c>
      <c r="DU122" s="59">
        <f t="shared" si="98"/>
        <v>296.29416764204774</v>
      </c>
      <c r="DV122" s="15">
        <f>IF(ISNA(VLOOKUP(A122,'Données projet'!$A$165:$I$185,3,0)),0,VLOOKUP(A122,'Données projet'!$A$165:$I$185,3,0))</f>
        <v>11</v>
      </c>
      <c r="DW122" s="15">
        <f>IF(ISNA(VLOOKUP(A122,'Données projet'!$A$165:$I$185,4,0)),0,VLOOKUP(A122,'Données projet'!$A$165:$I$185,4,0))</f>
        <v>150.02564102564102</v>
      </c>
      <c r="DX122" s="16">
        <f>IF(ISNA(VLOOKUP(A122,'Données projet'!$A$165:$I$185,5,0)),0%,VLOOKUP(A122,'Données projet'!$A$165:$I$185,5,0)*VLOOKUP('Données projet'!$B$14,Paramètres!$A$1:$I$89,7,0))</f>
        <v>0.38700000000000001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114.84034890544444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114.84034890544444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328.00000000000017</v>
      </c>
      <c r="EK122" s="17">
        <f>EJ122*VLOOKUP('Données projet'!$B$15,Paramètres!$A$1:$I$89,3,0)*VLOOKUP('Données projet'!$B$15,Paramètres!$A$1:$I$89,5,0)</f>
        <v>255.84000000000015</v>
      </c>
      <c r="EL122" s="13">
        <f t="shared" si="99"/>
        <v>61.834803371075886</v>
      </c>
      <c r="EM122" s="20">
        <f t="shared" si="73"/>
        <v>553.28361587129086</v>
      </c>
      <c r="EN122" s="59">
        <f t="shared" si="74"/>
        <v>846.61694920462423</v>
      </c>
      <c r="EO122" s="59">
        <f ca="1">AVERAGE(OFFSET($EN$3,0,0,'Données projet'!$E$15+1,1))-AVERAGE(OFFSET($H$3,0,0,'Données projet'!$E$15+1,1))</f>
        <v>288.80569134263209</v>
      </c>
      <c r="EP122" s="59">
        <f t="shared" si="100"/>
        <v>283.48738729114024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7.5512966969013418</v>
      </c>
      <c r="EW122" s="21">
        <f>EXP(-LN(2)/25)*EW121+(1-EXP(-LN(2)/25))/(LN(2)/25)*Calculateur!ER122*Calculateur!ET122*VLOOKUP('Données projet'!$B$15,Paramètres!$A$1:$I$89,3,0)*0.475*44/12</f>
        <v>4.9388569495165831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12.490153646417925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709.26743469892858</v>
      </c>
      <c r="S123" s="59">
        <f ca="1">AVERAGE(OFFSET($R$3,0,0,'Données projet'!$E$9+1,1))-AVERAGE(OFFSET($H$3,0,0,'Données projet'!$E$9+1,1))</f>
        <v>384.05928630855732</v>
      </c>
      <c r="T123" s="59">
        <f t="shared" si="88"/>
        <v>279.93992813630513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-2.4158453015843406E-13</v>
      </c>
      <c r="AJ123" s="13">
        <f>AI123*VLOOKUP('Données projet'!$B$10,Paramètres!$A$1:$I$89,3,0)*VLOOKUP('Données projet'!$B$10,Paramètres!$A$1:$I$89,5,0)</f>
        <v>-2.0351080820546486E-13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312.48716825299158</v>
      </c>
      <c r="AO123" s="59">
        <f t="shared" si="90"/>
        <v>258.68277822755357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122.18491787482382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122.18491787482382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367.99999999999972</v>
      </c>
      <c r="BE123" s="13">
        <f>BD123*VLOOKUP('Données projet'!$B$11,Paramètres!$A$1:$I$89,3,0)*VLOOKUP('Données projet'!$B$11,Paramètres!$A$1:$I$89,5,0)</f>
        <v>269.8175999999998</v>
      </c>
      <c r="BF123" s="13">
        <f t="shared" si="91"/>
        <v>64.810557882019467</v>
      </c>
      <c r="BG123" s="20">
        <f t="shared" si="61"/>
        <v>582.81070831118348</v>
      </c>
      <c r="BH123" s="59">
        <f t="shared" si="62"/>
        <v>876.14404164451685</v>
      </c>
      <c r="BI123" s="59">
        <f ca="1">AVERAGE(OFFSET($BH$3,0,0,'Données projet'!$E$11+1,1))-AVERAGE(OFFSET($H$3,0,0,'Données projet'!$E$11+1,1))</f>
        <v>376.58419691967526</v>
      </c>
      <c r="BJ123" s="59">
        <f t="shared" si="92"/>
        <v>365.76175372075869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20.469338884122156</v>
      </c>
      <c r="BQ123" s="21">
        <f>EXP(-LN(2)/25)*BQ122+(1-EXP(-LN(2)/25))/(LN(2)/25)*Calculateur!BL123*Calculateur!BN123*VLOOKUP('Données projet'!$B$11,Paramètres!$A$1:$I$89,3,0)*0.475*44/12</f>
        <v>1.7664495222687557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22.23578840639091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292.78079999999977</v>
      </c>
      <c r="CA123" s="13">
        <f t="shared" si="93"/>
        <v>69.660903052386217</v>
      </c>
      <c r="CB123" s="20">
        <f t="shared" si="64"/>
        <v>631.25263281623893</v>
      </c>
      <c r="CC123" s="59">
        <f t="shared" si="65"/>
        <v>924.58596614957219</v>
      </c>
      <c r="CD123" s="59">
        <f ca="1">AVERAGE(OFFSET($CC$3,0,0,'Données projet'!$E$12+1,1))-AVERAGE(OFFSET($H$3,0,0,'Données projet'!$E$12+1,1))</f>
        <v>405.40026823646758</v>
      </c>
      <c r="CE123" s="59">
        <f t="shared" si="94"/>
        <v>393.0787141050053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27.376854529333066</v>
      </c>
      <c r="CL123" s="21">
        <f>EXP(-LN(2)/25)*CL122+(1-EXP(-LN(2)/25))/(LN(2)/25)*Calculateur!CG123*Calculateur!CI123*VLOOKUP('Données projet'!$B$12,Paramètres!$A$1:$I$89,3,0)*0.475*44/12</f>
        <v>2.3625497568987868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29.739404286231853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259.99999999999983</v>
      </c>
      <c r="CU123" s="17">
        <f>CT123*VLOOKUP('Données projet'!$B$13,Paramètres!$A$1:$I$89,3,0)*VLOOKUP('Données projet'!$B$13,Paramètres!$A$1:$I$89,5,0)</f>
        <v>227.13599999999985</v>
      </c>
      <c r="CV123" s="13">
        <f t="shared" si="95"/>
        <v>55.662966886685133</v>
      </c>
      <c r="CW123" s="20">
        <f t="shared" si="67"/>
        <v>492.5415339943097</v>
      </c>
      <c r="CX123" s="59">
        <f t="shared" si="68"/>
        <v>785.87486732764296</v>
      </c>
      <c r="CY123" s="59">
        <f ca="1">AVERAGE(OFFSET($CX$3,0,0,'Données projet'!$E$13+1,1))-AVERAGE(OFFSET($H$3,0,0,'Données projet'!$E$13+1,1))</f>
        <v>381.72225529388083</v>
      </c>
      <c r="CZ123" s="59">
        <f t="shared" si="96"/>
        <v>360.05900046417361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25.41132678516615</v>
      </c>
      <c r="DG123" s="21">
        <f>EXP(-LN(2)/25)*DG122+(1-EXP(-LN(2)/25))/(LN(2)/25)*Calculateur!DB123*Calculateur!DD123*VLOOKUP('Données projet'!$B$13,Paramètres!$A$1:$I$89,3,0)*0.475*44/12</f>
        <v>7.7198561879297261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33.131182973095875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3.8301282051282044</v>
      </c>
      <c r="DO123" s="12">
        <f>IF('Données projet'!$A$166&gt;35,DO122+DN123-DW122,IF(A123&lt;'Données projet'!$A$166,$DL$205^A123,IF(A123='Données projet'!$A$166,'Données projet'!$B$166,DO122+DN123-DW122)))</f>
        <v>211.14423076923126</v>
      </c>
      <c r="DP123" s="17">
        <f>DO123*VLOOKUP('Données projet'!$B$14,Paramètres!$A$1:$I$89,3,0)*VLOOKUP('Données projet'!$B$14,Paramètres!$A$1:$I$89,5,0)</f>
        <v>204.2187000000005</v>
      </c>
      <c r="DQ123" s="13">
        <f t="shared" si="97"/>
        <v>50.670180935130624</v>
      </c>
      <c r="DR123" s="20">
        <f t="shared" si="70"/>
        <v>443.93146762868668</v>
      </c>
      <c r="DS123" s="59">
        <f t="shared" si="71"/>
        <v>737.26480096201999</v>
      </c>
      <c r="DT123" s="59">
        <f ca="1">AVERAGE(OFFSET($DS$3,0,0,'Données projet'!$E$14+1,1))-AVERAGE(OFFSET($H$3,0,0,'Données projet'!$E$14+1,1))</f>
        <v>407.73540492005355</v>
      </c>
      <c r="DU123" s="59">
        <f t="shared" si="98"/>
        <v>296.29416764204774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112.58839970910508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112.58839970910508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328.00000000000017</v>
      </c>
      <c r="EK123" s="17">
        <f>EJ123*VLOOKUP('Données projet'!$B$15,Paramètres!$A$1:$I$89,3,0)*VLOOKUP('Données projet'!$B$15,Paramètres!$A$1:$I$89,5,0)</f>
        <v>255.84000000000015</v>
      </c>
      <c r="EL123" s="13">
        <f t="shared" si="99"/>
        <v>61.834803371075886</v>
      </c>
      <c r="EM123" s="20">
        <f t="shared" si="73"/>
        <v>553.28361587129086</v>
      </c>
      <c r="EN123" s="59">
        <f t="shared" si="74"/>
        <v>846.61694920462423</v>
      </c>
      <c r="EO123" s="59">
        <f ca="1">AVERAGE(OFFSET($EN$3,0,0,'Données projet'!$E$15+1,1))-AVERAGE(OFFSET($H$3,0,0,'Données projet'!$E$15+1,1))</f>
        <v>288.80569134263209</v>
      </c>
      <c r="EP123" s="59">
        <f t="shared" si="100"/>
        <v>283.48738729114024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7.403220374511303</v>
      </c>
      <c r="EW123" s="21">
        <f>EXP(-LN(2)/25)*EW122+(1-EXP(-LN(2)/25))/(LN(2)/25)*Calculateur!ER123*Calculateur!ET123*VLOOKUP('Données projet'!$B$15,Paramètres!$A$1:$I$89,3,0)*0.475*44/12</f>
        <v>4.8038036465088529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12.207024021020157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716.63534945189031</v>
      </c>
      <c r="S124" s="59">
        <f ca="1">AVERAGE(OFFSET($R$3,0,0,'Données projet'!$E$9+1,1))-AVERAGE(OFFSET($H$3,0,0,'Données projet'!$E$9+1,1))</f>
        <v>384.05928630855732</v>
      </c>
      <c r="T124" s="59">
        <f t="shared" si="88"/>
        <v>279.93992813630513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-2.4158453015843406E-13</v>
      </c>
      <c r="AJ124" s="13">
        <f>AI124*VLOOKUP('Données projet'!$B$10,Paramètres!$A$1:$I$89,3,0)*VLOOKUP('Données projet'!$B$10,Paramètres!$A$1:$I$89,5,0)</f>
        <v>-2.0351080820546486E-13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312.48716825299158</v>
      </c>
      <c r="AO124" s="59">
        <f t="shared" si="90"/>
        <v>258.68277822755357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119.78894616073966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119.78894616073966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367.99999999999972</v>
      </c>
      <c r="BE124" s="13">
        <f>BD124*VLOOKUP('Données projet'!$B$11,Paramètres!$A$1:$I$89,3,0)*VLOOKUP('Données projet'!$B$11,Paramètres!$A$1:$I$89,5,0)</f>
        <v>269.8175999999998</v>
      </c>
      <c r="BF124" s="13">
        <f t="shared" si="91"/>
        <v>64.810557882019467</v>
      </c>
      <c r="BG124" s="20">
        <f t="shared" si="61"/>
        <v>582.81070831118348</v>
      </c>
      <c r="BH124" s="59">
        <f t="shared" si="62"/>
        <v>876.14404164451685</v>
      </c>
      <c r="BI124" s="59">
        <f ca="1">AVERAGE(OFFSET($BH$3,0,0,'Données projet'!$E$11+1,1))-AVERAGE(OFFSET($H$3,0,0,'Données projet'!$E$11+1,1))</f>
        <v>376.58419691967526</v>
      </c>
      <c r="BJ124" s="59">
        <f t="shared" si="92"/>
        <v>365.76175372075869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20.067947633668442</v>
      </c>
      <c r="BQ124" s="21">
        <f>EXP(-LN(2)/25)*BQ123+(1-EXP(-LN(2)/25))/(LN(2)/25)*Calculateur!BL124*Calculateur!BN124*VLOOKUP('Données projet'!$B$11,Paramètres!$A$1:$I$89,3,0)*0.475*44/12</f>
        <v>1.7181458671887735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21.786093500857216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292.78079999999977</v>
      </c>
      <c r="CA124" s="13">
        <f t="shared" si="93"/>
        <v>69.660903052386217</v>
      </c>
      <c r="CB124" s="20">
        <f t="shared" si="64"/>
        <v>631.25263281623893</v>
      </c>
      <c r="CC124" s="59">
        <f t="shared" si="65"/>
        <v>924.58596614957219</v>
      </c>
      <c r="CD124" s="59">
        <f ca="1">AVERAGE(OFFSET($CC$3,0,0,'Données projet'!$E$12+1,1))-AVERAGE(OFFSET($H$3,0,0,'Données projet'!$E$12+1,1))</f>
        <v>405.40026823646758</v>
      </c>
      <c r="CE124" s="59">
        <f t="shared" si="94"/>
        <v>393.0787141050053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26.840011110245293</v>
      </c>
      <c r="CL124" s="21">
        <f>EXP(-LN(2)/25)*CL123+(1-EXP(-LN(2)/25))/(LN(2)/25)*Calculateur!CG124*Calculateur!CI124*VLOOKUP('Données projet'!$B$12,Paramètres!$A$1:$I$89,3,0)*0.475*44/12</f>
        <v>2.2979457095552975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29.137956819800589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259.99999999999983</v>
      </c>
      <c r="CU124" s="17">
        <f>CT124*VLOOKUP('Données projet'!$B$13,Paramètres!$A$1:$I$89,3,0)*VLOOKUP('Données projet'!$B$13,Paramètres!$A$1:$I$89,5,0)</f>
        <v>227.13599999999985</v>
      </c>
      <c r="CV124" s="13">
        <f t="shared" si="95"/>
        <v>55.662966886685133</v>
      </c>
      <c r="CW124" s="20">
        <f t="shared" si="67"/>
        <v>492.5415339943097</v>
      </c>
      <c r="CX124" s="59">
        <f t="shared" si="68"/>
        <v>785.87486732764296</v>
      </c>
      <c r="CY124" s="59">
        <f ca="1">AVERAGE(OFFSET($CX$3,0,0,'Données projet'!$E$13+1,1))-AVERAGE(OFFSET($H$3,0,0,'Données projet'!$E$13+1,1))</f>
        <v>381.72225529388083</v>
      </c>
      <c r="CZ124" s="59">
        <f t="shared" si="96"/>
        <v>360.05900046417361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24.913026166287946</v>
      </c>
      <c r="DG124" s="21">
        <f>EXP(-LN(2)/25)*DG123+(1-EXP(-LN(2)/25))/(LN(2)/25)*Calculateur!DB124*Calculateur!DD124*VLOOKUP('Données projet'!$B$13,Paramètres!$A$1:$I$89,3,0)*0.475*44/12</f>
        <v>7.5087563145011949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32.42178248078914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3.8301282051282044</v>
      </c>
      <c r="DO124" s="12">
        <f>IF('Données projet'!$A$166&gt;35,DO123+DN124-DW123,IF(A124&lt;'Données projet'!$A$166,$DL$205^A124,IF(A124='Données projet'!$A$166,'Données projet'!$B$166,DO123+DN124-DW123)))</f>
        <v>214.97435897435946</v>
      </c>
      <c r="DP124" s="17">
        <f>DO124*VLOOKUP('Données projet'!$B$14,Paramètres!$A$1:$I$89,3,0)*VLOOKUP('Données projet'!$B$14,Paramètres!$A$1:$I$89,5,0)</f>
        <v>207.92320000000046</v>
      </c>
      <c r="DQ124" s="13">
        <f t="shared" si="97"/>
        <v>51.481490467572804</v>
      </c>
      <c r="DR124" s="20">
        <f t="shared" si="70"/>
        <v>451.79650256435679</v>
      </c>
      <c r="DS124" s="59">
        <f t="shared" si="71"/>
        <v>745.1298358976901</v>
      </c>
      <c r="DT124" s="59">
        <f ca="1">AVERAGE(OFFSET($DS$3,0,0,'Données projet'!$E$14+1,1))-AVERAGE(OFFSET($H$3,0,0,'Données projet'!$E$14+1,1))</f>
        <v>407.73540492005355</v>
      </c>
      <c r="DU124" s="59">
        <f t="shared" si="98"/>
        <v>296.29416764204774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110.38060986295254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110.38060986295254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328.00000000000017</v>
      </c>
      <c r="EK124" s="17">
        <f>EJ124*VLOOKUP('Données projet'!$B$15,Paramètres!$A$1:$I$89,3,0)*VLOOKUP('Données projet'!$B$15,Paramètres!$A$1:$I$89,5,0)</f>
        <v>255.84000000000015</v>
      </c>
      <c r="EL124" s="13">
        <f t="shared" si="99"/>
        <v>61.834803371075886</v>
      </c>
      <c r="EM124" s="20">
        <f t="shared" si="73"/>
        <v>553.28361587129086</v>
      </c>
      <c r="EN124" s="59">
        <f t="shared" si="74"/>
        <v>846.61694920462423</v>
      </c>
      <c r="EO124" s="59">
        <f ca="1">AVERAGE(OFFSET($EN$3,0,0,'Données projet'!$E$15+1,1))-AVERAGE(OFFSET($H$3,0,0,'Données projet'!$E$15+1,1))</f>
        <v>288.80569134263209</v>
      </c>
      <c r="EP124" s="59">
        <f t="shared" si="100"/>
        <v>283.48738729114024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7.2580477384856943</v>
      </c>
      <c r="EW124" s="21">
        <f>EXP(-LN(2)/25)*EW123+(1-EXP(-LN(2)/25))/(LN(2)/25)*Calculateur!ER124*Calculateur!ET124*VLOOKUP('Données projet'!$B$15,Paramètres!$A$1:$I$89,3,0)*0.475*44/12</f>
        <v>4.6724433831740138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11.930491121659708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724.00050418019487</v>
      </c>
      <c r="S125" s="59">
        <f ca="1">AVERAGE(OFFSET($R$3,0,0,'Données projet'!$E$9+1,1))-AVERAGE(OFFSET($H$3,0,0,'Données projet'!$E$9+1,1))</f>
        <v>384.05928630855732</v>
      </c>
      <c r="T125" s="59">
        <f t="shared" si="88"/>
        <v>279.93992813630513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-2.4158453015843406E-13</v>
      </c>
      <c r="AJ125" s="13">
        <f>AI125*VLOOKUP('Données projet'!$B$10,Paramètres!$A$1:$I$89,3,0)*VLOOKUP('Données projet'!$B$10,Paramètres!$A$1:$I$89,5,0)</f>
        <v>-2.0351080820546486E-13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312.48716825299158</v>
      </c>
      <c r="AO125" s="59">
        <f t="shared" si="90"/>
        <v>258.68277822755357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117.43995799057024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117.43995799057024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367.99999999999972</v>
      </c>
      <c r="BE125" s="13">
        <f>BD125*VLOOKUP('Données projet'!$B$11,Paramètres!$A$1:$I$89,3,0)*VLOOKUP('Données projet'!$B$11,Paramètres!$A$1:$I$89,5,0)</f>
        <v>269.8175999999998</v>
      </c>
      <c r="BF125" s="13">
        <f t="shared" si="91"/>
        <v>64.810557882019467</v>
      </c>
      <c r="BG125" s="20">
        <f t="shared" si="61"/>
        <v>582.81070831118348</v>
      </c>
      <c r="BH125" s="59">
        <f t="shared" si="62"/>
        <v>876.14404164451685</v>
      </c>
      <c r="BI125" s="59">
        <f ca="1">AVERAGE(OFFSET($BH$3,0,0,'Données projet'!$E$11+1,1))-AVERAGE(OFFSET($H$3,0,0,'Données projet'!$E$11+1,1))</f>
        <v>376.58419691967526</v>
      </c>
      <c r="BJ125" s="59">
        <f t="shared" si="92"/>
        <v>365.76175372075869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19.674427420811636</v>
      </c>
      <c r="BQ125" s="21">
        <f>EXP(-LN(2)/25)*BQ124+(1-EXP(-LN(2)/25))/(LN(2)/25)*Calculateur!BL125*Calculateur!BN125*VLOOKUP('Données projet'!$B$11,Paramètres!$A$1:$I$89,3,0)*0.475*44/12</f>
        <v>1.6711630780971323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21.34559049890877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292.78079999999977</v>
      </c>
      <c r="CA125" s="13">
        <f t="shared" si="93"/>
        <v>69.660903052386217</v>
      </c>
      <c r="CB125" s="20">
        <f t="shared" si="64"/>
        <v>631.25263281623893</v>
      </c>
      <c r="CC125" s="59">
        <f t="shared" si="65"/>
        <v>924.58596614957219</v>
      </c>
      <c r="CD125" s="59">
        <f ca="1">AVERAGE(OFFSET($CC$3,0,0,'Données projet'!$E$12+1,1))-AVERAGE(OFFSET($H$3,0,0,'Données projet'!$E$12+1,1))</f>
        <v>405.40026823646758</v>
      </c>
      <c r="CE125" s="59">
        <f t="shared" si="94"/>
        <v>393.0787141050053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26.313694863163679</v>
      </c>
      <c r="CL125" s="21">
        <f>EXP(-LN(2)/25)*CL124+(1-EXP(-LN(2)/25))/(LN(2)/25)*Calculateur!CG125*Calculateur!CI125*VLOOKUP('Données projet'!$B$12,Paramètres!$A$1:$I$89,3,0)*0.475*44/12</f>
        <v>2.2351082632837951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28.548803126447474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259.99999999999983</v>
      </c>
      <c r="CU125" s="17">
        <f>CT125*VLOOKUP('Données projet'!$B$13,Paramètres!$A$1:$I$89,3,0)*VLOOKUP('Données projet'!$B$13,Paramètres!$A$1:$I$89,5,0)</f>
        <v>227.13599999999985</v>
      </c>
      <c r="CV125" s="13">
        <f t="shared" si="95"/>
        <v>55.662966886685133</v>
      </c>
      <c r="CW125" s="20">
        <f t="shared" si="67"/>
        <v>492.5415339943097</v>
      </c>
      <c r="CX125" s="59">
        <f t="shared" si="68"/>
        <v>785.87486732764296</v>
      </c>
      <c r="CY125" s="59">
        <f ca="1">AVERAGE(OFFSET($CX$3,0,0,'Données projet'!$E$13+1,1))-AVERAGE(OFFSET($H$3,0,0,'Données projet'!$E$13+1,1))</f>
        <v>381.72225529388083</v>
      </c>
      <c r="CZ125" s="59">
        <f t="shared" si="96"/>
        <v>360.05900046417361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24.424496918612576</v>
      </c>
      <c r="DG125" s="21">
        <f>EXP(-LN(2)/25)*DG124+(1-EXP(-LN(2)/25))/(LN(2)/25)*Calculateur!DB125*Calculateur!DD125*VLOOKUP('Données projet'!$B$13,Paramètres!$A$1:$I$89,3,0)*0.475*44/12</f>
        <v>7.3034289782128266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31.727925896825404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3.8301282051282044</v>
      </c>
      <c r="DO125" s="12">
        <f>IF('Données projet'!$A$166&gt;35,DO124+DN125-DW124,IF(A125&lt;'Données projet'!$A$166,$DL$205^A125,IF(A125='Données projet'!$A$166,'Données projet'!$B$166,DO124+DN125-DW124)))</f>
        <v>218.80448717948767</v>
      </c>
      <c r="DP125" s="17">
        <f>DO125*VLOOKUP('Données projet'!$B$14,Paramètres!$A$1:$I$89,3,0)*VLOOKUP('Données projet'!$B$14,Paramètres!$A$1:$I$89,5,0)</f>
        <v>211.62770000000046</v>
      </c>
      <c r="DQ125" s="13">
        <f t="shared" si="97"/>
        <v>52.291119106337845</v>
      </c>
      <c r="DR125" s="20">
        <f t="shared" si="70"/>
        <v>459.65860994353926</v>
      </c>
      <c r="DS125" s="59">
        <f t="shared" si="71"/>
        <v>752.99194327687258</v>
      </c>
      <c r="DT125" s="59">
        <f ca="1">AVERAGE(OFFSET($DS$3,0,0,'Données projet'!$E$14+1,1))-AVERAGE(OFFSET($H$3,0,0,'Données projet'!$E$14+1,1))</f>
        <v>407.73540492005355</v>
      </c>
      <c r="DU125" s="59">
        <f t="shared" si="98"/>
        <v>296.29416764204774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108.21611342906421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108.21611342906421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328.00000000000017</v>
      </c>
      <c r="EK125" s="17">
        <f>EJ125*VLOOKUP('Données projet'!$B$15,Paramètres!$A$1:$I$89,3,0)*VLOOKUP('Données projet'!$B$15,Paramètres!$A$1:$I$89,5,0)</f>
        <v>255.84000000000015</v>
      </c>
      <c r="EL125" s="13">
        <f t="shared" si="99"/>
        <v>61.834803371075886</v>
      </c>
      <c r="EM125" s="20">
        <f t="shared" si="73"/>
        <v>553.28361587129086</v>
      </c>
      <c r="EN125" s="59">
        <f t="shared" si="74"/>
        <v>846.61694920462423</v>
      </c>
      <c r="EO125" s="59">
        <f ca="1">AVERAGE(OFFSET($EN$3,0,0,'Données projet'!$E$15+1,1))-AVERAGE(OFFSET($H$3,0,0,'Données projet'!$E$15+1,1))</f>
        <v>288.80569134263209</v>
      </c>
      <c r="EP125" s="59">
        <f t="shared" si="100"/>
        <v>283.48738729114024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7.1157218493059835</v>
      </c>
      <c r="EW125" s="21">
        <f>EXP(-LN(2)/25)*EW124+(1-EXP(-LN(2)/25))/(LN(2)/25)*Calculateur!ER125*Calculateur!ET125*VLOOKUP('Données projet'!$B$15,Paramètres!$A$1:$I$89,3,0)*0.475*44/12</f>
        <v>4.5446751731480015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11.660397022453985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731.36295277186127</v>
      </c>
      <c r="S126" s="59">
        <f ca="1">AVERAGE(OFFSET($R$3,0,0,'Données projet'!$E$9+1,1))-AVERAGE(OFFSET($H$3,0,0,'Données projet'!$E$9+1,1))</f>
        <v>384.05928630855732</v>
      </c>
      <c r="T126" s="59">
        <f t="shared" si="88"/>
        <v>279.93992813630513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-2.4158453015843406E-13</v>
      </c>
      <c r="AJ126" s="13">
        <f>AI126*VLOOKUP('Données projet'!$B$10,Paramètres!$A$1:$I$89,3,0)*VLOOKUP('Données projet'!$B$10,Paramètres!$A$1:$I$89,5,0)</f>
        <v>-2.0351080820546486E-13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312.48716825299158</v>
      </c>
      <c r="AO126" s="59">
        <f t="shared" si="90"/>
        <v>258.68277822755357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115.13703204567652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115.13703204567652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367.99999999999972</v>
      </c>
      <c r="BE126" s="13">
        <f>BD126*VLOOKUP('Données projet'!$B$11,Paramètres!$A$1:$I$89,3,0)*VLOOKUP('Données projet'!$B$11,Paramètres!$A$1:$I$89,5,0)</f>
        <v>269.8175999999998</v>
      </c>
      <c r="BF126" s="13">
        <f t="shared" si="91"/>
        <v>64.810557882019467</v>
      </c>
      <c r="BG126" s="20">
        <f t="shared" si="61"/>
        <v>582.81070831118348</v>
      </c>
      <c r="BH126" s="59">
        <f t="shared" si="62"/>
        <v>876.14404164451685</v>
      </c>
      <c r="BI126" s="59">
        <f ca="1">AVERAGE(OFFSET($BH$3,0,0,'Données projet'!$E$11+1,1))-AVERAGE(OFFSET($H$3,0,0,'Données projet'!$E$11+1,1))</f>
        <v>376.58419691967526</v>
      </c>
      <c r="BJ126" s="59">
        <f t="shared" si="92"/>
        <v>365.76175372075869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19.288623899305325</v>
      </c>
      <c r="BQ126" s="21">
        <f>EXP(-LN(2)/25)*BQ125+(1-EXP(-LN(2)/25))/(LN(2)/25)*Calculateur!BL126*Calculateur!BN126*VLOOKUP('Données projet'!$B$11,Paramètres!$A$1:$I$89,3,0)*0.475*44/12</f>
        <v>1.6254650358439193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20.914088935149245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292.78079999999977</v>
      </c>
      <c r="CA126" s="13">
        <f t="shared" si="93"/>
        <v>69.660903052386217</v>
      </c>
      <c r="CB126" s="20">
        <f t="shared" si="64"/>
        <v>631.25263281623893</v>
      </c>
      <c r="CC126" s="59">
        <f t="shared" si="65"/>
        <v>924.58596614957219</v>
      </c>
      <c r="CD126" s="59">
        <f ca="1">AVERAGE(OFFSET($CC$3,0,0,'Données projet'!$E$12+1,1))-AVERAGE(OFFSET($H$3,0,0,'Données projet'!$E$12+1,1))</f>
        <v>405.40026823646758</v>
      </c>
      <c r="CE126" s="59">
        <f t="shared" si="94"/>
        <v>393.0787141050053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25.797699356666122</v>
      </c>
      <c r="CL126" s="21">
        <f>EXP(-LN(2)/25)*CL125+(1-EXP(-LN(2)/25))/(LN(2)/25)*Calculateur!CG126*Calculateur!CI126*VLOOKUP('Données projet'!$B$12,Paramètres!$A$1:$I$89,3,0)*0.475*44/12</f>
        <v>2.1739891102850644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27.971688466951186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259.99999999999983</v>
      </c>
      <c r="CU126" s="17">
        <f>CT126*VLOOKUP('Données projet'!$B$13,Paramètres!$A$1:$I$89,3,0)*VLOOKUP('Données projet'!$B$13,Paramètres!$A$1:$I$89,5,0)</f>
        <v>227.13599999999985</v>
      </c>
      <c r="CV126" s="13">
        <f t="shared" si="95"/>
        <v>55.662966886685133</v>
      </c>
      <c r="CW126" s="20">
        <f t="shared" si="67"/>
        <v>492.5415339943097</v>
      </c>
      <c r="CX126" s="59">
        <f t="shared" si="68"/>
        <v>785.87486732764296</v>
      </c>
      <c r="CY126" s="59">
        <f ca="1">AVERAGE(OFFSET($CX$3,0,0,'Données projet'!$E$13+1,1))-AVERAGE(OFFSET($H$3,0,0,'Données projet'!$E$13+1,1))</f>
        <v>381.72225529388083</v>
      </c>
      <c r="CZ126" s="59">
        <f t="shared" si="96"/>
        <v>360.05900046417361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23.9455474315107</v>
      </c>
      <c r="DG126" s="21">
        <f>EXP(-LN(2)/25)*DG125+(1-EXP(-LN(2)/25))/(LN(2)/25)*Calculateur!DB126*Calculateur!DD126*VLOOKUP('Données projet'!$B$13,Paramètres!$A$1:$I$89,3,0)*0.475*44/12</f>
        <v>7.1037163287329594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31.049263760243662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222.63461538461539</v>
      </c>
      <c r="DM126" s="12">
        <f>VLOOKUP(A126,'Données projet'!$A$165:$I$185,9,0)</f>
        <v>3.8301282051282044</v>
      </c>
      <c r="DN126" s="12">
        <f t="array" ref="DN126">INDEX(DM:DM,MIN(IF(ISNUMBER(DM126:DM322),ROW(DM126:DM322),"")))</f>
        <v>3.8301282051282044</v>
      </c>
      <c r="DO126" s="12">
        <f>IF('Données projet'!$A$166&gt;35,DO125+DN126-DW125,IF(A126&lt;'Données projet'!$A$166,$DL$205^A126,IF(A126='Données projet'!$A$166,'Données projet'!$B$166,DO125+DN126-DW125)))</f>
        <v>222.63461538461587</v>
      </c>
      <c r="DP126" s="17">
        <f>DO126*VLOOKUP('Données projet'!$B$14,Paramètres!$A$1:$I$89,3,0)*VLOOKUP('Données projet'!$B$14,Paramètres!$A$1:$I$89,5,0)</f>
        <v>215.33220000000048</v>
      </c>
      <c r="DQ126" s="13">
        <f t="shared" si="97"/>
        <v>53.09909966998385</v>
      </c>
      <c r="DR126" s="20">
        <f t="shared" si="70"/>
        <v>467.51784692522273</v>
      </c>
      <c r="DS126" s="59">
        <f t="shared" si="71"/>
        <v>760.85118025855604</v>
      </c>
      <c r="DT126" s="59">
        <f ca="1">AVERAGE(OFFSET($DS$3,0,0,'Données projet'!$E$14+1,1))-AVERAGE(OFFSET($H$3,0,0,'Données projet'!$E$14+1,1))</f>
        <v>407.73540492005355</v>
      </c>
      <c r="DU126" s="59">
        <f t="shared" si="98"/>
        <v>296.29416764204774</v>
      </c>
      <c r="DV126" s="15">
        <f>IF(ISNA(VLOOKUP(A126,'Données projet'!$A$165:$I$185,3,0)),0,VLOOKUP(A126,'Données projet'!$A$165:$I$185,3,0))</f>
        <v>12</v>
      </c>
      <c r="DW126" s="15">
        <f>IF(ISNA(VLOOKUP(A126,'Données projet'!$A$165:$I$185,4,0)),0,VLOOKUP(A126,'Données projet'!$A$165:$I$185,4,0))</f>
        <v>77.17307692307692</v>
      </c>
      <c r="DX126" s="16">
        <f>IF(ISNA(VLOOKUP(A126,'Données projet'!$A$165:$I$185,5,0)),0%,VLOOKUP(A126,'Données projet'!$A$165:$I$185,5,0)*VLOOKUP('Données projet'!$B$14,Paramètres!$A$1:$I$89,7,0))</f>
        <v>0.38700000000000001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138.02709515336571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138.02709515336571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328.00000000000017</v>
      </c>
      <c r="EK126" s="17">
        <f>EJ126*VLOOKUP('Données projet'!$B$15,Paramètres!$A$1:$I$89,3,0)*VLOOKUP('Données projet'!$B$15,Paramètres!$A$1:$I$89,5,0)</f>
        <v>255.84000000000015</v>
      </c>
      <c r="EL126" s="13">
        <f t="shared" si="99"/>
        <v>61.834803371075886</v>
      </c>
      <c r="EM126" s="20">
        <f t="shared" si="73"/>
        <v>553.28361587129086</v>
      </c>
      <c r="EN126" s="59">
        <f t="shared" si="74"/>
        <v>846.61694920462423</v>
      </c>
      <c r="EO126" s="59">
        <f ca="1">AVERAGE(OFFSET($EN$3,0,0,'Données projet'!$E$15+1,1))-AVERAGE(OFFSET($H$3,0,0,'Données projet'!$E$15+1,1))</f>
        <v>288.80569134263209</v>
      </c>
      <c r="EP126" s="59">
        <f t="shared" si="100"/>
        <v>283.48738729114024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6.9761868840028658</v>
      </c>
      <c r="EW126" s="21">
        <f>EXP(-LN(2)/25)*EW125+(1-EXP(-LN(2)/25))/(LN(2)/25)*Calculateur!ER126*Calculateur!ET126*VLOOKUP('Données projet'!$B$15,Paramètres!$A$1:$I$89,3,0)*0.475*44/12</f>
        <v>4.4204007915441892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11.396587675547055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586.94735782334101</v>
      </c>
      <c r="S127" s="59">
        <f ca="1">AVERAGE(OFFSET($R$3,0,0,'Données projet'!$E$9+1,1))-AVERAGE(OFFSET($H$3,0,0,'Données projet'!$E$9+1,1))</f>
        <v>384.05928630855732</v>
      </c>
      <c r="T127" s="59">
        <f t="shared" si="88"/>
        <v>279.93992813630513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-2.4158453015843406E-13</v>
      </c>
      <c r="AJ127" s="13">
        <f>AI127*VLOOKUP('Données projet'!$B$10,Paramètres!$A$1:$I$89,3,0)*VLOOKUP('Données projet'!$B$10,Paramètres!$A$1:$I$89,5,0)</f>
        <v>-2.0351080820546486E-13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312.48716825299158</v>
      </c>
      <c r="AO127" s="59">
        <f t="shared" si="90"/>
        <v>258.68277822755357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112.87926507391605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112.87926507391605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367.99999999999972</v>
      </c>
      <c r="BE127" s="13">
        <f>BD127*VLOOKUP('Données projet'!$B$11,Paramètres!$A$1:$I$89,3,0)*VLOOKUP('Données projet'!$B$11,Paramètres!$A$1:$I$89,5,0)</f>
        <v>269.8175999999998</v>
      </c>
      <c r="BF127" s="13">
        <f t="shared" si="91"/>
        <v>64.810557882019467</v>
      </c>
      <c r="BG127" s="20">
        <f t="shared" si="61"/>
        <v>582.81070831118348</v>
      </c>
      <c r="BH127" s="59">
        <f t="shared" si="62"/>
        <v>876.14404164451685</v>
      </c>
      <c r="BI127" s="59">
        <f ca="1">AVERAGE(OFFSET($BH$3,0,0,'Données projet'!$E$11+1,1))-AVERAGE(OFFSET($H$3,0,0,'Données projet'!$E$11+1,1))</f>
        <v>376.58419691967526</v>
      </c>
      <c r="BJ127" s="59">
        <f t="shared" si="92"/>
        <v>365.76175372075869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18.91038574953884</v>
      </c>
      <c r="BQ127" s="21">
        <f>EXP(-LN(2)/25)*BQ126+(1-EXP(-LN(2)/25))/(LN(2)/25)*Calculateur!BL127*Calculateur!BN127*VLOOKUP('Données projet'!$B$11,Paramètres!$A$1:$I$89,3,0)*0.475*44/12</f>
        <v>1.5810166089592761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20.491402358498117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292.78079999999977</v>
      </c>
      <c r="CA127" s="13">
        <f t="shared" si="93"/>
        <v>69.660903052386217</v>
      </c>
      <c r="CB127" s="20">
        <f t="shared" si="64"/>
        <v>631.25263281623893</v>
      </c>
      <c r="CC127" s="59">
        <f t="shared" si="65"/>
        <v>924.58596614957219</v>
      </c>
      <c r="CD127" s="59">
        <f ca="1">AVERAGE(OFFSET($CC$3,0,0,'Données projet'!$E$12+1,1))-AVERAGE(OFFSET($H$3,0,0,'Données projet'!$E$12+1,1))</f>
        <v>405.40026823646758</v>
      </c>
      <c r="CE127" s="59">
        <f t="shared" si="94"/>
        <v>393.0787141050053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25.291822207324799</v>
      </c>
      <c r="CL127" s="21">
        <f>EXP(-LN(2)/25)*CL126+(1-EXP(-LN(2)/25))/(LN(2)/25)*Calculateur!CG127*Calculateur!CI127*VLOOKUP('Données projet'!$B$12,Paramètres!$A$1:$I$89,3,0)*0.475*44/12</f>
        <v>2.1145412637392007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27.406363471064001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259.99999999999983</v>
      </c>
      <c r="CU127" s="17">
        <f>CT127*VLOOKUP('Données projet'!$B$13,Paramètres!$A$1:$I$89,3,0)*VLOOKUP('Données projet'!$B$13,Paramètres!$A$1:$I$89,5,0)</f>
        <v>227.13599999999985</v>
      </c>
      <c r="CV127" s="13">
        <f t="shared" si="95"/>
        <v>55.662966886685133</v>
      </c>
      <c r="CW127" s="20">
        <f t="shared" si="67"/>
        <v>492.5415339943097</v>
      </c>
      <c r="CX127" s="59">
        <f t="shared" si="68"/>
        <v>785.87486732764296</v>
      </c>
      <c r="CY127" s="59">
        <f ca="1">AVERAGE(OFFSET($CX$3,0,0,'Données projet'!$E$13+1,1))-AVERAGE(OFFSET($H$3,0,0,'Données projet'!$E$13+1,1))</f>
        <v>381.72225529388083</v>
      </c>
      <c r="CZ127" s="59">
        <f t="shared" si="96"/>
        <v>360.05900046417361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23.475989851720552</v>
      </c>
      <c r="DG127" s="21">
        <f>EXP(-LN(2)/25)*DG126+(1-EXP(-LN(2)/25))/(LN(2)/25)*Calculateur!DB127*Calculateur!DD127*VLOOKUP('Données projet'!$B$13,Paramètres!$A$1:$I$89,3,0)*0.475*44/12</f>
        <v>6.9094648321555505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30.385454683876102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2.3349358974358978</v>
      </c>
      <c r="DO127" s="12">
        <f>IF('Données projet'!$A$166&gt;35,DO126+DN127-DW126,IF(A127&lt;'Données projet'!$A$166,$DL$205^A127,IF(A127='Données projet'!$A$166,'Données projet'!$B$166,DO126+DN127-DW126)))</f>
        <v>147.79647435897488</v>
      </c>
      <c r="DP127" s="17">
        <f>DO127*VLOOKUP('Données projet'!$B$14,Paramètres!$A$1:$I$89,3,0)*VLOOKUP('Données projet'!$B$14,Paramètres!$A$1:$I$89,5,0)</f>
        <v>142.9487500000005</v>
      </c>
      <c r="DQ127" s="13">
        <f t="shared" si="97"/>
        <v>36.97170105706271</v>
      </c>
      <c r="DR127" s="20">
        <f t="shared" si="70"/>
        <v>313.36145225771844</v>
      </c>
      <c r="DS127" s="59">
        <f t="shared" si="71"/>
        <v>606.69478559105175</v>
      </c>
      <c r="DT127" s="59">
        <f ca="1">AVERAGE(OFFSET($DS$3,0,0,'Données projet'!$E$14+1,1))-AVERAGE(OFFSET($H$3,0,0,'Données projet'!$E$14+1,1))</f>
        <v>407.73540492005355</v>
      </c>
      <c r="DU127" s="59">
        <f t="shared" si="98"/>
        <v>296.29416764204774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135.32046800562335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135.32046800562335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328.00000000000017</v>
      </c>
      <c r="EK127" s="17">
        <f>EJ127*VLOOKUP('Données projet'!$B$15,Paramètres!$A$1:$I$89,3,0)*VLOOKUP('Données projet'!$B$15,Paramètres!$A$1:$I$89,5,0)</f>
        <v>255.84000000000015</v>
      </c>
      <c r="EL127" s="13">
        <f t="shared" si="99"/>
        <v>61.834803371075886</v>
      </c>
      <c r="EM127" s="20">
        <f t="shared" si="73"/>
        <v>553.28361587129086</v>
      </c>
      <c r="EN127" s="59">
        <f t="shared" si="74"/>
        <v>846.61694920462423</v>
      </c>
      <c r="EO127" s="59">
        <f ca="1">AVERAGE(OFFSET($EN$3,0,0,'Données projet'!$E$15+1,1))-AVERAGE(OFFSET($H$3,0,0,'Données projet'!$E$15+1,1))</f>
        <v>288.80569134263209</v>
      </c>
      <c r="EP127" s="59">
        <f t="shared" si="100"/>
        <v>283.48738729114024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6.8393881142614168</v>
      </c>
      <c r="EW127" s="21">
        <f>EXP(-LN(2)/25)*EW126+(1-EXP(-LN(2)/25))/(LN(2)/25)*Calculateur!ER127*Calculateur!ET127*VLOOKUP('Données projet'!$B$15,Paramètres!$A$1:$I$89,3,0)*0.475*44/12</f>
        <v>4.2995246994406386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11.138912813702056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591.47355484524326</v>
      </c>
      <c r="S128" s="59">
        <f ca="1">AVERAGE(OFFSET($R$3,0,0,'Données projet'!$E$9+1,1))-AVERAGE(OFFSET($H$3,0,0,'Données projet'!$E$9+1,1))</f>
        <v>384.05928630855732</v>
      </c>
      <c r="T128" s="59">
        <f t="shared" si="88"/>
        <v>279.93992813630513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-2.4158453015843406E-13</v>
      </c>
      <c r="AJ128" s="13">
        <f>AI128*VLOOKUP('Données projet'!$B$10,Paramètres!$A$1:$I$89,3,0)*VLOOKUP('Données projet'!$B$10,Paramètres!$A$1:$I$89,5,0)</f>
        <v>-2.0351080820546486E-13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312.48716825299158</v>
      </c>
      <c r="AO128" s="59">
        <f t="shared" si="90"/>
        <v>258.68277822755357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110.66577153536991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110.66577153536991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367.99999999999972</v>
      </c>
      <c r="BE128" s="13">
        <f>BD128*VLOOKUP('Données projet'!$B$11,Paramètres!$A$1:$I$89,3,0)*VLOOKUP('Données projet'!$B$11,Paramètres!$A$1:$I$89,5,0)</f>
        <v>269.8175999999998</v>
      </c>
      <c r="BF128" s="13">
        <f t="shared" si="91"/>
        <v>64.810557882019467</v>
      </c>
      <c r="BG128" s="20">
        <f t="shared" si="61"/>
        <v>582.81070831118348</v>
      </c>
      <c r="BH128" s="59">
        <f t="shared" si="62"/>
        <v>876.14404164451685</v>
      </c>
      <c r="BI128" s="59">
        <f ca="1">AVERAGE(OFFSET($BH$3,0,0,'Données projet'!$E$11+1,1))-AVERAGE(OFFSET($H$3,0,0,'Données projet'!$E$11+1,1))</f>
        <v>376.58419691967526</v>
      </c>
      <c r="BJ128" s="59">
        <f t="shared" si="92"/>
        <v>365.76175372075869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18.539564619186784</v>
      </c>
      <c r="BQ128" s="21">
        <f>EXP(-LN(2)/25)*BQ127+(1-EXP(-LN(2)/25))/(LN(2)/25)*Calculateur!BL128*Calculateur!BN128*VLOOKUP('Données projet'!$B$11,Paramètres!$A$1:$I$89,3,0)*0.475*44/12</f>
        <v>1.5377836266452347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20.07734824583202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292.78079999999977</v>
      </c>
      <c r="CA128" s="13">
        <f t="shared" si="93"/>
        <v>69.660903052386217</v>
      </c>
      <c r="CB128" s="20">
        <f t="shared" si="64"/>
        <v>631.25263281623893</v>
      </c>
      <c r="CC128" s="59">
        <f t="shared" si="65"/>
        <v>924.58596614957219</v>
      </c>
      <c r="CD128" s="59">
        <f ca="1">AVERAGE(OFFSET($CC$3,0,0,'Données projet'!$E$12+1,1))-AVERAGE(OFFSET($H$3,0,0,'Données projet'!$E$12+1,1))</f>
        <v>405.40026823646758</v>
      </c>
      <c r="CE128" s="59">
        <f t="shared" si="94"/>
        <v>393.0787141050053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24.795865000327467</v>
      </c>
      <c r="CL128" s="21">
        <f>EXP(-LN(2)/25)*CL127+(1-EXP(-LN(2)/25))/(LN(2)/25)*Calculateur!CG128*Calculateur!CI128*VLOOKUP('Données projet'!$B$12,Paramètres!$A$1:$I$89,3,0)*0.475*44/12</f>
        <v>2.0567190216833602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26.852584022010827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259.99999999999983</v>
      </c>
      <c r="CU128" s="17">
        <f>CT128*VLOOKUP('Données projet'!$B$13,Paramètres!$A$1:$I$89,3,0)*VLOOKUP('Données projet'!$B$13,Paramètres!$A$1:$I$89,5,0)</f>
        <v>227.13599999999985</v>
      </c>
      <c r="CV128" s="13">
        <f t="shared" si="95"/>
        <v>55.662966886685133</v>
      </c>
      <c r="CW128" s="20">
        <f t="shared" si="67"/>
        <v>492.5415339943097</v>
      </c>
      <c r="CX128" s="59">
        <f t="shared" si="68"/>
        <v>785.87486732764296</v>
      </c>
      <c r="CY128" s="59">
        <f ca="1">AVERAGE(OFFSET($CX$3,0,0,'Données projet'!$E$13+1,1))-AVERAGE(OFFSET($H$3,0,0,'Données projet'!$E$13+1,1))</f>
        <v>381.72225529388083</v>
      </c>
      <c r="CZ128" s="59">
        <f t="shared" si="96"/>
        <v>360.05900046417361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23.015640009668243</v>
      </c>
      <c r="DG128" s="21">
        <f>EXP(-LN(2)/25)*DG127+(1-EXP(-LN(2)/25))/(LN(2)/25)*Calculateur!DB128*Calculateur!DD128*VLOOKUP('Données projet'!$B$13,Paramètres!$A$1:$I$89,3,0)*0.475*44/12</f>
        <v>6.7205251529672934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29.736165162635537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2.3349358974358978</v>
      </c>
      <c r="DO128" s="12">
        <f>IF('Données projet'!$A$166&gt;35,DO127+DN128-DW127,IF(A128&lt;'Données projet'!$A$166,$DL$205^A128,IF(A128='Données projet'!$A$166,'Données projet'!$B$166,DO127+DN128-DW127)))</f>
        <v>150.13141025641079</v>
      </c>
      <c r="DP128" s="17">
        <f>DO128*VLOOKUP('Données projet'!$B$14,Paramètres!$A$1:$I$89,3,0)*VLOOKUP('Données projet'!$B$14,Paramètres!$A$1:$I$89,5,0)</f>
        <v>145.20710000000051</v>
      </c>
      <c r="DQ128" s="13">
        <f t="shared" si="97"/>
        <v>37.487331864330997</v>
      </c>
      <c r="DR128" s="20">
        <f t="shared" si="70"/>
        <v>318.19280216371067</v>
      </c>
      <c r="DS128" s="59">
        <f t="shared" si="71"/>
        <v>611.52613549704392</v>
      </c>
      <c r="DT128" s="59">
        <f ca="1">AVERAGE(OFFSET($DS$3,0,0,'Données projet'!$E$14+1,1))-AVERAGE(OFFSET($H$3,0,0,'Données projet'!$E$14+1,1))</f>
        <v>407.73540492005355</v>
      </c>
      <c r="DU128" s="59">
        <f t="shared" si="98"/>
        <v>296.29416764204774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132.66691616536869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132.66691616536869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328.00000000000017</v>
      </c>
      <c r="EK128" s="17">
        <f>EJ128*VLOOKUP('Données projet'!$B$15,Paramètres!$A$1:$I$89,3,0)*VLOOKUP('Données projet'!$B$15,Paramètres!$A$1:$I$89,5,0)</f>
        <v>255.84000000000015</v>
      </c>
      <c r="EL128" s="13">
        <f t="shared" si="99"/>
        <v>61.834803371075886</v>
      </c>
      <c r="EM128" s="20">
        <f t="shared" si="73"/>
        <v>553.28361587129086</v>
      </c>
      <c r="EN128" s="59">
        <f t="shared" si="74"/>
        <v>846.61694920462423</v>
      </c>
      <c r="EO128" s="59">
        <f ca="1">AVERAGE(OFFSET($EN$3,0,0,'Données projet'!$E$15+1,1))-AVERAGE(OFFSET($H$3,0,0,'Données projet'!$E$15+1,1))</f>
        <v>288.80569134263209</v>
      </c>
      <c r="EP128" s="59">
        <f t="shared" si="100"/>
        <v>283.48738729114024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6.7052718849555877</v>
      </c>
      <c r="EW128" s="21">
        <f>EXP(-LN(2)/25)*EW127+(1-EXP(-LN(2)/25))/(LN(2)/25)*Calculateur!ER128*Calculateur!ET128*VLOOKUP('Données projet'!$B$15,Paramètres!$A$1:$I$89,3,0)*0.475*44/12</f>
        <v>4.1819539704322573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10.887225855387845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595.99822045030737</v>
      </c>
      <c r="S129" s="59">
        <f ca="1">AVERAGE(OFFSET($R$3,0,0,'Données projet'!$E$9+1,1))-AVERAGE(OFFSET($H$3,0,0,'Données projet'!$E$9+1,1))</f>
        <v>384.05928630855732</v>
      </c>
      <c r="T129" s="59">
        <f t="shared" si="88"/>
        <v>279.93992813630513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-2.4158453015843406E-13</v>
      </c>
      <c r="AJ129" s="13">
        <f>AI129*VLOOKUP('Données projet'!$B$10,Paramètres!$A$1:$I$89,3,0)*VLOOKUP('Données projet'!$B$10,Paramètres!$A$1:$I$89,5,0)</f>
        <v>-2.0351080820546486E-13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312.48716825299158</v>
      </c>
      <c r="AO129" s="59">
        <f t="shared" si="90"/>
        <v>258.68277822755357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108.49568325501693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108.49568325501693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367.99999999999972</v>
      </c>
      <c r="BE129" s="13">
        <f>BD129*VLOOKUP('Données projet'!$B$11,Paramètres!$A$1:$I$89,3,0)*VLOOKUP('Données projet'!$B$11,Paramètres!$A$1:$I$89,5,0)</f>
        <v>269.8175999999998</v>
      </c>
      <c r="BF129" s="13">
        <f t="shared" si="91"/>
        <v>64.810557882019467</v>
      </c>
      <c r="BG129" s="20">
        <f t="shared" si="61"/>
        <v>582.81070831118348</v>
      </c>
      <c r="BH129" s="59">
        <f t="shared" si="62"/>
        <v>876.14404164451685</v>
      </c>
      <c r="BI129" s="59">
        <f ca="1">AVERAGE(OFFSET($BH$3,0,0,'Données projet'!$E$11+1,1))-AVERAGE(OFFSET($H$3,0,0,'Données projet'!$E$11+1,1))</f>
        <v>376.58419691967526</v>
      </c>
      <c r="BJ129" s="59">
        <f t="shared" si="92"/>
        <v>365.76175372075869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18.176015065022376</v>
      </c>
      <c r="BQ129" s="21">
        <f>EXP(-LN(2)/25)*BQ128+(1-EXP(-LN(2)/25))/(LN(2)/25)*Calculateur!BL129*Calculateur!BN129*VLOOKUP('Données projet'!$B$11,Paramètres!$A$1:$I$89,3,0)*0.475*44/12</f>
        <v>1.4957328525060944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19.671747917528471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292.78079999999977</v>
      </c>
      <c r="CA129" s="13">
        <f t="shared" si="93"/>
        <v>69.660903052386217</v>
      </c>
      <c r="CB129" s="20">
        <f t="shared" si="64"/>
        <v>631.25263281623893</v>
      </c>
      <c r="CC129" s="59">
        <f t="shared" si="65"/>
        <v>924.58596614957219</v>
      </c>
      <c r="CD129" s="59">
        <f ca="1">AVERAGE(OFFSET($CC$3,0,0,'Données projet'!$E$12+1,1))-AVERAGE(OFFSET($H$3,0,0,'Données projet'!$E$12+1,1))</f>
        <v>405.40026823646758</v>
      </c>
      <c r="CE129" s="59">
        <f t="shared" si="94"/>
        <v>393.0787141050053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24.309633211655328</v>
      </c>
      <c r="CL129" s="21">
        <f>EXP(-LN(2)/25)*CL128+(1-EXP(-LN(2)/25))/(LN(2)/25)*Calculateur!CG129*Calculateur!CI129*VLOOKUP('Données projet'!$B$12,Paramètres!$A$1:$I$89,3,0)*0.475*44/12</f>
        <v>2.0004779318772759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26.310111143532602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259.99999999999983</v>
      </c>
      <c r="CU129" s="17">
        <f>CT129*VLOOKUP('Données projet'!$B$13,Paramètres!$A$1:$I$89,3,0)*VLOOKUP('Données projet'!$B$13,Paramètres!$A$1:$I$89,5,0)</f>
        <v>227.13599999999985</v>
      </c>
      <c r="CV129" s="13">
        <f t="shared" si="95"/>
        <v>55.662966886685133</v>
      </c>
      <c r="CW129" s="20">
        <f t="shared" si="67"/>
        <v>492.5415339943097</v>
      </c>
      <c r="CX129" s="59">
        <f t="shared" si="68"/>
        <v>785.87486732764296</v>
      </c>
      <c r="CY129" s="59">
        <f ca="1">AVERAGE(OFFSET($CX$3,0,0,'Données projet'!$E$13+1,1))-AVERAGE(OFFSET($H$3,0,0,'Données projet'!$E$13+1,1))</f>
        <v>381.72225529388083</v>
      </c>
      <c r="CZ129" s="59">
        <f t="shared" si="96"/>
        <v>360.05900046417361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22.564317347232901</v>
      </c>
      <c r="DG129" s="21">
        <f>EXP(-LN(2)/25)*DG128+(1-EXP(-LN(2)/25))/(LN(2)/25)*Calculateur!DB129*Calculateur!DD129*VLOOKUP('Données projet'!$B$13,Paramètres!$A$1:$I$89,3,0)*0.475*44/12</f>
        <v>6.5367520392423453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29.101069386475245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2.3349358974358978</v>
      </c>
      <c r="DO129" s="12">
        <f>IF('Données projet'!$A$166&gt;35,DO128+DN129-DW128,IF(A129&lt;'Données projet'!$A$166,$DL$205^A129,IF(A129='Données projet'!$A$166,'Données projet'!$B$166,DO128+DN129-DW128)))</f>
        <v>152.4663461538467</v>
      </c>
      <c r="DP129" s="17">
        <f>DO129*VLOOKUP('Données projet'!$B$14,Paramètres!$A$1:$I$89,3,0)*VLOOKUP('Données projet'!$B$14,Paramètres!$A$1:$I$89,5,0)</f>
        <v>147.46545000000052</v>
      </c>
      <c r="DQ129" s="13">
        <f t="shared" si="97"/>
        <v>38.002030017293436</v>
      </c>
      <c r="DR129" s="20">
        <f t="shared" si="70"/>
        <v>323.02252769678699</v>
      </c>
      <c r="DS129" s="59">
        <f t="shared" si="71"/>
        <v>616.35586103012031</v>
      </c>
      <c r="DT129" s="59">
        <f ca="1">AVERAGE(OFFSET($DS$3,0,0,'Données projet'!$E$14+1,1))-AVERAGE(OFFSET($H$3,0,0,'Données projet'!$E$14+1,1))</f>
        <v>407.73540492005355</v>
      </c>
      <c r="DU129" s="59">
        <f t="shared" si="98"/>
        <v>296.29416764204774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130.06539885819461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130.06539885819461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328.00000000000017</v>
      </c>
      <c r="EK129" s="17">
        <f>EJ129*VLOOKUP('Données projet'!$B$15,Paramètres!$A$1:$I$89,3,0)*VLOOKUP('Données projet'!$B$15,Paramètres!$A$1:$I$89,5,0)</f>
        <v>255.84000000000015</v>
      </c>
      <c r="EL129" s="13">
        <f t="shared" si="99"/>
        <v>61.834803371075886</v>
      </c>
      <c r="EM129" s="20">
        <f t="shared" si="73"/>
        <v>553.28361587129086</v>
      </c>
      <c r="EN129" s="59">
        <f t="shared" si="74"/>
        <v>846.61694920462423</v>
      </c>
      <c r="EO129" s="59">
        <f ca="1">AVERAGE(OFFSET($EN$3,0,0,'Données projet'!$E$15+1,1))-AVERAGE(OFFSET($H$3,0,0,'Données projet'!$E$15+1,1))</f>
        <v>288.80569134263209</v>
      </c>
      <c r="EP129" s="59">
        <f t="shared" si="100"/>
        <v>283.48738729114024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6.5737855931036231</v>
      </c>
      <c r="EW129" s="21">
        <f>EXP(-LN(2)/25)*EW128+(1-EXP(-LN(2)/25))/(LN(2)/25)*Calculateur!ER129*Calculateur!ET129*VLOOKUP('Données projet'!$B$15,Paramètres!$A$1:$I$89,3,0)*0.475*44/12</f>
        <v>4.0675982191913862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10.641383812295009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600.52138079995711</v>
      </c>
      <c r="S130" s="59">
        <f ca="1">AVERAGE(OFFSET($R$3,0,0,'Données projet'!$E$9+1,1))-AVERAGE(OFFSET($H$3,0,0,'Données projet'!$E$9+1,1))</f>
        <v>384.05928630855732</v>
      </c>
      <c r="T130" s="59">
        <f t="shared" si="88"/>
        <v>279.93992813630513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-2.4158453015843406E-13</v>
      </c>
      <c r="AJ130" s="13">
        <f>AI130*VLOOKUP('Données projet'!$B$10,Paramètres!$A$1:$I$89,3,0)*VLOOKUP('Données projet'!$B$10,Paramètres!$A$1:$I$89,5,0)</f>
        <v>-2.0351080820546486E-13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312.48716825299158</v>
      </c>
      <c r="AO130" s="59">
        <f t="shared" si="90"/>
        <v>258.68277822755357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106.36814908221851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106.36814908221851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367.99999999999972</v>
      </c>
      <c r="BE130" s="13">
        <f>BD130*VLOOKUP('Données projet'!$B$11,Paramètres!$A$1:$I$89,3,0)*VLOOKUP('Données projet'!$B$11,Paramètres!$A$1:$I$89,5,0)</f>
        <v>269.8175999999998</v>
      </c>
      <c r="BF130" s="13">
        <f t="shared" si="91"/>
        <v>64.810557882019467</v>
      </c>
      <c r="BG130" s="20">
        <f t="shared" si="61"/>
        <v>582.81070831118348</v>
      </c>
      <c r="BH130" s="59">
        <f t="shared" si="62"/>
        <v>876.14404164451685</v>
      </c>
      <c r="BI130" s="59">
        <f ca="1">AVERAGE(OFFSET($BH$3,0,0,'Données projet'!$E$11+1,1))-AVERAGE(OFFSET($H$3,0,0,'Données projet'!$E$11+1,1))</f>
        <v>376.58419691967526</v>
      </c>
      <c r="BJ130" s="59">
        <f t="shared" si="92"/>
        <v>365.76175372075869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17.819594495871797</v>
      </c>
      <c r="BQ130" s="21">
        <f>EXP(-LN(2)/25)*BQ129+(1-EXP(-LN(2)/25))/(LN(2)/25)*Calculateur!BL130*Calculateur!BN130*VLOOKUP('Données projet'!$B$11,Paramètres!$A$1:$I$89,3,0)*0.475*44/12</f>
        <v>1.454831958997143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19.274426454868941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292.78079999999977</v>
      </c>
      <c r="CA130" s="13">
        <f t="shared" si="93"/>
        <v>69.660903052386217</v>
      </c>
      <c r="CB130" s="20">
        <f t="shared" si="64"/>
        <v>631.25263281623893</v>
      </c>
      <c r="CC130" s="59">
        <f t="shared" si="65"/>
        <v>924.58596614957219</v>
      </c>
      <c r="CD130" s="59">
        <f ca="1">AVERAGE(OFFSET($CC$3,0,0,'Données projet'!$E$12+1,1))-AVERAGE(OFFSET($H$3,0,0,'Données projet'!$E$12+1,1))</f>
        <v>405.40026823646758</v>
      </c>
      <c r="CE130" s="59">
        <f t="shared" si="94"/>
        <v>393.0787141050053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23.832936131786941</v>
      </c>
      <c r="CL130" s="21">
        <f>EXP(-LN(2)/25)*CL129+(1-EXP(-LN(2)/25))/(LN(2)/25)*Calculateur!CG130*Calculateur!CI130*VLOOKUP('Données projet'!$B$12,Paramètres!$A$1:$I$89,3,0)*0.475*44/12</f>
        <v>1.9457747576295295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25.77871088941647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259.99999999999983</v>
      </c>
      <c r="CU130" s="17">
        <f>CT130*VLOOKUP('Données projet'!$B$13,Paramètres!$A$1:$I$89,3,0)*VLOOKUP('Données projet'!$B$13,Paramètres!$A$1:$I$89,5,0)</f>
        <v>227.13599999999985</v>
      </c>
      <c r="CV130" s="13">
        <f t="shared" si="95"/>
        <v>55.662966886685133</v>
      </c>
      <c r="CW130" s="20">
        <f t="shared" si="67"/>
        <v>492.5415339943097</v>
      </c>
      <c r="CX130" s="59">
        <f t="shared" si="68"/>
        <v>785.87486732764296</v>
      </c>
      <c r="CY130" s="59">
        <f ca="1">AVERAGE(OFFSET($CX$3,0,0,'Données projet'!$E$13+1,1))-AVERAGE(OFFSET($H$3,0,0,'Données projet'!$E$13+1,1))</f>
        <v>381.72225529388083</v>
      </c>
      <c r="CZ130" s="59">
        <f t="shared" si="96"/>
        <v>360.05900046417361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22.121844846928276</v>
      </c>
      <c r="DG130" s="21">
        <f>EXP(-LN(2)/25)*DG129+(1-EXP(-LN(2)/25))/(LN(2)/25)*Calculateur!DB130*Calculateur!DD130*VLOOKUP('Données projet'!$B$13,Paramètres!$A$1:$I$89,3,0)*0.475*44/12</f>
        <v>6.3580042109764134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28.479849057904691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154.80128205128204</v>
      </c>
      <c r="DM130" s="12">
        <f>VLOOKUP(A130,'Données projet'!$A$165:$I$185,9,0)</f>
        <v>2.3349358974358978</v>
      </c>
      <c r="DN130" s="12">
        <f t="array" ref="DN130">INDEX(DM:DM,MIN(IF(ISNUMBER(DM130:DM326),ROW(DM130:DM326),"")))</f>
        <v>2.3349358974358978</v>
      </c>
      <c r="DO130" s="12">
        <f>IF('Données projet'!$A$166&gt;35,DO129+DN130-DW129,IF(A130&lt;'Données projet'!$A$166,$DL$205^A130,IF(A130='Données projet'!$A$166,'Données projet'!$B$166,DO129+DN130-DW129)))</f>
        <v>154.80128205128261</v>
      </c>
      <c r="DP130" s="17">
        <f>DO130*VLOOKUP('Données projet'!$B$14,Paramètres!$A$1:$I$89,3,0)*VLOOKUP('Données projet'!$B$14,Paramètres!$A$1:$I$89,5,0)</f>
        <v>149.72380000000055</v>
      </c>
      <c r="DQ130" s="13">
        <f t="shared" si="97"/>
        <v>38.515811448623552</v>
      </c>
      <c r="DR130" s="20">
        <f t="shared" si="70"/>
        <v>327.8506566063536</v>
      </c>
      <c r="DS130" s="59">
        <f t="shared" si="71"/>
        <v>621.18398993968685</v>
      </c>
      <c r="DT130" s="59">
        <f ca="1">AVERAGE(OFFSET($DS$3,0,0,'Données projet'!$E$14+1,1))-AVERAGE(OFFSET($H$3,0,0,'Données projet'!$E$14+1,1))</f>
        <v>407.73540492005355</v>
      </c>
      <c r="DU130" s="59">
        <f t="shared" si="98"/>
        <v>296.29416764204774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49.916666666666671</v>
      </c>
      <c r="DX130" s="16">
        <f>IF(ISNA(VLOOKUP(A130,'Données projet'!$A$165:$I$185,5,0)),0%,VLOOKUP(A130,'Données projet'!$A$165:$I$185,5,0)*VLOOKUP('Données projet'!$B$14,Paramètres!$A$1:$I$89,7,0))</f>
        <v>0.38700000000000001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148.16964556895348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148.16964556895348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328.00000000000017</v>
      </c>
      <c r="EK130" s="17">
        <f>EJ130*VLOOKUP('Données projet'!$B$15,Paramètres!$A$1:$I$89,3,0)*VLOOKUP('Données projet'!$B$15,Paramètres!$A$1:$I$89,5,0)</f>
        <v>255.84000000000015</v>
      </c>
      <c r="EL130" s="13">
        <f t="shared" si="99"/>
        <v>61.834803371075886</v>
      </c>
      <c r="EM130" s="20">
        <f t="shared" si="73"/>
        <v>553.28361587129086</v>
      </c>
      <c r="EN130" s="59">
        <f t="shared" si="74"/>
        <v>846.61694920462423</v>
      </c>
      <c r="EO130" s="59">
        <f ca="1">AVERAGE(OFFSET($EN$3,0,0,'Données projet'!$E$15+1,1))-AVERAGE(OFFSET($H$3,0,0,'Données projet'!$E$15+1,1))</f>
        <v>288.80569134263209</v>
      </c>
      <c r="EP130" s="59">
        <f t="shared" si="100"/>
        <v>283.48738729114024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6.4448776672361561</v>
      </c>
      <c r="EW130" s="21">
        <f>EXP(-LN(2)/25)*EW129+(1-EXP(-LN(2)/25))/(LN(2)/25)*Calculateur!ER130*Calculateur!ET130*VLOOKUP('Données projet'!$B$15,Paramètres!$A$1:$I$89,3,0)*0.475*44/12</f>
        <v>3.9563695319819039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10.40124719921806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506.39533423302373</v>
      </c>
      <c r="S131" s="59">
        <f ca="1">AVERAGE(OFFSET($R$3,0,0,'Données projet'!$E$9+1,1))-AVERAGE(OFFSET($H$3,0,0,'Données projet'!$E$9+1,1))</f>
        <v>384.05928630855732</v>
      </c>
      <c r="T131" s="59">
        <f t="shared" si="88"/>
        <v>279.93992813630513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-2.4158453015843406E-13</v>
      </c>
      <c r="AJ131" s="13">
        <f>AI131*VLOOKUP('Données projet'!$B$10,Paramètres!$A$1:$I$89,3,0)*VLOOKUP('Données projet'!$B$10,Paramètres!$A$1:$I$89,5,0)</f>
        <v>-2.0351080820546486E-13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312.48716825299158</v>
      </c>
      <c r="AO131" s="59">
        <f t="shared" si="90"/>
        <v>258.68277822755357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104.28233455688095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104.28233455688095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367.99999999999972</v>
      </c>
      <c r="BE131" s="13">
        <f>BD131*VLOOKUP('Données projet'!$B$11,Paramètres!$A$1:$I$89,3,0)*VLOOKUP('Données projet'!$B$11,Paramètres!$A$1:$I$89,5,0)</f>
        <v>269.8175999999998</v>
      </c>
      <c r="BF131" s="13">
        <f t="shared" si="91"/>
        <v>64.810557882019467</v>
      </c>
      <c r="BG131" s="20">
        <f t="shared" si="61"/>
        <v>582.81070831118348</v>
      </c>
      <c r="BH131" s="59">
        <f t="shared" si="62"/>
        <v>876.14404164451685</v>
      </c>
      <c r="BI131" s="59">
        <f ca="1">AVERAGE(OFFSET($BH$3,0,0,'Données projet'!$E$11+1,1))-AVERAGE(OFFSET($H$3,0,0,'Données projet'!$E$11+1,1))</f>
        <v>376.58419691967526</v>
      </c>
      <c r="BJ131" s="59">
        <f t="shared" si="92"/>
        <v>365.76175372075869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17.470163116687182</v>
      </c>
      <c r="BQ131" s="21">
        <f>EXP(-LN(2)/25)*BQ130+(1-EXP(-LN(2)/25))/(LN(2)/25)*Calculateur!BL131*Calculateur!BN131*VLOOKUP('Données projet'!$B$11,Paramètres!$A$1:$I$89,3,0)*0.475*44/12</f>
        <v>1.4150495025720784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18.88521261925926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292.78079999999977</v>
      </c>
      <c r="CA131" s="13">
        <f t="shared" si="93"/>
        <v>69.660903052386217</v>
      </c>
      <c r="CB131" s="20">
        <f t="shared" si="64"/>
        <v>631.25263281623893</v>
      </c>
      <c r="CC131" s="59">
        <f t="shared" si="65"/>
        <v>924.58596614957219</v>
      </c>
      <c r="CD131" s="59">
        <f ca="1">AVERAGE(OFFSET($CC$3,0,0,'Données projet'!$E$12+1,1))-AVERAGE(OFFSET($H$3,0,0,'Données projet'!$E$12+1,1))</f>
        <v>405.40026823646758</v>
      </c>
      <c r="CE131" s="59">
        <f t="shared" si="94"/>
        <v>393.0787141050053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23.365586790898263</v>
      </c>
      <c r="CL131" s="21">
        <f>EXP(-LN(2)/25)*CL130+(1-EXP(-LN(2)/25))/(LN(2)/25)*Calculateur!CG131*Calculateur!CI131*VLOOKUP('Données projet'!$B$12,Paramètres!$A$1:$I$89,3,0)*0.475*44/12</f>
        <v>1.8925674445583025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25.258154235456566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259.99999999999983</v>
      </c>
      <c r="CU131" s="17">
        <f>CT131*VLOOKUP('Données projet'!$B$13,Paramètres!$A$1:$I$89,3,0)*VLOOKUP('Données projet'!$B$13,Paramètres!$A$1:$I$89,5,0)</f>
        <v>227.13599999999985</v>
      </c>
      <c r="CV131" s="13">
        <f t="shared" si="95"/>
        <v>55.662966886685133</v>
      </c>
      <c r="CW131" s="20">
        <f t="shared" si="67"/>
        <v>492.5415339943097</v>
      </c>
      <c r="CX131" s="59">
        <f t="shared" si="68"/>
        <v>785.87486732764296</v>
      </c>
      <c r="CY131" s="59">
        <f ca="1">AVERAGE(OFFSET($CX$3,0,0,'Données projet'!$E$13+1,1))-AVERAGE(OFFSET($H$3,0,0,'Données projet'!$E$13+1,1))</f>
        <v>381.72225529388083</v>
      </c>
      <c r="CZ131" s="59">
        <f t="shared" si="96"/>
        <v>360.05900046417361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21.688048962473047</v>
      </c>
      <c r="DG131" s="21">
        <f>EXP(-LN(2)/25)*DG130+(1-EXP(-LN(2)/25))/(LN(2)/25)*Calculateur!DB131*Calculateur!DD131*VLOOKUP('Données projet'!$B$13,Paramètres!$A$1:$I$89,3,0)*0.475*44/12</f>
        <v>6.1841442514743532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27.872193213947401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1.5064102564102591</v>
      </c>
      <c r="DO131" s="12">
        <f>IF('Données projet'!$A$166&gt;35,DO130+DN131-DW130,IF(A131&lt;'Données projet'!$A$166,$DL$205^A131,IF(A131='Données projet'!$A$166,'Données projet'!$B$166,DO130+DN131-DW130)))</f>
        <v>106.39102564102619</v>
      </c>
      <c r="DP131" s="17">
        <f>DO131*VLOOKUP('Données projet'!$B$14,Paramètres!$A$1:$I$89,3,0)*VLOOKUP('Données projet'!$B$14,Paramètres!$A$1:$I$89,5,0)</f>
        <v>102.90140000000054</v>
      </c>
      <c r="DQ131" s="13">
        <f t="shared" si="97"/>
        <v>27.652061299501057</v>
      </c>
      <c r="DR131" s="20">
        <f t="shared" si="70"/>
        <v>227.38061176329856</v>
      </c>
      <c r="DS131" s="59">
        <f t="shared" si="71"/>
        <v>520.71394509663185</v>
      </c>
      <c r="DT131" s="59">
        <f ca="1">AVERAGE(OFFSET($DS$3,0,0,'Données projet'!$E$14+1,1))-AVERAGE(OFFSET($H$3,0,0,'Données projet'!$E$14+1,1))</f>
        <v>407.73540492005355</v>
      </c>
      <c r="DU131" s="59">
        <f t="shared" si="98"/>
        <v>296.29416764204774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145.26412919390637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145.26412919390637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328.00000000000017</v>
      </c>
      <c r="EK131" s="17">
        <f>EJ131*VLOOKUP('Données projet'!$B$15,Paramètres!$A$1:$I$89,3,0)*VLOOKUP('Données projet'!$B$15,Paramètres!$A$1:$I$89,5,0)</f>
        <v>255.84000000000015</v>
      </c>
      <c r="EL131" s="13">
        <f t="shared" si="99"/>
        <v>61.834803371075886</v>
      </c>
      <c r="EM131" s="20">
        <f t="shared" si="73"/>
        <v>553.28361587129086</v>
      </c>
      <c r="EN131" s="59">
        <f t="shared" si="74"/>
        <v>846.61694920462423</v>
      </c>
      <c r="EO131" s="59">
        <f ca="1">AVERAGE(OFFSET($EN$3,0,0,'Données projet'!$E$15+1,1))-AVERAGE(OFFSET($H$3,0,0,'Données projet'!$E$15+1,1))</f>
        <v>288.80569134263209</v>
      </c>
      <c r="EP131" s="59">
        <f t="shared" si="100"/>
        <v>283.48738729114024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6.3184975471688789</v>
      </c>
      <c r="EW131" s="21">
        <f>EXP(-LN(2)/25)*EW130+(1-EXP(-LN(2)/25))/(LN(2)/25)*Calculateur!ER131*Calculateur!ET131*VLOOKUP('Données projet'!$B$15,Paramètres!$A$1:$I$89,3,0)*0.475*44/12</f>
        <v>3.8481823990734276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10.166679946242306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509.33682022367611</v>
      </c>
      <c r="S132" s="59">
        <f ca="1">AVERAGE(OFFSET($R$3,0,0,'Données projet'!$E$9+1,1))-AVERAGE(OFFSET($H$3,0,0,'Données projet'!$E$9+1,1))</f>
        <v>384.05928630855732</v>
      </c>
      <c r="T132" s="59">
        <f t="shared" si="88"/>
        <v>279.93992813630513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-2.4158453015843406E-13</v>
      </c>
      <c r="AJ132" s="13">
        <f>AI132*VLOOKUP('Données projet'!$B$10,Paramètres!$A$1:$I$89,3,0)*VLOOKUP('Données projet'!$B$10,Paramètres!$A$1:$I$89,5,0)</f>
        <v>-2.0351080820546486E-13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312.48716825299158</v>
      </c>
      <c r="AO132" s="59">
        <f t="shared" si="90"/>
        <v>258.68277822755357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102.23742158216403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102.23742158216403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367.99999999999972</v>
      </c>
      <c r="BE132" s="13">
        <f>BD132*VLOOKUP('Données projet'!$B$11,Paramètres!$A$1:$I$89,3,0)*VLOOKUP('Données projet'!$B$11,Paramètres!$A$1:$I$89,5,0)</f>
        <v>269.8175999999998</v>
      </c>
      <c r="BF132" s="13">
        <f t="shared" si="91"/>
        <v>64.810557882019467</v>
      </c>
      <c r="BG132" s="20">
        <f t="shared" ref="BG132:BG153" si="115">(BE132+BF132)*0.475*44/12</f>
        <v>582.81070831118348</v>
      </c>
      <c r="BH132" s="59">
        <f t="shared" ref="BH132:BH195" si="116">BG132+(AY132+AZ132)*44/12</f>
        <v>876.14404164451685</v>
      </c>
      <c r="BI132" s="59">
        <f ca="1">AVERAGE(OFFSET($BH$3,0,0,'Données projet'!$E$11+1,1))-AVERAGE(OFFSET($H$3,0,0,'Données projet'!$E$11+1,1))</f>
        <v>376.58419691967526</v>
      </c>
      <c r="BJ132" s="59">
        <f t="shared" si="92"/>
        <v>365.76175372075869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17.127583873716279</v>
      </c>
      <c r="BQ132" s="21">
        <f>EXP(-LN(2)/25)*BQ131+(1-EXP(-LN(2)/25))/(LN(2)/25)*Calculateur!BL132*Calculateur!BN132*VLOOKUP('Données projet'!$B$11,Paramètres!$A$1:$I$89,3,0)*0.475*44/12</f>
        <v>1.3763548995100257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18.503938773226306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292.78079999999977</v>
      </c>
      <c r="CA132" s="13">
        <f t="shared" si="93"/>
        <v>69.660903052386217</v>
      </c>
      <c r="CB132" s="20">
        <f t="shared" ref="CB132:CB153" si="118">(BZ132+CA132)*0.475*44/12</f>
        <v>631.25263281623893</v>
      </c>
      <c r="CC132" s="59">
        <f t="shared" ref="CC132:CC195" si="119">CB132+(BT132+BU132)*44/12</f>
        <v>924.58596614957219</v>
      </c>
      <c r="CD132" s="59">
        <f ca="1">AVERAGE(OFFSET($CC$3,0,0,'Données projet'!$E$12+1,1))-AVERAGE(OFFSET($H$3,0,0,'Données projet'!$E$12+1,1))</f>
        <v>405.40026823646758</v>
      </c>
      <c r="CE132" s="59">
        <f t="shared" si="94"/>
        <v>393.0787141050053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22.907401885529463</v>
      </c>
      <c r="CL132" s="21">
        <f>EXP(-LN(2)/25)*CL131+(1-EXP(-LN(2)/25))/(LN(2)/25)*Calculateur!CG132*Calculateur!CI132*VLOOKUP('Données projet'!$B$12,Paramètres!$A$1:$I$89,3,0)*0.475*44/12</f>
        <v>1.8408150882610594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24.748216973790523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259.99999999999983</v>
      </c>
      <c r="CU132" s="17">
        <f>CT132*VLOOKUP('Données projet'!$B$13,Paramètres!$A$1:$I$89,3,0)*VLOOKUP('Données projet'!$B$13,Paramètres!$A$1:$I$89,5,0)</f>
        <v>227.13599999999985</v>
      </c>
      <c r="CV132" s="13">
        <f t="shared" si="95"/>
        <v>55.662966886685133</v>
      </c>
      <c r="CW132" s="20">
        <f t="shared" ref="CW132:CW153" si="121">(CU132+CV132)*0.475*44/12</f>
        <v>492.5415339943097</v>
      </c>
      <c r="CX132" s="59">
        <f t="shared" ref="CX132:CX195" si="122">CW132+(CO132+CP132)*44/12</f>
        <v>785.87486732764296</v>
      </c>
      <c r="CY132" s="59">
        <f ca="1">AVERAGE(OFFSET($CX$3,0,0,'Données projet'!$E$13+1,1))-AVERAGE(OFFSET($H$3,0,0,'Données projet'!$E$13+1,1))</f>
        <v>381.72225529388083</v>
      </c>
      <c r="CZ132" s="59">
        <f t="shared" si="96"/>
        <v>360.05900046417361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21.26275955072262</v>
      </c>
      <c r="DG132" s="21">
        <f>EXP(-LN(2)/25)*DG131+(1-EXP(-LN(2)/25))/(LN(2)/25)*Calculateur!DB132*Calculateur!DD132*VLOOKUP('Données projet'!$B$13,Paramètres!$A$1:$I$89,3,0)*0.475*44/12</f>
        <v>6.0150385017077745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27.277798052430395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1.5064102564102591</v>
      </c>
      <c r="DO132" s="12">
        <f>IF('Données projet'!$A$166&gt;35,DO131+DN132-DW131,IF(A132&lt;'Données projet'!$A$166,$DL$205^A132,IF(A132='Données projet'!$A$166,'Données projet'!$B$166,DO131+DN132-DW131)))</f>
        <v>107.89743589743645</v>
      </c>
      <c r="DP132" s="17">
        <f>DO132*VLOOKUP('Données projet'!$B$14,Paramètres!$A$1:$I$89,3,0)*VLOOKUP('Données projet'!$B$14,Paramètres!$A$1:$I$89,5,0)</f>
        <v>104.35840000000054</v>
      </c>
      <c r="DQ132" s="13">
        <f t="shared" si="97"/>
        <v>27.997734193399655</v>
      </c>
      <c r="DR132" s="20">
        <f t="shared" ref="DR132:DR153" si="124">(DP132+DQ132)*0.475*44/12</f>
        <v>230.52026705350534</v>
      </c>
      <c r="DS132" s="59">
        <f t="shared" ref="DS132:DS195" si="125">DR132+(DJ132+DK132)*44/12</f>
        <v>523.85360038683871</v>
      </c>
      <c r="DT132" s="59">
        <f ca="1">AVERAGE(OFFSET($DS$3,0,0,'Données projet'!$E$14+1,1))-AVERAGE(OFFSET($H$3,0,0,'Données projet'!$E$14+1,1))</f>
        <v>407.73540492005355</v>
      </c>
      <c r="DU132" s="59">
        <f t="shared" si="98"/>
        <v>296.29416764204774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142.41558822278392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142.41558822278392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328.00000000000017</v>
      </c>
      <c r="EK132" s="17">
        <f>EJ132*VLOOKUP('Données projet'!$B$15,Paramètres!$A$1:$I$89,3,0)*VLOOKUP('Données projet'!$B$15,Paramètres!$A$1:$I$89,5,0)</f>
        <v>255.84000000000015</v>
      </c>
      <c r="EL132" s="13">
        <f t="shared" si="99"/>
        <v>61.834803371075886</v>
      </c>
      <c r="EM132" s="20">
        <f t="shared" ref="EM132:EM153" si="127">(EK132+EL132)*0.475*44/12</f>
        <v>553.28361587129086</v>
      </c>
      <c r="EN132" s="59">
        <f t="shared" ref="EN132:EN195" si="128">EM132+(EE132+EF132)*44/12</f>
        <v>846.61694920462423</v>
      </c>
      <c r="EO132" s="59">
        <f ca="1">AVERAGE(OFFSET($EN$3,0,0,'Données projet'!$E$15+1,1))-AVERAGE(OFFSET($H$3,0,0,'Données projet'!$E$15+1,1))</f>
        <v>288.80569134263209</v>
      </c>
      <c r="EP132" s="59">
        <f t="shared" si="100"/>
        <v>283.48738729114024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6.1945956641718594</v>
      </c>
      <c r="EW132" s="21">
        <f>EXP(-LN(2)/25)*EW131+(1-EXP(-LN(2)/25))/(LN(2)/25)*Calculateur!ER132*Calculateur!ET132*VLOOKUP('Données projet'!$B$15,Paramètres!$A$1:$I$89,3,0)*0.475*44/12</f>
        <v>3.7429536490036477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9.9375493131755075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512.27738452355368</v>
      </c>
      <c r="S133" s="59">
        <f ca="1">AVERAGE(OFFSET($R$3,0,0,'Données projet'!$E$9+1,1))-AVERAGE(OFFSET($H$3,0,0,'Données projet'!$E$9+1,1))</f>
        <v>384.05928630855732</v>
      </c>
      <c r="T133" s="59">
        <f t="shared" ref="T133:T196" si="142">$T$3</f>
        <v>279.93992813630513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-2.4158453015843406E-13</v>
      </c>
      <c r="AJ133" s="13">
        <f>AI133*VLOOKUP('Données projet'!$B$10,Paramètres!$A$1:$I$89,3,0)*VLOOKUP('Données projet'!$B$10,Paramètres!$A$1:$I$89,5,0)</f>
        <v>-2.0351080820546486E-13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312.48716825299158</v>
      </c>
      <c r="AO133" s="59">
        <f t="shared" ref="AO133:AO196" si="144">$AO$3</f>
        <v>258.68277822755357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100.23260810360755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100.23260810360755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367.99999999999972</v>
      </c>
      <c r="BE133" s="13">
        <f>BD133*VLOOKUP('Données projet'!$B$11,Paramètres!$A$1:$I$89,3,0)*VLOOKUP('Données projet'!$B$11,Paramètres!$A$1:$I$89,5,0)</f>
        <v>269.8175999999998</v>
      </c>
      <c r="BF133" s="13">
        <f t="shared" ref="BF133:BF153" si="145">EXP(-1.0587+0.8836*LN(BE133)+0.284)</f>
        <v>64.810557882019467</v>
      </c>
      <c r="BG133" s="20">
        <f t="shared" si="115"/>
        <v>582.81070831118348</v>
      </c>
      <c r="BH133" s="59">
        <f t="shared" si="116"/>
        <v>876.14404164451685</v>
      </c>
      <c r="BI133" s="59">
        <f ca="1">AVERAGE(OFFSET($BH$3,0,0,'Données projet'!$E$11+1,1))-AVERAGE(OFFSET($H$3,0,0,'Données projet'!$E$11+1,1))</f>
        <v>376.58419691967526</v>
      </c>
      <c r="BJ133" s="59">
        <f t="shared" ref="BJ133:BJ196" si="146">$BJ$3</f>
        <v>365.76175372075869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16.791722400747332</v>
      </c>
      <c r="BQ133" s="21">
        <f>EXP(-LN(2)/25)*BQ132+(1-EXP(-LN(2)/25))/(LN(2)/25)*Calculateur!BL133*Calculateur!BN133*VLOOKUP('Données projet'!$B$11,Paramètres!$A$1:$I$89,3,0)*0.475*44/12</f>
        <v>1.3387184024035654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18.130440803150897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292.78079999999977</v>
      </c>
      <c r="CA133" s="13">
        <f t="shared" ref="CA133:CA153" si="147">EXP(-1.0587+0.8836*LN(BZ133)+0.284)</f>
        <v>69.660903052386217</v>
      </c>
      <c r="CB133" s="20">
        <f t="shared" si="118"/>
        <v>631.25263281623893</v>
      </c>
      <c r="CC133" s="59">
        <f t="shared" si="119"/>
        <v>924.58596614957219</v>
      </c>
      <c r="CD133" s="59">
        <f ca="1">AVERAGE(OFFSET($CC$3,0,0,'Données projet'!$E$12+1,1))-AVERAGE(OFFSET($H$3,0,0,'Données projet'!$E$12+1,1))</f>
        <v>405.40026823646758</v>
      </c>
      <c r="CE133" s="59">
        <f t="shared" ref="CE133:CE196" si="148">$CE$3</f>
        <v>393.0787141050053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22.458201706689746</v>
      </c>
      <c r="CL133" s="21">
        <f>EXP(-LN(2)/25)*CL132+(1-EXP(-LN(2)/25))/(LN(2)/25)*Calculateur!CG133*Calculateur!CI133*VLOOKUP('Données projet'!$B$12,Paramètres!$A$1:$I$89,3,0)*0.475*44/12</f>
        <v>1.7904779028683024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24.248679609558049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259.99999999999983</v>
      </c>
      <c r="CU133" s="17">
        <f>CT133*VLOOKUP('Données projet'!$B$13,Paramètres!$A$1:$I$89,3,0)*VLOOKUP('Données projet'!$B$13,Paramètres!$A$1:$I$89,5,0)</f>
        <v>227.13599999999985</v>
      </c>
      <c r="CV133" s="13">
        <f t="shared" ref="CV133:CV153" si="149">EXP(-1.0587+0.8836*LN(CU133)+0.284)</f>
        <v>55.662966886685133</v>
      </c>
      <c r="CW133" s="20">
        <f t="shared" si="121"/>
        <v>492.5415339943097</v>
      </c>
      <c r="CX133" s="59">
        <f t="shared" si="122"/>
        <v>785.87486732764296</v>
      </c>
      <c r="CY133" s="59">
        <f ca="1">AVERAGE(OFFSET($CX$3,0,0,'Données projet'!$E$13+1,1))-AVERAGE(OFFSET($H$3,0,0,'Données projet'!$E$13+1,1))</f>
        <v>381.72225529388083</v>
      </c>
      <c r="CZ133" s="59">
        <f t="shared" ref="CZ133:CZ196" si="150">$CZ$3</f>
        <v>360.05900046417361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20.845809804935694</v>
      </c>
      <c r="DG133" s="21">
        <f>EXP(-LN(2)/25)*DG132+(1-EXP(-LN(2)/25))/(LN(2)/25)*Calculateur!DB133*Calculateur!DD133*VLOOKUP('Données projet'!$B$13,Paramètres!$A$1:$I$89,3,0)*0.475*44/12</f>
        <v>5.850556957561448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26.696366762497142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1.5064102564102591</v>
      </c>
      <c r="DO133" s="12">
        <f>IF('Données projet'!$A$166&gt;35,DO132+DN133-DW132,IF(A133&lt;'Données projet'!$A$166,$DL$205^A133,IF(A133='Données projet'!$A$166,'Données projet'!$B$166,DO132+DN133-DW132)))</f>
        <v>109.40384615384671</v>
      </c>
      <c r="DP133" s="17">
        <f>DO133*VLOOKUP('Données projet'!$B$14,Paramètres!$A$1:$I$89,3,0)*VLOOKUP('Données projet'!$B$14,Paramètres!$A$1:$I$89,5,0)</f>
        <v>105.81540000000054</v>
      </c>
      <c r="DQ133" s="13">
        <f t="shared" ref="DQ133:DQ153" si="151">EXP(-1.0587+0.8836*LN(DP133)+0.284)</f>
        <v>28.342845764705768</v>
      </c>
      <c r="DR133" s="20">
        <f t="shared" si="124"/>
        <v>233.65894470686348</v>
      </c>
      <c r="DS133" s="59">
        <f t="shared" si="125"/>
        <v>526.99227804019677</v>
      </c>
      <c r="DT133" s="59">
        <f ca="1">AVERAGE(OFFSET($DS$3,0,0,'Données projet'!$E$14+1,1))-AVERAGE(OFFSET($H$3,0,0,'Données projet'!$E$14+1,1))</f>
        <v>407.73540492005355</v>
      </c>
      <c r="DU133" s="59">
        <f t="shared" ref="DU133:DU196" si="152">$DU$3</f>
        <v>296.29416764204774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139.62290540266676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139.62290540266676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328.00000000000017</v>
      </c>
      <c r="EK133" s="17">
        <f>EJ133*VLOOKUP('Données projet'!$B$15,Paramètres!$A$1:$I$89,3,0)*VLOOKUP('Données projet'!$B$15,Paramètres!$A$1:$I$89,5,0)</f>
        <v>255.84000000000015</v>
      </c>
      <c r="EL133" s="13">
        <f t="shared" ref="EL133:EL153" si="153">EXP(-1.0587+0.8836*LN(EK133)+0.284)</f>
        <v>61.834803371075886</v>
      </c>
      <c r="EM133" s="20">
        <f t="shared" si="127"/>
        <v>553.28361587129086</v>
      </c>
      <c r="EN133" s="59">
        <f t="shared" si="128"/>
        <v>846.61694920462423</v>
      </c>
      <c r="EO133" s="59">
        <f ca="1">AVERAGE(OFFSET($EN$3,0,0,'Données projet'!$E$15+1,1))-AVERAGE(OFFSET($H$3,0,0,'Données projet'!$E$15+1,1))</f>
        <v>288.80569134263209</v>
      </c>
      <c r="EP133" s="59">
        <f t="shared" ref="EP133:EP196" si="154">$EP$3</f>
        <v>283.48738729114024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6.0731234215277254</v>
      </c>
      <c r="EW133" s="21">
        <f>EXP(-LN(2)/25)*EW132+(1-EXP(-LN(2)/25))/(LN(2)/25)*Calculateur!ER133*Calculateur!ET133*VLOOKUP('Données projet'!$B$15,Paramètres!$A$1:$I$89,3,0)*0.475*44/12</f>
        <v>3.6406023846382651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9.713725806165991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515.21704129044338</v>
      </c>
      <c r="S134" s="59">
        <f ca="1">AVERAGE(OFFSET($R$3,0,0,'Données projet'!$E$9+1,1))-AVERAGE(OFFSET($H$3,0,0,'Données projet'!$E$9+1,1))</f>
        <v>384.05928630855732</v>
      </c>
      <c r="T134" s="59">
        <f t="shared" si="142"/>
        <v>279.93992813630513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-2.4158453015843406E-13</v>
      </c>
      <c r="AJ134" s="13">
        <f>AI134*VLOOKUP('Données projet'!$B$10,Paramètres!$A$1:$I$89,3,0)*VLOOKUP('Données projet'!$B$10,Paramètres!$A$1:$I$89,5,0)</f>
        <v>-2.0351080820546486E-13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312.48716825299158</v>
      </c>
      <c r="AO134" s="59">
        <f t="shared" si="144"/>
        <v>258.68277822755357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98.267107794550085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98.267107794550085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367.99999999999972</v>
      </c>
      <c r="BE134" s="13">
        <f>BD134*VLOOKUP('Données projet'!$B$11,Paramètres!$A$1:$I$89,3,0)*VLOOKUP('Données projet'!$B$11,Paramètres!$A$1:$I$89,5,0)</f>
        <v>269.8175999999998</v>
      </c>
      <c r="BF134" s="13">
        <f t="shared" si="145"/>
        <v>64.810557882019467</v>
      </c>
      <c r="BG134" s="20">
        <f t="shared" si="115"/>
        <v>582.81070831118348</v>
      </c>
      <c r="BH134" s="59">
        <f t="shared" si="116"/>
        <v>876.14404164451685</v>
      </c>
      <c r="BI134" s="59">
        <f ca="1">AVERAGE(OFFSET($BH$3,0,0,'Données projet'!$E$11+1,1))-AVERAGE(OFFSET($H$3,0,0,'Données projet'!$E$11+1,1))</f>
        <v>376.58419691967526</v>
      </c>
      <c r="BJ134" s="59">
        <f t="shared" si="146"/>
        <v>365.76175372075869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16.462446966408034</v>
      </c>
      <c r="BQ134" s="21">
        <f>EXP(-LN(2)/25)*BQ133+(1-EXP(-LN(2)/25))/(LN(2)/25)*Calculateur!BL134*Calculateur!BN134*VLOOKUP('Données projet'!$B$11,Paramètres!$A$1:$I$89,3,0)*0.475*44/12</f>
        <v>1.3021110772896989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17.764558043697733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292.78079999999977</v>
      </c>
      <c r="CA134" s="13">
        <f t="shared" si="147"/>
        <v>69.660903052386217</v>
      </c>
      <c r="CB134" s="20">
        <f t="shared" si="118"/>
        <v>631.25263281623893</v>
      </c>
      <c r="CC134" s="59">
        <f t="shared" si="119"/>
        <v>924.58596614957219</v>
      </c>
      <c r="CD134" s="59">
        <f ca="1">AVERAGE(OFFSET($CC$3,0,0,'Données projet'!$E$12+1,1))-AVERAGE(OFFSET($H$3,0,0,'Données projet'!$E$12+1,1))</f>
        <v>405.40026823646758</v>
      </c>
      <c r="CE134" s="59">
        <f t="shared" si="148"/>
        <v>393.0787141050053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22.017810069372022</v>
      </c>
      <c r="CL134" s="21">
        <f>EXP(-LN(2)/25)*CL133+(1-EXP(-LN(2)/25))/(LN(2)/25)*Calculateur!CG134*Calculateur!CI134*VLOOKUP('Données projet'!$B$12,Paramètres!$A$1:$I$89,3,0)*0.475*44/12</f>
        <v>1.741517190457228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23.759327259829249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259.99999999999983</v>
      </c>
      <c r="CU134" s="17">
        <f>CT134*VLOOKUP('Données projet'!$B$13,Paramètres!$A$1:$I$89,3,0)*VLOOKUP('Données projet'!$B$13,Paramètres!$A$1:$I$89,5,0)</f>
        <v>227.13599999999985</v>
      </c>
      <c r="CV134" s="13">
        <f t="shared" si="149"/>
        <v>55.662966886685133</v>
      </c>
      <c r="CW134" s="20">
        <f t="shared" si="121"/>
        <v>492.5415339943097</v>
      </c>
      <c r="CX134" s="59">
        <f t="shared" si="122"/>
        <v>785.87486732764296</v>
      </c>
      <c r="CY134" s="59">
        <f ca="1">AVERAGE(OFFSET($CX$3,0,0,'Données projet'!$E$13+1,1))-AVERAGE(OFFSET($H$3,0,0,'Données projet'!$E$13+1,1))</f>
        <v>381.72225529388083</v>
      </c>
      <c r="CZ134" s="59">
        <f t="shared" si="150"/>
        <v>360.05900046417361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20.437036189349413</v>
      </c>
      <c r="DG134" s="21">
        <f>EXP(-LN(2)/25)*DG133+(1-EXP(-LN(2)/25))/(LN(2)/25)*Calculateur!DB134*Calculateur!DD134*VLOOKUP('Données projet'!$B$13,Paramètres!$A$1:$I$89,3,0)*0.475*44/12</f>
        <v>5.690573169889511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26.127609359238924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110.91025641025641</v>
      </c>
      <c r="DM134" s="12">
        <f>VLOOKUP(A134,'Données projet'!$A$165:$I$185,9,0)</f>
        <v>1.5064102564102591</v>
      </c>
      <c r="DN134" s="12">
        <f t="array" ref="DN134">INDEX(DM:DM,MIN(IF(ISNUMBER(DM134:DM330),ROW(DM134:DM330),"")))</f>
        <v>1.5064102564102591</v>
      </c>
      <c r="DO134" s="12">
        <f>IF('Données projet'!$A$166&gt;35,DO133+DN134-DW133,IF(A134&lt;'Données projet'!$A$166,$DL$205^A134,IF(A134='Données projet'!$A$166,'Données projet'!$B$166,DO133+DN134-DW133)))</f>
        <v>110.91025641025698</v>
      </c>
      <c r="DP134" s="17">
        <f>DO134*VLOOKUP('Données projet'!$B$14,Paramètres!$A$1:$I$89,3,0)*VLOOKUP('Données projet'!$B$14,Paramètres!$A$1:$I$89,5,0)</f>
        <v>107.27240000000054</v>
      </c>
      <c r="DQ134" s="13">
        <f t="shared" si="151"/>
        <v>28.687404635710084</v>
      </c>
      <c r="DR134" s="20">
        <f t="shared" si="124"/>
        <v>236.79665974052932</v>
      </c>
      <c r="DS134" s="59">
        <f t="shared" si="125"/>
        <v>530.12999307386258</v>
      </c>
      <c r="DT134" s="59">
        <f ca="1">AVERAGE(OFFSET($DS$3,0,0,'Données projet'!$E$14+1,1))-AVERAGE(OFFSET($H$3,0,0,'Données projet'!$E$14+1,1))</f>
        <v>407.73540492005355</v>
      </c>
      <c r="DU134" s="59">
        <f t="shared" si="152"/>
        <v>296.29416764204774</v>
      </c>
      <c r="DV134" s="15">
        <f>IF(ISNA(VLOOKUP(A134,'Données projet'!$A$165:$I$185,3,0)),0,VLOOKUP(A134,'Données projet'!$A$165:$I$185,3,0))</f>
        <v>14</v>
      </c>
      <c r="DW134" s="15">
        <f>IF(ISNA(VLOOKUP(A134,'Données projet'!$A$165:$I$185,4,0)),0,VLOOKUP(A134,'Données projet'!$A$165:$I$185,4,0))</f>
        <v>110.91025641025641</v>
      </c>
      <c r="DX134" s="16">
        <f>IF(ISNA(VLOOKUP(A134,'Données projet'!$A$165:$I$185,5,0)),0%,VLOOKUP(A134,'Données projet'!$A$165:$I$185,5,0)*VLOOKUP('Données projet'!$B$14,Paramètres!$A$1:$I$89,7,0))</f>
        <v>0.38700000000000001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182.7779456962096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182.7779456962096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328.00000000000017</v>
      </c>
      <c r="EK134" s="17">
        <f>EJ134*VLOOKUP('Données projet'!$B$15,Paramètres!$A$1:$I$89,3,0)*VLOOKUP('Données projet'!$B$15,Paramètres!$A$1:$I$89,5,0)</f>
        <v>255.84000000000015</v>
      </c>
      <c r="EL134" s="13">
        <f t="shared" si="153"/>
        <v>61.834803371075886</v>
      </c>
      <c r="EM134" s="20">
        <f t="shared" si="127"/>
        <v>553.28361587129086</v>
      </c>
      <c r="EN134" s="59">
        <f t="shared" si="128"/>
        <v>846.61694920462423</v>
      </c>
      <c r="EO134" s="59">
        <f ca="1">AVERAGE(OFFSET($EN$3,0,0,'Données projet'!$E$15+1,1))-AVERAGE(OFFSET($H$3,0,0,'Données projet'!$E$15+1,1))</f>
        <v>288.80569134263209</v>
      </c>
      <c r="EP134" s="59">
        <f t="shared" si="154"/>
        <v>283.48738729114024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5.9540331754710909</v>
      </c>
      <c r="EW134" s="21">
        <f>EXP(-LN(2)/25)*EW133+(1-EXP(-LN(2)/25))/(LN(2)/25)*Calculateur!ER134*Calculateur!ET134*VLOOKUP('Données projet'!$B$15,Paramètres!$A$1:$I$89,3,0)*0.475*44/12</f>
        <v>3.5410499209793729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9.4950830964504647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293.33333333334531</v>
      </c>
      <c r="S135" s="59">
        <f ca="1">AVERAGE(OFFSET($R$3,0,0,'Données projet'!$E$9+1,1))-AVERAGE(OFFSET($H$3,0,0,'Données projet'!$E$9+1,1))</f>
        <v>384.05928630855732</v>
      </c>
      <c r="T135" s="59">
        <f t="shared" si="142"/>
        <v>279.93992813630513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-2.4158453015843406E-13</v>
      </c>
      <c r="AJ135" s="13">
        <f>AI135*VLOOKUP('Données projet'!$B$10,Paramètres!$A$1:$I$89,3,0)*VLOOKUP('Données projet'!$B$10,Paramètres!$A$1:$I$89,5,0)</f>
        <v>-2.0351080820546486E-13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312.48716825299158</v>
      </c>
      <c r="AO135" s="59">
        <f t="shared" si="144"/>
        <v>258.68277822755357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96.340149747716424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96.340149747716424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367.99999999999972</v>
      </c>
      <c r="BE135" s="13">
        <f>BD135*VLOOKUP('Données projet'!$B$11,Paramètres!$A$1:$I$89,3,0)*VLOOKUP('Données projet'!$B$11,Paramètres!$A$1:$I$89,5,0)</f>
        <v>269.8175999999998</v>
      </c>
      <c r="BF135" s="13">
        <f t="shared" si="145"/>
        <v>64.810557882019467</v>
      </c>
      <c r="BG135" s="20">
        <f t="shared" si="115"/>
        <v>582.81070831118348</v>
      </c>
      <c r="BH135" s="59">
        <f t="shared" si="116"/>
        <v>876.14404164451685</v>
      </c>
      <c r="BI135" s="59">
        <f ca="1">AVERAGE(OFFSET($BH$3,0,0,'Données projet'!$E$11+1,1))-AVERAGE(OFFSET($H$3,0,0,'Données projet'!$E$11+1,1))</f>
        <v>376.58419691967526</v>
      </c>
      <c r="BJ135" s="59">
        <f t="shared" si="146"/>
        <v>365.76175372075869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16.139628422497946</v>
      </c>
      <c r="BQ135" s="21">
        <f>EXP(-LN(2)/25)*BQ134+(1-EXP(-LN(2)/25))/(LN(2)/25)*Calculateur!BL135*Calculateur!BN135*VLOOKUP('Données projet'!$B$11,Paramètres!$A$1:$I$89,3,0)*0.475*44/12</f>
        <v>1.2665047814061665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17.406133203904112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292.78079999999977</v>
      </c>
      <c r="CA135" s="13">
        <f t="shared" si="147"/>
        <v>69.660903052386217</v>
      </c>
      <c r="CB135" s="20">
        <f t="shared" si="118"/>
        <v>631.25263281623893</v>
      </c>
      <c r="CC135" s="59">
        <f t="shared" si="119"/>
        <v>924.58596614957219</v>
      </c>
      <c r="CD135" s="59">
        <f ca="1">AVERAGE(OFFSET($CC$3,0,0,'Données projet'!$E$12+1,1))-AVERAGE(OFFSET($H$3,0,0,'Données projet'!$E$12+1,1))</f>
        <v>405.40026823646758</v>
      </c>
      <c r="CE135" s="59">
        <f t="shared" si="148"/>
        <v>393.0787141050053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21.586054243449723</v>
      </c>
      <c r="CL135" s="21">
        <f>EXP(-LN(2)/25)*CL134+(1-EXP(-LN(2)/25))/(LN(2)/25)*Calculateur!CG135*Calculateur!CI135*VLOOKUP('Données projet'!$B$12,Paramètres!$A$1:$I$89,3,0)*0.475*44/12</f>
        <v>1.6938953113017663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23.279949554751489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259.99999999999983</v>
      </c>
      <c r="CU135" s="17">
        <f>CT135*VLOOKUP('Données projet'!$B$13,Paramètres!$A$1:$I$89,3,0)*VLOOKUP('Données projet'!$B$13,Paramètres!$A$1:$I$89,5,0)</f>
        <v>227.13599999999985</v>
      </c>
      <c r="CV135" s="13">
        <f t="shared" si="149"/>
        <v>55.662966886685133</v>
      </c>
      <c r="CW135" s="20">
        <f t="shared" si="121"/>
        <v>492.5415339943097</v>
      </c>
      <c r="CX135" s="59">
        <f t="shared" si="122"/>
        <v>785.87486732764296</v>
      </c>
      <c r="CY135" s="59">
        <f ca="1">AVERAGE(OFFSET($CX$3,0,0,'Données projet'!$E$13+1,1))-AVERAGE(OFFSET($H$3,0,0,'Données projet'!$E$13+1,1))</f>
        <v>381.72225529388083</v>
      </c>
      <c r="CZ135" s="59">
        <f t="shared" si="150"/>
        <v>360.05900046417361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20.036278375037494</v>
      </c>
      <c r="DG135" s="21">
        <f>EXP(-LN(2)/25)*DG134+(1-EXP(-LN(2)/25))/(LN(2)/25)*Calculateur!DB135*Calculateur!DD135*VLOOKUP('Données projet'!$B$13,Paramètres!$A$1:$I$89,3,0)*0.475*44/12</f>
        <v>5.5349641473046454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25.571242522342139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5.6843418860808015E-13</v>
      </c>
      <c r="DP135" s="17">
        <f>DO135*VLOOKUP('Données projet'!$B$14,Paramètres!$A$1:$I$89,3,0)*VLOOKUP('Données projet'!$B$14,Paramètres!$A$1:$I$89,5,0)</f>
        <v>5.4978954722173515E-13</v>
      </c>
      <c r="DQ135" s="13">
        <f t="shared" si="151"/>
        <v>6.7731340873355904E-12</v>
      </c>
      <c r="DR135" s="20">
        <f t="shared" si="124"/>
        <v>1.2754091996854009E-11</v>
      </c>
      <c r="DS135" s="59">
        <f t="shared" si="125"/>
        <v>293.33333333334605</v>
      </c>
      <c r="DT135" s="59">
        <f ca="1">AVERAGE(OFFSET($DS$3,0,0,'Données projet'!$E$14+1,1))-AVERAGE(OFFSET($H$3,0,0,'Données projet'!$E$14+1,1))</f>
        <v>407.73540492005355</v>
      </c>
      <c r="DU135" s="59">
        <f t="shared" si="152"/>
        <v>296.29416764204774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179.19378166464571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179.19378166464571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328.00000000000017</v>
      </c>
      <c r="EK135" s="17">
        <f>EJ135*VLOOKUP('Données projet'!$B$15,Paramètres!$A$1:$I$89,3,0)*VLOOKUP('Données projet'!$B$15,Paramètres!$A$1:$I$89,5,0)</f>
        <v>255.84000000000015</v>
      </c>
      <c r="EL135" s="13">
        <f t="shared" si="153"/>
        <v>61.834803371075886</v>
      </c>
      <c r="EM135" s="20">
        <f t="shared" si="127"/>
        <v>553.28361587129086</v>
      </c>
      <c r="EN135" s="59">
        <f t="shared" si="128"/>
        <v>846.61694920462423</v>
      </c>
      <c r="EO135" s="59">
        <f ca="1">AVERAGE(OFFSET($EN$3,0,0,'Données projet'!$E$15+1,1))-AVERAGE(OFFSET($H$3,0,0,'Données projet'!$E$15+1,1))</f>
        <v>288.80569134263209</v>
      </c>
      <c r="EP135" s="59">
        <f t="shared" si="154"/>
        <v>283.48738729114024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5.8372782165017494</v>
      </c>
      <c r="EW135" s="21">
        <f>EXP(-LN(2)/25)*EW134+(1-EXP(-LN(2)/25))/(LN(2)/25)*Calculateur!ER135*Calculateur!ET135*VLOOKUP('Données projet'!$B$15,Paramètres!$A$1:$I$89,3,0)*0.475*44/12</f>
        <v>3.4442197246744697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9.2814979411762195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293.33333333334531</v>
      </c>
      <c r="S136" s="59">
        <f ca="1">AVERAGE(OFFSET($R$3,0,0,'Données projet'!$E$9+1,1))-AVERAGE(OFFSET($H$3,0,0,'Données projet'!$E$9+1,1))</f>
        <v>384.05928630855732</v>
      </c>
      <c r="T136" s="59">
        <f t="shared" si="142"/>
        <v>279.93992813630513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-2.4158453015843406E-13</v>
      </c>
      <c r="AJ136" s="13">
        <f>AI136*VLOOKUP('Données projet'!$B$10,Paramètres!$A$1:$I$89,3,0)*VLOOKUP('Données projet'!$B$10,Paramètres!$A$1:$I$89,5,0)</f>
        <v>-2.0351080820546486E-13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312.48716825299158</v>
      </c>
      <c r="AO136" s="59">
        <f t="shared" si="144"/>
        <v>258.68277822755357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94.450978172852814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94.450978172852814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367.99999999999972</v>
      </c>
      <c r="BE136" s="13">
        <f>BD136*VLOOKUP('Données projet'!$B$11,Paramètres!$A$1:$I$89,3,0)*VLOOKUP('Données projet'!$B$11,Paramètres!$A$1:$I$89,5,0)</f>
        <v>269.8175999999998</v>
      </c>
      <c r="BF136" s="13">
        <f t="shared" si="145"/>
        <v>64.810557882019467</v>
      </c>
      <c r="BG136" s="20">
        <f t="shared" si="115"/>
        <v>582.81070831118348</v>
      </c>
      <c r="BH136" s="59">
        <f t="shared" si="116"/>
        <v>876.14404164451685</v>
      </c>
      <c r="BI136" s="59">
        <f ca="1">AVERAGE(OFFSET($BH$3,0,0,'Données projet'!$E$11+1,1))-AVERAGE(OFFSET($H$3,0,0,'Données projet'!$E$11+1,1))</f>
        <v>376.58419691967526</v>
      </c>
      <c r="BJ136" s="59">
        <f t="shared" si="146"/>
        <v>365.76175372075869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15.823140153334064</v>
      </c>
      <c r="BQ136" s="21">
        <f>EXP(-LN(2)/25)*BQ135+(1-EXP(-LN(2)/25))/(LN(2)/25)*Calculateur!BL136*Calculateur!BN136*VLOOKUP('Données projet'!$B$11,Paramètres!$A$1:$I$89,3,0)*0.475*44/12</f>
        <v>1.231872141556023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17.055012294890087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292.78079999999977</v>
      </c>
      <c r="CA136" s="13">
        <f t="shared" si="147"/>
        <v>69.660903052386217</v>
      </c>
      <c r="CB136" s="20">
        <f t="shared" si="118"/>
        <v>631.25263281623893</v>
      </c>
      <c r="CC136" s="59">
        <f t="shared" si="119"/>
        <v>924.58596614957219</v>
      </c>
      <c r="CD136" s="59">
        <f ca="1">AVERAGE(OFFSET($CC$3,0,0,'Données projet'!$E$12+1,1))-AVERAGE(OFFSET($H$3,0,0,'Données projet'!$E$12+1,1))</f>
        <v>405.40026823646758</v>
      </c>
      <c r="CE136" s="59">
        <f t="shared" si="148"/>
        <v>393.0787141050053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21.162764885928709</v>
      </c>
      <c r="CL136" s="21">
        <f>EXP(-LN(2)/25)*CL135+(1-EXP(-LN(2)/25))/(LN(2)/25)*Calculateur!CG136*Calculateur!CI136*VLOOKUP('Données projet'!$B$12,Paramètres!$A$1:$I$89,3,0)*0.475*44/12</f>
        <v>1.6475756549361364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22.810340540864846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259.99999999999983</v>
      </c>
      <c r="CU136" s="17">
        <f>CT136*VLOOKUP('Données projet'!$B$13,Paramètres!$A$1:$I$89,3,0)*VLOOKUP('Données projet'!$B$13,Paramètres!$A$1:$I$89,5,0)</f>
        <v>227.13599999999985</v>
      </c>
      <c r="CV136" s="13">
        <f t="shared" si="149"/>
        <v>55.662966886685133</v>
      </c>
      <c r="CW136" s="20">
        <f t="shared" si="121"/>
        <v>492.5415339943097</v>
      </c>
      <c r="CX136" s="59">
        <f t="shared" si="122"/>
        <v>785.87486732764296</v>
      </c>
      <c r="CY136" s="59">
        <f ca="1">AVERAGE(OFFSET($CX$3,0,0,'Données projet'!$E$13+1,1))-AVERAGE(OFFSET($H$3,0,0,'Données projet'!$E$13+1,1))</f>
        <v>381.72225529388083</v>
      </c>
      <c r="CZ136" s="59">
        <f t="shared" si="150"/>
        <v>360.05900046417361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19.643379177026102</v>
      </c>
      <c r="DG136" s="21">
        <f>EXP(-LN(2)/25)*DG135+(1-EXP(-LN(2)/25))/(LN(2)/25)*Calculateur!DB136*Calculateur!DD136*VLOOKUP('Données projet'!$B$13,Paramètres!$A$1:$I$89,3,0)*0.475*44/12</f>
        <v>5.3836102616254857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25.026989438651587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5.6843418860808015E-13</v>
      </c>
      <c r="DP136" s="17">
        <f>DO136*VLOOKUP('Données projet'!$B$14,Paramètres!$A$1:$I$89,3,0)*VLOOKUP('Données projet'!$B$14,Paramètres!$A$1:$I$89,5,0)</f>
        <v>5.4978954722173515E-13</v>
      </c>
      <c r="DQ136" s="13">
        <f t="shared" si="151"/>
        <v>6.7731340873355904E-12</v>
      </c>
      <c r="DR136" s="20">
        <f t="shared" si="124"/>
        <v>1.2754091996854009E-11</v>
      </c>
      <c r="DS136" s="59">
        <f t="shared" si="125"/>
        <v>293.33333333334605</v>
      </c>
      <c r="DT136" s="59">
        <f ca="1">AVERAGE(OFFSET($DS$3,0,0,'Données projet'!$E$14+1,1))-AVERAGE(OFFSET($H$3,0,0,'Données projet'!$E$14+1,1))</f>
        <v>407.73540492005355</v>
      </c>
      <c r="DU136" s="59">
        <f t="shared" si="152"/>
        <v>296.29416764204774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175.67990090361661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175.67990090361661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328.00000000000017</v>
      </c>
      <c r="EK136" s="17">
        <f>EJ136*VLOOKUP('Données projet'!$B$15,Paramètres!$A$1:$I$89,3,0)*VLOOKUP('Données projet'!$B$15,Paramètres!$A$1:$I$89,5,0)</f>
        <v>255.84000000000015</v>
      </c>
      <c r="EL136" s="13">
        <f t="shared" si="153"/>
        <v>61.834803371075886</v>
      </c>
      <c r="EM136" s="20">
        <f t="shared" si="127"/>
        <v>553.28361587129086</v>
      </c>
      <c r="EN136" s="59">
        <f t="shared" si="128"/>
        <v>846.61694920462423</v>
      </c>
      <c r="EO136" s="59">
        <f ca="1">AVERAGE(OFFSET($EN$3,0,0,'Données projet'!$E$15+1,1))-AVERAGE(OFFSET($H$3,0,0,'Données projet'!$E$15+1,1))</f>
        <v>288.80569134263209</v>
      </c>
      <c r="EP136" s="59">
        <f t="shared" si="154"/>
        <v>283.48738729114024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5.7228127510643034</v>
      </c>
      <c r="EW136" s="21">
        <f>EXP(-LN(2)/25)*EW135+(1-EXP(-LN(2)/25))/(LN(2)/25)*Calculateur!ER136*Calculateur!ET136*VLOOKUP('Données projet'!$B$15,Paramètres!$A$1:$I$89,3,0)*0.475*44/12</f>
        <v>3.350037355179603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9.0728501062439069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293.33333333334531</v>
      </c>
      <c r="S137" s="59">
        <f ca="1">AVERAGE(OFFSET($R$3,0,0,'Données projet'!$E$9+1,1))-AVERAGE(OFFSET($H$3,0,0,'Données projet'!$E$9+1,1))</f>
        <v>384.05928630855732</v>
      </c>
      <c r="T137" s="59">
        <f t="shared" si="142"/>
        <v>279.93992813630513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-2.4158453015843406E-13</v>
      </c>
      <c r="AJ137" s="13">
        <f>AI137*VLOOKUP('Données projet'!$B$10,Paramètres!$A$1:$I$89,3,0)*VLOOKUP('Données projet'!$B$10,Paramètres!$A$1:$I$89,5,0)</f>
        <v>-2.0351080820546486E-13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312.48716825299158</v>
      </c>
      <c r="AO137" s="59">
        <f t="shared" si="144"/>
        <v>258.68277822755357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92.598852100291396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92.598852100291396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367.99999999999972</v>
      </c>
      <c r="BE137" s="13">
        <f>BD137*VLOOKUP('Données projet'!$B$11,Paramètres!$A$1:$I$89,3,0)*VLOOKUP('Données projet'!$B$11,Paramètres!$A$1:$I$89,5,0)</f>
        <v>269.8175999999998</v>
      </c>
      <c r="BF137" s="13">
        <f t="shared" si="145"/>
        <v>64.810557882019467</v>
      </c>
      <c r="BG137" s="20">
        <f t="shared" si="115"/>
        <v>582.81070831118348</v>
      </c>
      <c r="BH137" s="59">
        <f t="shared" si="116"/>
        <v>876.14404164451685</v>
      </c>
      <c r="BI137" s="59">
        <f ca="1">AVERAGE(OFFSET($BH$3,0,0,'Données projet'!$E$11+1,1))-AVERAGE(OFFSET($H$3,0,0,'Données projet'!$E$11+1,1))</f>
        <v>376.58419691967526</v>
      </c>
      <c r="BJ137" s="59">
        <f t="shared" si="146"/>
        <v>365.76175372075869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15.512858026089704</v>
      </c>
      <c r="BQ137" s="21">
        <f>EXP(-LN(2)/25)*BQ136+(1-EXP(-LN(2)/25))/(LN(2)/25)*Calculateur!BL137*Calculateur!BN137*VLOOKUP('Données projet'!$B$11,Paramètres!$A$1:$I$89,3,0)*0.475*44/12</f>
        <v>1.198186533063833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16.711044559153539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292.78079999999977</v>
      </c>
      <c r="CA137" s="13">
        <f t="shared" si="147"/>
        <v>69.660903052386217</v>
      </c>
      <c r="CB137" s="20">
        <f t="shared" si="118"/>
        <v>631.25263281623893</v>
      </c>
      <c r="CC137" s="59">
        <f t="shared" si="119"/>
        <v>924.58596614957219</v>
      </c>
      <c r="CD137" s="59">
        <f ca="1">AVERAGE(OFFSET($CC$3,0,0,'Données projet'!$E$12+1,1))-AVERAGE(OFFSET($H$3,0,0,'Données projet'!$E$12+1,1))</f>
        <v>405.40026823646758</v>
      </c>
      <c r="CE137" s="59">
        <f t="shared" si="148"/>
        <v>393.0787141050053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20.747775974527666</v>
      </c>
      <c r="CL137" s="21">
        <f>EXP(-LN(2)/25)*CL136+(1-EXP(-LN(2)/25))/(LN(2)/25)*Calculateur!CG137*Calculateur!CI137*VLOOKUP('Données projet'!$B$12,Paramètres!$A$1:$I$89,3,0)*0.475*44/12</f>
        <v>1.6025226120096696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22.350298586537335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259.99999999999983</v>
      </c>
      <c r="CU137" s="17">
        <f>CT137*VLOOKUP('Données projet'!$B$13,Paramètres!$A$1:$I$89,3,0)*VLOOKUP('Données projet'!$B$13,Paramètres!$A$1:$I$89,5,0)</f>
        <v>227.13599999999985</v>
      </c>
      <c r="CV137" s="13">
        <f t="shared" si="149"/>
        <v>55.662966886685133</v>
      </c>
      <c r="CW137" s="20">
        <f t="shared" si="121"/>
        <v>492.5415339943097</v>
      </c>
      <c r="CX137" s="59">
        <f t="shared" si="122"/>
        <v>785.87486732764296</v>
      </c>
      <c r="CY137" s="59">
        <f ca="1">AVERAGE(OFFSET($CX$3,0,0,'Données projet'!$E$13+1,1))-AVERAGE(OFFSET($H$3,0,0,'Données projet'!$E$13+1,1))</f>
        <v>381.72225529388083</v>
      </c>
      <c r="CZ137" s="59">
        <f t="shared" si="150"/>
        <v>360.05900046417361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19.258184492642865</v>
      </c>
      <c r="DG137" s="21">
        <f>EXP(-LN(2)/25)*DG136+(1-EXP(-LN(2)/25))/(LN(2)/25)*Calculateur!DB137*Calculateur!DD137*VLOOKUP('Données projet'!$B$13,Paramètres!$A$1:$I$89,3,0)*0.475*44/12</f>
        <v>5.2363951559095776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24.494579648552442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5.6843418860808015E-13</v>
      </c>
      <c r="DP137" s="17">
        <f>DO137*VLOOKUP('Données projet'!$B$14,Paramètres!$A$1:$I$89,3,0)*VLOOKUP('Données projet'!$B$14,Paramètres!$A$1:$I$89,5,0)</f>
        <v>5.4978954722173515E-13</v>
      </c>
      <c r="DQ137" s="13">
        <f t="shared" si="151"/>
        <v>6.7731340873355904E-12</v>
      </c>
      <c r="DR137" s="20">
        <f t="shared" si="124"/>
        <v>1.2754091996854009E-11</v>
      </c>
      <c r="DS137" s="59">
        <f t="shared" si="125"/>
        <v>293.33333333334605</v>
      </c>
      <c r="DT137" s="59">
        <f ca="1">AVERAGE(OFFSET($DS$3,0,0,'Données projet'!$E$14+1,1))-AVERAGE(OFFSET($H$3,0,0,'Données projet'!$E$14+1,1))</f>
        <v>407.73540492005355</v>
      </c>
      <c r="DU137" s="59">
        <f t="shared" si="152"/>
        <v>296.29416764204774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172.23492520105566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172.23492520105566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328.00000000000017</v>
      </c>
      <c r="EK137" s="17">
        <f>EJ137*VLOOKUP('Données projet'!$B$15,Paramètres!$A$1:$I$89,3,0)*VLOOKUP('Données projet'!$B$15,Paramètres!$A$1:$I$89,5,0)</f>
        <v>255.84000000000015</v>
      </c>
      <c r="EL137" s="13">
        <f t="shared" si="153"/>
        <v>61.834803371075886</v>
      </c>
      <c r="EM137" s="20">
        <f t="shared" si="127"/>
        <v>553.28361587129086</v>
      </c>
      <c r="EN137" s="59">
        <f t="shared" si="128"/>
        <v>846.61694920462423</v>
      </c>
      <c r="EO137" s="59">
        <f ca="1">AVERAGE(OFFSET($EN$3,0,0,'Données projet'!$E$15+1,1))-AVERAGE(OFFSET($H$3,0,0,'Données projet'!$E$15+1,1))</f>
        <v>288.80569134263209</v>
      </c>
      <c r="EP137" s="59">
        <f t="shared" si="154"/>
        <v>283.48738729114024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5.6105918835870456</v>
      </c>
      <c r="EW137" s="21">
        <f>EXP(-LN(2)/25)*EW136+(1-EXP(-LN(2)/25))/(LN(2)/25)*Calculateur!ER137*Calculateur!ET137*VLOOKUP('Données projet'!$B$15,Paramètres!$A$1:$I$89,3,0)*0.475*44/12</f>
        <v>3.2584304075314088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8.8690222911184549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293.33333333334531</v>
      </c>
      <c r="S138" s="59">
        <f ca="1">AVERAGE(OFFSET($R$3,0,0,'Données projet'!$E$9+1,1))-AVERAGE(OFFSET($H$3,0,0,'Données projet'!$E$9+1,1))</f>
        <v>384.05928630855732</v>
      </c>
      <c r="T138" s="59">
        <f t="shared" si="142"/>
        <v>279.93992813630513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-2.4158453015843406E-13</v>
      </c>
      <c r="AJ138" s="13">
        <f>AI138*VLOOKUP('Données projet'!$B$10,Paramètres!$A$1:$I$89,3,0)*VLOOKUP('Données projet'!$B$10,Paramètres!$A$1:$I$89,5,0)</f>
        <v>-2.0351080820546486E-13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312.48716825299158</v>
      </c>
      <c r="AO138" s="59">
        <f t="shared" si="144"/>
        <v>258.68277822755357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90.783045090327548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90.783045090327548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367.99999999999972</v>
      </c>
      <c r="BE138" s="13">
        <f>BD138*VLOOKUP('Données projet'!$B$11,Paramètres!$A$1:$I$89,3,0)*VLOOKUP('Données projet'!$B$11,Paramètres!$A$1:$I$89,5,0)</f>
        <v>269.8175999999998</v>
      </c>
      <c r="BF138" s="13">
        <f t="shared" si="145"/>
        <v>64.810557882019467</v>
      </c>
      <c r="BG138" s="20">
        <f t="shared" si="115"/>
        <v>582.81070831118348</v>
      </c>
      <c r="BH138" s="59">
        <f t="shared" si="116"/>
        <v>876.14404164451685</v>
      </c>
      <c r="BI138" s="59">
        <f ca="1">AVERAGE(OFFSET($BH$3,0,0,'Données projet'!$E$11+1,1))-AVERAGE(OFFSET($H$3,0,0,'Données projet'!$E$11+1,1))</f>
        <v>376.58419691967526</v>
      </c>
      <c r="BJ138" s="59">
        <f t="shared" si="146"/>
        <v>365.76175372075869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15.208660342107196</v>
      </c>
      <c r="BQ138" s="21">
        <f>EXP(-LN(2)/25)*BQ137+(1-EXP(-LN(2)/25))/(LN(2)/25)*Calculateur!BL138*Calculateur!BN138*VLOOKUP('Données projet'!$B$11,Paramètres!$A$1:$I$89,3,0)*0.475*44/12</f>
        <v>1.1654220593073112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16.374082401414508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292.78079999999977</v>
      </c>
      <c r="CA138" s="13">
        <f t="shared" si="147"/>
        <v>69.660903052386217</v>
      </c>
      <c r="CB138" s="20">
        <f t="shared" si="118"/>
        <v>631.25263281623893</v>
      </c>
      <c r="CC138" s="59">
        <f t="shared" si="119"/>
        <v>924.58596614957219</v>
      </c>
      <c r="CD138" s="59">
        <f ca="1">AVERAGE(OFFSET($CC$3,0,0,'Données projet'!$E$12+1,1))-AVERAGE(OFFSET($H$3,0,0,'Données projet'!$E$12+1,1))</f>
        <v>405.40026823646758</v>
      </c>
      <c r="CE138" s="59">
        <f t="shared" si="148"/>
        <v>393.0787141050053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20.340924742560958</v>
      </c>
      <c r="CL138" s="21">
        <f>EXP(-LN(2)/25)*CL137+(1-EXP(-LN(2)/25))/(LN(2)/25)*Calculateur!CG138*Calculateur!CI138*VLOOKUP('Données projet'!$B$12,Paramètres!$A$1:$I$89,3,0)*0.475*44/12</f>
        <v>1.5587015469112637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21.89962628947222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259.99999999999983</v>
      </c>
      <c r="CU138" s="17">
        <f>CT138*VLOOKUP('Données projet'!$B$13,Paramètres!$A$1:$I$89,3,0)*VLOOKUP('Données projet'!$B$13,Paramètres!$A$1:$I$89,5,0)</f>
        <v>227.13599999999985</v>
      </c>
      <c r="CV138" s="13">
        <f t="shared" si="149"/>
        <v>55.662966886685133</v>
      </c>
      <c r="CW138" s="20">
        <f t="shared" si="121"/>
        <v>492.5415339943097</v>
      </c>
      <c r="CX138" s="59">
        <f t="shared" si="122"/>
        <v>785.87486732764296</v>
      </c>
      <c r="CY138" s="59">
        <f ca="1">AVERAGE(OFFSET($CX$3,0,0,'Données projet'!$E$13+1,1))-AVERAGE(OFFSET($H$3,0,0,'Données projet'!$E$13+1,1))</f>
        <v>381.72225529388083</v>
      </c>
      <c r="CZ138" s="59">
        <f t="shared" si="150"/>
        <v>360.05900046417361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18.880543241074825</v>
      </c>
      <c r="DG138" s="21">
        <f>EXP(-LN(2)/25)*DG137+(1-EXP(-LN(2)/25))/(LN(2)/25)*Calculateur!DB138*Calculateur!DD138*VLOOKUP('Données projet'!$B$13,Paramètres!$A$1:$I$89,3,0)*0.475*44/12</f>
        <v>5.0932056550011771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23.973748896076003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5.6843418860808015E-13</v>
      </c>
      <c r="DP138" s="17">
        <f>DO138*VLOOKUP('Données projet'!$B$14,Paramètres!$A$1:$I$89,3,0)*VLOOKUP('Données projet'!$B$14,Paramètres!$A$1:$I$89,5,0)</f>
        <v>5.4978954722173515E-13</v>
      </c>
      <c r="DQ138" s="13">
        <f t="shared" si="151"/>
        <v>6.7731340873355904E-12</v>
      </c>
      <c r="DR138" s="20">
        <f t="shared" si="124"/>
        <v>1.2754091996854009E-11</v>
      </c>
      <c r="DS138" s="59">
        <f t="shared" si="125"/>
        <v>293.33333333334605</v>
      </c>
      <c r="DT138" s="59">
        <f ca="1">AVERAGE(OFFSET($DS$3,0,0,'Données projet'!$E$14+1,1))-AVERAGE(OFFSET($H$3,0,0,'Données projet'!$E$14+1,1))</f>
        <v>407.73540492005355</v>
      </c>
      <c r="DU138" s="59">
        <f t="shared" si="152"/>
        <v>296.29416764204774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168.85750337079421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168.85750337079421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328.00000000000017</v>
      </c>
      <c r="EK138" s="17">
        <f>EJ138*VLOOKUP('Données projet'!$B$15,Paramètres!$A$1:$I$89,3,0)*VLOOKUP('Données projet'!$B$15,Paramètres!$A$1:$I$89,5,0)</f>
        <v>255.84000000000015</v>
      </c>
      <c r="EL138" s="13">
        <f t="shared" si="153"/>
        <v>61.834803371075886</v>
      </c>
      <c r="EM138" s="20">
        <f t="shared" si="127"/>
        <v>553.28361587129086</v>
      </c>
      <c r="EN138" s="59">
        <f t="shared" si="128"/>
        <v>846.61694920462423</v>
      </c>
      <c r="EO138" s="59">
        <f ca="1">AVERAGE(OFFSET($EN$3,0,0,'Données projet'!$E$15+1,1))-AVERAGE(OFFSET($H$3,0,0,'Données projet'!$E$15+1,1))</f>
        <v>288.80569134263209</v>
      </c>
      <c r="EP138" s="59">
        <f t="shared" si="154"/>
        <v>283.48738729114024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5.5005715988730461</v>
      </c>
      <c r="EW138" s="21">
        <f>EXP(-LN(2)/25)*EW137+(1-EXP(-LN(2)/25))/(LN(2)/25)*Calculateur!ER138*Calculateur!ET138*VLOOKUP('Données projet'!$B$15,Paramètres!$A$1:$I$89,3,0)*0.475*44/12</f>
        <v>3.1693284566840547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8.6699000555571004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293.33333333334531</v>
      </c>
      <c r="S139" s="59">
        <f ca="1">AVERAGE(OFFSET($R$3,0,0,'Données projet'!$E$9+1,1))-AVERAGE(OFFSET($H$3,0,0,'Données projet'!$E$9+1,1))</f>
        <v>384.05928630855732</v>
      </c>
      <c r="T139" s="59">
        <f t="shared" si="142"/>
        <v>279.93992813630513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-2.4158453015843406E-13</v>
      </c>
      <c r="AJ139" s="13">
        <f>AI139*VLOOKUP('Données projet'!$B$10,Paramètres!$A$1:$I$89,3,0)*VLOOKUP('Données projet'!$B$10,Paramètres!$A$1:$I$89,5,0)</f>
        <v>-2.0351080820546486E-13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312.48716825299158</v>
      </c>
      <c r="AO139" s="59">
        <f t="shared" si="144"/>
        <v>258.68277822755357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89.002844948296186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89.002844948296186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367.99999999999972</v>
      </c>
      <c r="BE139" s="13">
        <f>BD139*VLOOKUP('Données projet'!$B$11,Paramètres!$A$1:$I$89,3,0)*VLOOKUP('Données projet'!$B$11,Paramètres!$A$1:$I$89,5,0)</f>
        <v>269.8175999999998</v>
      </c>
      <c r="BF139" s="13">
        <f t="shared" si="145"/>
        <v>64.810557882019467</v>
      </c>
      <c r="BG139" s="20">
        <f t="shared" si="115"/>
        <v>582.81070831118348</v>
      </c>
      <c r="BH139" s="59">
        <f t="shared" si="116"/>
        <v>876.14404164451685</v>
      </c>
      <c r="BI139" s="59">
        <f ca="1">AVERAGE(OFFSET($BH$3,0,0,'Données projet'!$E$11+1,1))-AVERAGE(OFFSET($H$3,0,0,'Données projet'!$E$11+1,1))</f>
        <v>376.58419691967526</v>
      </c>
      <c r="BJ139" s="59">
        <f t="shared" si="146"/>
        <v>365.76175372075869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14.910427789165317</v>
      </c>
      <c r="BQ139" s="21">
        <f>EXP(-LN(2)/25)*BQ138+(1-EXP(-LN(2)/25))/(LN(2)/25)*Calculateur!BL139*Calculateur!BN139*VLOOKUP('Données projet'!$B$11,Paramètres!$A$1:$I$89,3,0)*0.475*44/12</f>
        <v>1.1335535318086702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16.043981320973987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292.78079999999977</v>
      </c>
      <c r="CA139" s="13">
        <f t="shared" si="147"/>
        <v>69.660903052386217</v>
      </c>
      <c r="CB139" s="20">
        <f t="shared" si="118"/>
        <v>631.25263281623893</v>
      </c>
      <c r="CC139" s="59">
        <f t="shared" si="119"/>
        <v>924.58596614957219</v>
      </c>
      <c r="CD139" s="59">
        <f ca="1">AVERAGE(OFFSET($CC$3,0,0,'Données projet'!$E$12+1,1))-AVERAGE(OFFSET($H$3,0,0,'Données projet'!$E$12+1,1))</f>
        <v>405.40026823646758</v>
      </c>
      <c r="CE139" s="59">
        <f t="shared" si="148"/>
        <v>393.0787141050053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19.942051615098368</v>
      </c>
      <c r="CL139" s="21">
        <f>EXP(-LN(2)/25)*CL138+(1-EXP(-LN(2)/25))/(LN(2)/25)*Calculateur!CG139*Calculateur!CI139*VLOOKUP('Données projet'!$B$12,Paramètres!$A$1:$I$89,3,0)*0.475*44/12</f>
        <v>1.5160787711424233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21.458130386240793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259.99999999999983</v>
      </c>
      <c r="CU139" s="17">
        <f>CT139*VLOOKUP('Données projet'!$B$13,Paramètres!$A$1:$I$89,3,0)*VLOOKUP('Données projet'!$B$13,Paramètres!$A$1:$I$89,5,0)</f>
        <v>227.13599999999985</v>
      </c>
      <c r="CV139" s="13">
        <f t="shared" si="149"/>
        <v>55.662966886685133</v>
      </c>
      <c r="CW139" s="20">
        <f t="shared" si="121"/>
        <v>492.5415339943097</v>
      </c>
      <c r="CX139" s="59">
        <f t="shared" si="122"/>
        <v>785.87486732764296</v>
      </c>
      <c r="CY139" s="59">
        <f ca="1">AVERAGE(OFFSET($CX$3,0,0,'Données projet'!$E$13+1,1))-AVERAGE(OFFSET($H$3,0,0,'Données projet'!$E$13+1,1))</f>
        <v>381.72225529388083</v>
      </c>
      <c r="CZ139" s="59">
        <f t="shared" si="150"/>
        <v>360.05900046417361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18.510307304111613</v>
      </c>
      <c r="DG139" s="21">
        <f>EXP(-LN(2)/25)*DG138+(1-EXP(-LN(2)/25))/(LN(2)/25)*Calculateur!DB139*Calculateur!DD139*VLOOKUP('Données projet'!$B$13,Paramètres!$A$1:$I$89,3,0)*0.475*44/12</f>
        <v>4.9539316785251248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23.464238982636736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5.6843418860808015E-13</v>
      </c>
      <c r="DP139" s="17">
        <f>DO139*VLOOKUP('Données projet'!$B$14,Paramètres!$A$1:$I$89,3,0)*VLOOKUP('Données projet'!$B$14,Paramètres!$A$1:$I$89,5,0)</f>
        <v>5.4978954722173515E-13</v>
      </c>
      <c r="DQ139" s="13">
        <f t="shared" si="151"/>
        <v>6.7731340873355904E-12</v>
      </c>
      <c r="DR139" s="20">
        <f t="shared" si="124"/>
        <v>1.2754091996854009E-11</v>
      </c>
      <c r="DS139" s="59">
        <f t="shared" si="125"/>
        <v>293.33333333334605</v>
      </c>
      <c r="DT139" s="59">
        <f ca="1">AVERAGE(OFFSET($DS$3,0,0,'Données projet'!$E$14+1,1))-AVERAGE(OFFSET($H$3,0,0,'Données projet'!$E$14+1,1))</f>
        <v>407.73540492005355</v>
      </c>
      <c r="DU139" s="59">
        <f t="shared" si="152"/>
        <v>296.29416764204774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165.54631072260028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165.54631072260028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328.00000000000017</v>
      </c>
      <c r="EK139" s="17">
        <f>EJ139*VLOOKUP('Données projet'!$B$15,Paramètres!$A$1:$I$89,3,0)*VLOOKUP('Données projet'!$B$15,Paramètres!$A$1:$I$89,5,0)</f>
        <v>255.84000000000015</v>
      </c>
      <c r="EL139" s="13">
        <f t="shared" si="153"/>
        <v>61.834803371075886</v>
      </c>
      <c r="EM139" s="20">
        <f t="shared" si="127"/>
        <v>553.28361587129086</v>
      </c>
      <c r="EN139" s="59">
        <f t="shared" si="128"/>
        <v>846.61694920462423</v>
      </c>
      <c r="EO139" s="59">
        <f ca="1">AVERAGE(OFFSET($EN$3,0,0,'Données projet'!$E$15+1,1))-AVERAGE(OFFSET($H$3,0,0,'Données projet'!$E$15+1,1))</f>
        <v>288.80569134263209</v>
      </c>
      <c r="EP139" s="59">
        <f t="shared" si="154"/>
        <v>283.48738729114024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5.3927087448365407</v>
      </c>
      <c r="EW139" s="21">
        <f>EXP(-LN(2)/25)*EW138+(1-EXP(-LN(2)/25))/(LN(2)/25)*Calculateur!ER139*Calculateur!ET139*VLOOKUP('Données projet'!$B$15,Paramètres!$A$1:$I$89,3,0)*0.475*44/12</f>
        <v>3.0826630033682894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8.4753717482048305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293.33333333334531</v>
      </c>
      <c r="S140" s="59">
        <f ca="1">AVERAGE(OFFSET($R$3,0,0,'Données projet'!$E$9+1,1))-AVERAGE(OFFSET($H$3,0,0,'Données projet'!$E$9+1,1))</f>
        <v>384.05928630855732</v>
      </c>
      <c r="T140" s="59">
        <f t="shared" si="142"/>
        <v>279.93992813630513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-2.4158453015843406E-13</v>
      </c>
      <c r="AJ140" s="13">
        <f>AI140*VLOOKUP('Données projet'!$B$10,Paramètres!$A$1:$I$89,3,0)*VLOOKUP('Données projet'!$B$10,Paramètres!$A$1:$I$89,5,0)</f>
        <v>-2.0351080820546486E-13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312.48716825299158</v>
      </c>
      <c r="AO140" s="59">
        <f t="shared" si="144"/>
        <v>258.68277822755357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87.257553445235189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87.257553445235189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367.99999999999972</v>
      </c>
      <c r="BE140" s="13">
        <f>BD140*VLOOKUP('Données projet'!$B$11,Paramètres!$A$1:$I$89,3,0)*VLOOKUP('Données projet'!$B$11,Paramètres!$A$1:$I$89,5,0)</f>
        <v>269.8175999999998</v>
      </c>
      <c r="BF140" s="13">
        <f t="shared" si="145"/>
        <v>64.810557882019467</v>
      </c>
      <c r="BG140" s="20">
        <f t="shared" si="115"/>
        <v>582.81070831118348</v>
      </c>
      <c r="BH140" s="59">
        <f t="shared" si="116"/>
        <v>876.14404164451685</v>
      </c>
      <c r="BI140" s="59">
        <f ca="1">AVERAGE(OFFSET($BH$3,0,0,'Données projet'!$E$11+1,1))-AVERAGE(OFFSET($H$3,0,0,'Données projet'!$E$11+1,1))</f>
        <v>376.58419691967526</v>
      </c>
      <c r="BJ140" s="59">
        <f t="shared" si="146"/>
        <v>365.76175372075869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14.618043394682733</v>
      </c>
      <c r="BQ140" s="21">
        <f>EXP(-LN(2)/25)*BQ139+(1-EXP(-LN(2)/25))/(LN(2)/25)*Calculateur!BL140*Calculateur!BN140*VLOOKUP('Données projet'!$B$11,Paramètres!$A$1:$I$89,3,0)*0.475*44/12</f>
        <v>1.1025564508703727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15.720599845553105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292.78079999999977</v>
      </c>
      <c r="CA140" s="13">
        <f t="shared" si="147"/>
        <v>69.660903052386217</v>
      </c>
      <c r="CB140" s="20">
        <f t="shared" si="118"/>
        <v>631.25263281623893</v>
      </c>
      <c r="CC140" s="59">
        <f t="shared" si="119"/>
        <v>924.58596614957219</v>
      </c>
      <c r="CD140" s="59">
        <f ca="1">AVERAGE(OFFSET($CC$3,0,0,'Données projet'!$E$12+1,1))-AVERAGE(OFFSET($H$3,0,0,'Données projet'!$E$12+1,1))</f>
        <v>405.40026823646758</v>
      </c>
      <c r="CE140" s="59">
        <f t="shared" si="148"/>
        <v>393.0787141050053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19.551000146376733</v>
      </c>
      <c r="CL140" s="21">
        <f>EXP(-LN(2)/25)*CL139+(1-EXP(-LN(2)/25))/(LN(2)/25)*Calculateur!CG140*Calculateur!CI140*VLOOKUP('Données projet'!$B$12,Paramètres!$A$1:$I$89,3,0)*0.475*44/12</f>
        <v>1.4746215174184163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21.02562166379515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259.99999999999983</v>
      </c>
      <c r="CU140" s="17">
        <f>CT140*VLOOKUP('Données projet'!$B$13,Paramètres!$A$1:$I$89,3,0)*VLOOKUP('Données projet'!$B$13,Paramètres!$A$1:$I$89,5,0)</f>
        <v>227.13599999999985</v>
      </c>
      <c r="CV140" s="13">
        <f t="shared" si="149"/>
        <v>55.662966886685133</v>
      </c>
      <c r="CW140" s="20">
        <f t="shared" si="121"/>
        <v>492.5415339943097</v>
      </c>
      <c r="CX140" s="59">
        <f t="shared" si="122"/>
        <v>785.87486732764296</v>
      </c>
      <c r="CY140" s="59">
        <f ca="1">AVERAGE(OFFSET($CX$3,0,0,'Données projet'!$E$13+1,1))-AVERAGE(OFFSET($H$3,0,0,'Données projet'!$E$13+1,1))</f>
        <v>381.72225529388083</v>
      </c>
      <c r="CZ140" s="59">
        <f t="shared" si="150"/>
        <v>360.05900046417361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18.147331468050627</v>
      </c>
      <c r="DG140" s="21">
        <f>EXP(-LN(2)/25)*DG139+(1-EXP(-LN(2)/25))/(LN(2)/25)*Calculateur!DB140*Calculateur!DD140*VLOOKUP('Données projet'!$B$13,Paramètres!$A$1:$I$89,3,0)*0.475*44/12</f>
        <v>4.8184661562599107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22.96579762431054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5.6843418860808015E-13</v>
      </c>
      <c r="DP140" s="17">
        <f>DO140*VLOOKUP('Données projet'!$B$14,Paramètres!$A$1:$I$89,3,0)*VLOOKUP('Données projet'!$B$14,Paramètres!$A$1:$I$89,5,0)</f>
        <v>5.4978954722173515E-13</v>
      </c>
      <c r="DQ140" s="13">
        <f t="shared" si="151"/>
        <v>6.7731340873355904E-12</v>
      </c>
      <c r="DR140" s="20">
        <f t="shared" si="124"/>
        <v>1.2754091996854009E-11</v>
      </c>
      <c r="DS140" s="59">
        <f t="shared" si="125"/>
        <v>293.33333333334605</v>
      </c>
      <c r="DT140" s="59">
        <f ca="1">AVERAGE(OFFSET($DS$3,0,0,'Données projet'!$E$14+1,1))-AVERAGE(OFFSET($H$3,0,0,'Données projet'!$E$14+1,1))</f>
        <v>407.73540492005355</v>
      </c>
      <c r="DU140" s="59">
        <f t="shared" si="152"/>
        <v>296.29416764204774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162.30004854260935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162.30004854260935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328.00000000000017</v>
      </c>
      <c r="EK140" s="17">
        <f>EJ140*VLOOKUP('Données projet'!$B$15,Paramètres!$A$1:$I$89,3,0)*VLOOKUP('Données projet'!$B$15,Paramètres!$A$1:$I$89,5,0)</f>
        <v>255.84000000000015</v>
      </c>
      <c r="EL140" s="13">
        <f t="shared" si="153"/>
        <v>61.834803371075886</v>
      </c>
      <c r="EM140" s="20">
        <f t="shared" si="127"/>
        <v>553.28361587129086</v>
      </c>
      <c r="EN140" s="59">
        <f t="shared" si="128"/>
        <v>846.61694920462423</v>
      </c>
      <c r="EO140" s="59">
        <f ca="1">AVERAGE(OFFSET($EN$3,0,0,'Données projet'!$E$15+1,1))-AVERAGE(OFFSET($H$3,0,0,'Données projet'!$E$15+1,1))</f>
        <v>288.80569134263209</v>
      </c>
      <c r="EP140" s="59">
        <f t="shared" si="154"/>
        <v>283.48738729114024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5.2869610155778464</v>
      </c>
      <c r="EW140" s="21">
        <f>EXP(-LN(2)/25)*EW139+(1-EXP(-LN(2)/25))/(LN(2)/25)*Calculateur!ER140*Calculateur!ET140*VLOOKUP('Données projet'!$B$15,Paramètres!$A$1:$I$89,3,0)*0.475*44/12</f>
        <v>2.9983674214309817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8.2853284370088289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293.33333333334531</v>
      </c>
      <c r="S141" s="59">
        <f ca="1">AVERAGE(OFFSET($R$3,0,0,'Données projet'!$E$9+1,1))-AVERAGE(OFFSET($H$3,0,0,'Données projet'!$E$9+1,1))</f>
        <v>384.05928630855732</v>
      </c>
      <c r="T141" s="59">
        <f t="shared" si="142"/>
        <v>279.93992813630513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-2.4158453015843406E-13</v>
      </c>
      <c r="AJ141" s="13">
        <f>AI141*VLOOKUP('Données projet'!$B$10,Paramètres!$A$1:$I$89,3,0)*VLOOKUP('Données projet'!$B$10,Paramètres!$A$1:$I$89,5,0)</f>
        <v>-2.0351080820546486E-13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312.48716825299158</v>
      </c>
      <c r="AO141" s="59">
        <f t="shared" si="144"/>
        <v>258.68277822755357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85.546486044026508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85.546486044026508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367.99999999999972</v>
      </c>
      <c r="BE141" s="13">
        <f>BD141*VLOOKUP('Données projet'!$B$11,Paramètres!$A$1:$I$89,3,0)*VLOOKUP('Données projet'!$B$11,Paramètres!$A$1:$I$89,5,0)</f>
        <v>269.8175999999998</v>
      </c>
      <c r="BF141" s="13">
        <f t="shared" si="145"/>
        <v>64.810557882019467</v>
      </c>
      <c r="BG141" s="20">
        <f t="shared" si="115"/>
        <v>582.81070831118348</v>
      </c>
      <c r="BH141" s="59">
        <f t="shared" si="116"/>
        <v>876.14404164451685</v>
      </c>
      <c r="BI141" s="59">
        <f ca="1">AVERAGE(OFFSET($BH$3,0,0,'Données projet'!$E$11+1,1))-AVERAGE(OFFSET($H$3,0,0,'Données projet'!$E$11+1,1))</f>
        <v>376.58419691967526</v>
      </c>
      <c r="BJ141" s="59">
        <f t="shared" si="146"/>
        <v>365.76175372075869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14.331392479839081</v>
      </c>
      <c r="BQ141" s="21">
        <f>EXP(-LN(2)/25)*BQ140+(1-EXP(-LN(2)/25))/(LN(2)/25)*Calculateur!BL141*Calculateur!BN141*VLOOKUP('Données projet'!$B$11,Paramètres!$A$1:$I$89,3,0)*0.475*44/12</f>
        <v>1.0724069867403985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15.40379946657948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292.78079999999977</v>
      </c>
      <c r="CA141" s="13">
        <f t="shared" si="147"/>
        <v>69.660903052386217</v>
      </c>
      <c r="CB141" s="20">
        <f t="shared" si="118"/>
        <v>631.25263281623893</v>
      </c>
      <c r="CC141" s="59">
        <f t="shared" si="119"/>
        <v>924.58596614957219</v>
      </c>
      <c r="CD141" s="59">
        <f ca="1">AVERAGE(OFFSET($CC$3,0,0,'Données projet'!$E$12+1,1))-AVERAGE(OFFSET($H$3,0,0,'Données projet'!$E$12+1,1))</f>
        <v>405.40026823646758</v>
      </c>
      <c r="CE141" s="59">
        <f t="shared" si="148"/>
        <v>393.0787141050053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19.167616958438884</v>
      </c>
      <c r="CL141" s="21">
        <f>EXP(-LN(2)/25)*CL140+(1-EXP(-LN(2)/25))/(LN(2)/25)*Calculateur!CG141*Calculateur!CI141*VLOOKUP('Données projet'!$B$12,Paramètres!$A$1:$I$89,3,0)*0.475*44/12</f>
        <v>1.4342979144776344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20.60191487291652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259.99999999999983</v>
      </c>
      <c r="CU141" s="17">
        <f>CT141*VLOOKUP('Données projet'!$B$13,Paramètres!$A$1:$I$89,3,0)*VLOOKUP('Données projet'!$B$13,Paramètres!$A$1:$I$89,5,0)</f>
        <v>227.13599999999985</v>
      </c>
      <c r="CV141" s="13">
        <f t="shared" si="149"/>
        <v>55.662966886685133</v>
      </c>
      <c r="CW141" s="20">
        <f t="shared" si="121"/>
        <v>492.5415339943097</v>
      </c>
      <c r="CX141" s="59">
        <f t="shared" si="122"/>
        <v>785.87486732764296</v>
      </c>
      <c r="CY141" s="59">
        <f ca="1">AVERAGE(OFFSET($CX$3,0,0,'Données projet'!$E$13+1,1))-AVERAGE(OFFSET($H$3,0,0,'Données projet'!$E$13+1,1))</f>
        <v>381.72225529388083</v>
      </c>
      <c r="CZ141" s="59">
        <f t="shared" si="150"/>
        <v>360.05900046417361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17.7914733667414</v>
      </c>
      <c r="DG141" s="21">
        <f>EXP(-LN(2)/25)*DG140+(1-EXP(-LN(2)/25))/(LN(2)/25)*Calculateur!DB141*Calculateur!DD141*VLOOKUP('Données projet'!$B$13,Paramètres!$A$1:$I$89,3,0)*0.475*44/12</f>
        <v>4.6867049458248609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22.478178312566261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5.6843418860808015E-13</v>
      </c>
      <c r="DP141" s="17">
        <f>DO141*VLOOKUP('Données projet'!$B$14,Paramètres!$A$1:$I$89,3,0)*VLOOKUP('Données projet'!$B$14,Paramètres!$A$1:$I$89,5,0)</f>
        <v>5.4978954722173515E-13</v>
      </c>
      <c r="DQ141" s="13">
        <f t="shared" si="151"/>
        <v>6.7731340873355904E-12</v>
      </c>
      <c r="DR141" s="20">
        <f t="shared" si="124"/>
        <v>1.2754091996854009E-11</v>
      </c>
      <c r="DS141" s="59">
        <f t="shared" si="125"/>
        <v>293.33333333334605</v>
      </c>
      <c r="DT141" s="59">
        <f ca="1">AVERAGE(OFFSET($DS$3,0,0,'Données projet'!$E$14+1,1))-AVERAGE(OFFSET($H$3,0,0,'Données projet'!$E$14+1,1))</f>
        <v>407.73540492005355</v>
      </c>
      <c r="DU141" s="59">
        <f t="shared" si="152"/>
        <v>296.29416764204774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159.11744358394361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159.11744358394361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328.00000000000017</v>
      </c>
      <c r="EK141" s="17">
        <f>EJ141*VLOOKUP('Données projet'!$B$15,Paramètres!$A$1:$I$89,3,0)*VLOOKUP('Données projet'!$B$15,Paramètres!$A$1:$I$89,5,0)</f>
        <v>255.84000000000015</v>
      </c>
      <c r="EL141" s="13">
        <f t="shared" si="153"/>
        <v>61.834803371075886</v>
      </c>
      <c r="EM141" s="20">
        <f t="shared" si="127"/>
        <v>553.28361587129086</v>
      </c>
      <c r="EN141" s="59">
        <f t="shared" si="128"/>
        <v>846.61694920462423</v>
      </c>
      <c r="EO141" s="59">
        <f ca="1">AVERAGE(OFFSET($EN$3,0,0,'Données projet'!$E$15+1,1))-AVERAGE(OFFSET($H$3,0,0,'Données projet'!$E$15+1,1))</f>
        <v>288.80569134263209</v>
      </c>
      <c r="EP141" s="59">
        <f t="shared" si="154"/>
        <v>283.48738729114024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5.1832869347901687</v>
      </c>
      <c r="EW141" s="21">
        <f>EXP(-LN(2)/25)*EW140+(1-EXP(-LN(2)/25))/(LN(2)/25)*Calculateur!ER141*Calculateur!ET141*VLOOKUP('Données projet'!$B$15,Paramètres!$A$1:$I$89,3,0)*0.475*44/12</f>
        <v>2.9163769066146616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8.0996638414048299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293.33333333334531</v>
      </c>
      <c r="S142" s="59">
        <f ca="1">AVERAGE(OFFSET($R$3,0,0,'Données projet'!$E$9+1,1))-AVERAGE(OFFSET($H$3,0,0,'Données projet'!$E$9+1,1))</f>
        <v>384.05928630855732</v>
      </c>
      <c r="T142" s="59">
        <f t="shared" si="142"/>
        <v>279.93992813630513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-2.4158453015843406E-13</v>
      </c>
      <c r="AJ142" s="13">
        <f>AI142*VLOOKUP('Données projet'!$B$10,Paramètres!$A$1:$I$89,3,0)*VLOOKUP('Données projet'!$B$10,Paramètres!$A$1:$I$89,5,0)</f>
        <v>-2.0351080820546486E-13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312.48716825299158</v>
      </c>
      <c r="AO142" s="59">
        <f t="shared" si="144"/>
        <v>258.68277822755357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83.868971630907467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83.868971630907467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367.99999999999972</v>
      </c>
      <c r="BE142" s="13">
        <f>BD142*VLOOKUP('Données projet'!$B$11,Paramètres!$A$1:$I$89,3,0)*VLOOKUP('Données projet'!$B$11,Paramètres!$A$1:$I$89,5,0)</f>
        <v>269.8175999999998</v>
      </c>
      <c r="BF142" s="13">
        <f t="shared" si="145"/>
        <v>64.810557882019467</v>
      </c>
      <c r="BG142" s="20">
        <f t="shared" si="115"/>
        <v>582.81070831118348</v>
      </c>
      <c r="BH142" s="59">
        <f t="shared" si="116"/>
        <v>876.14404164451685</v>
      </c>
      <c r="BI142" s="59">
        <f ca="1">AVERAGE(OFFSET($BH$3,0,0,'Données projet'!$E$11+1,1))-AVERAGE(OFFSET($H$3,0,0,'Données projet'!$E$11+1,1))</f>
        <v>376.58419691967526</v>
      </c>
      <c r="BJ142" s="59">
        <f t="shared" si="146"/>
        <v>365.76175372075869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14.05036261459572</v>
      </c>
      <c r="BQ142" s="21">
        <f>EXP(-LN(2)/25)*BQ141+(1-EXP(-LN(2)/25))/(LN(2)/25)*Calculateur!BL142*Calculateur!BN142*VLOOKUP('Données projet'!$B$11,Paramètres!$A$1:$I$89,3,0)*0.475*44/12</f>
        <v>1.0430819612925499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15.09344457588827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292.78079999999977</v>
      </c>
      <c r="CA142" s="13">
        <f t="shared" si="147"/>
        <v>69.660903052386217</v>
      </c>
      <c r="CB142" s="20">
        <f t="shared" si="118"/>
        <v>631.25263281623893</v>
      </c>
      <c r="CC142" s="59">
        <f t="shared" si="119"/>
        <v>924.58596614957219</v>
      </c>
      <c r="CD142" s="59">
        <f ca="1">AVERAGE(OFFSET($CC$3,0,0,'Données projet'!$E$12+1,1))-AVERAGE(OFFSET($H$3,0,0,'Données projet'!$E$12+1,1))</f>
        <v>405.40026823646758</v>
      </c>
      <c r="CE142" s="59">
        <f t="shared" si="148"/>
        <v>393.0787141050053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18.791751680975842</v>
      </c>
      <c r="CL142" s="21">
        <f>EXP(-LN(2)/25)*CL141+(1-EXP(-LN(2)/25))/(LN(2)/25)*Calculateur!CG142*Calculateur!CI142*VLOOKUP('Données projet'!$B$12,Paramètres!$A$1:$I$89,3,0)*0.475*44/12</f>
        <v>1.3950769625797943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20.186828643555636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259.99999999999983</v>
      </c>
      <c r="CU142" s="17">
        <f>CT142*VLOOKUP('Données projet'!$B$13,Paramètres!$A$1:$I$89,3,0)*VLOOKUP('Données projet'!$B$13,Paramètres!$A$1:$I$89,5,0)</f>
        <v>227.13599999999985</v>
      </c>
      <c r="CV142" s="13">
        <f t="shared" si="149"/>
        <v>55.662966886685133</v>
      </c>
      <c r="CW142" s="20">
        <f t="shared" si="121"/>
        <v>492.5415339943097</v>
      </c>
      <c r="CX142" s="59">
        <f t="shared" si="122"/>
        <v>785.87486732764296</v>
      </c>
      <c r="CY142" s="59">
        <f ca="1">AVERAGE(OFFSET($CX$3,0,0,'Données projet'!$E$13+1,1))-AVERAGE(OFFSET($H$3,0,0,'Données projet'!$E$13+1,1))</f>
        <v>381.72225529388083</v>
      </c>
      <c r="CZ142" s="59">
        <f t="shared" si="150"/>
        <v>360.05900046417361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17.442593425746836</v>
      </c>
      <c r="DG142" s="21">
        <f>EXP(-LN(2)/25)*DG141+(1-EXP(-LN(2)/25))/(LN(2)/25)*Calculateur!DB142*Calculateur!DD142*VLOOKUP('Données projet'!$B$13,Paramètres!$A$1:$I$89,3,0)*0.475*44/12</f>
        <v>4.5585467526181782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22.001140178365013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5.6843418860808015E-13</v>
      </c>
      <c r="DP142" s="17">
        <f>DO142*VLOOKUP('Données projet'!$B$14,Paramètres!$A$1:$I$89,3,0)*VLOOKUP('Données projet'!$B$14,Paramètres!$A$1:$I$89,5,0)</f>
        <v>5.4978954722173515E-13</v>
      </c>
      <c r="DQ142" s="13">
        <f t="shared" si="151"/>
        <v>6.7731340873355904E-12</v>
      </c>
      <c r="DR142" s="20">
        <f t="shared" si="124"/>
        <v>1.2754091996854009E-11</v>
      </c>
      <c r="DS142" s="59">
        <f t="shared" si="125"/>
        <v>293.33333333334605</v>
      </c>
      <c r="DT142" s="59">
        <f ca="1">AVERAGE(OFFSET($DS$3,0,0,'Données projet'!$E$14+1,1))-AVERAGE(OFFSET($H$3,0,0,'Données projet'!$E$14+1,1))</f>
        <v>407.73540492005355</v>
      </c>
      <c r="DU142" s="59">
        <f t="shared" si="152"/>
        <v>296.29416764204774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155.99724756731996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155.99724756731996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328.00000000000017</v>
      </c>
      <c r="EK142" s="17">
        <f>EJ142*VLOOKUP('Données projet'!$B$15,Paramètres!$A$1:$I$89,3,0)*VLOOKUP('Données projet'!$B$15,Paramètres!$A$1:$I$89,5,0)</f>
        <v>255.84000000000015</v>
      </c>
      <c r="EL142" s="13">
        <f t="shared" si="153"/>
        <v>61.834803371075886</v>
      </c>
      <c r="EM142" s="20">
        <f t="shared" si="127"/>
        <v>553.28361587129086</v>
      </c>
      <c r="EN142" s="59">
        <f t="shared" si="128"/>
        <v>846.61694920462423</v>
      </c>
      <c r="EO142" s="59">
        <f ca="1">AVERAGE(OFFSET($EN$3,0,0,'Données projet'!$E$15+1,1))-AVERAGE(OFFSET($H$3,0,0,'Données projet'!$E$15+1,1))</f>
        <v>288.80569134263209</v>
      </c>
      <c r="EP142" s="59">
        <f t="shared" si="154"/>
        <v>283.48738729114024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5.0816458394917925</v>
      </c>
      <c r="EW142" s="21">
        <f>EXP(-LN(2)/25)*EW141+(1-EXP(-LN(2)/25))/(LN(2)/25)*Calculateur!ER142*Calculateur!ET142*VLOOKUP('Données projet'!$B$15,Paramètres!$A$1:$I$89,3,0)*0.475*44/12</f>
        <v>2.8366284267376876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7.9182742662294796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293.33333333334531</v>
      </c>
      <c r="S143" s="59">
        <f ca="1">AVERAGE(OFFSET($R$3,0,0,'Données projet'!$E$9+1,1))-AVERAGE(OFFSET($H$3,0,0,'Données projet'!$E$9+1,1))</f>
        <v>384.05928630855732</v>
      </c>
      <c r="T143" s="59">
        <f t="shared" si="142"/>
        <v>279.93992813630513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-2.4158453015843406E-13</v>
      </c>
      <c r="AJ143" s="13">
        <f>AI143*VLOOKUP('Données projet'!$B$10,Paramètres!$A$1:$I$89,3,0)*VLOOKUP('Données projet'!$B$10,Paramètres!$A$1:$I$89,5,0)</f>
        <v>-2.0351080820546486E-13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312.48716825299158</v>
      </c>
      <c r="AO143" s="59">
        <f t="shared" si="144"/>
        <v>258.68277822755357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82.224352252246931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82.224352252246931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367.99999999999972</v>
      </c>
      <c r="BE143" s="13">
        <f>BD143*VLOOKUP('Données projet'!$B$11,Paramètres!$A$1:$I$89,3,0)*VLOOKUP('Données projet'!$B$11,Paramètres!$A$1:$I$89,5,0)</f>
        <v>269.8175999999998</v>
      </c>
      <c r="BF143" s="13">
        <f t="shared" si="145"/>
        <v>64.810557882019467</v>
      </c>
      <c r="BG143" s="20">
        <f t="shared" si="115"/>
        <v>582.81070831118348</v>
      </c>
      <c r="BH143" s="59">
        <f t="shared" si="116"/>
        <v>876.14404164451685</v>
      </c>
      <c r="BI143" s="59">
        <f ca="1">AVERAGE(OFFSET($BH$3,0,0,'Données projet'!$E$11+1,1))-AVERAGE(OFFSET($H$3,0,0,'Données projet'!$E$11+1,1))</f>
        <v>376.58419691967526</v>
      </c>
      <c r="BJ143" s="59">
        <f t="shared" si="146"/>
        <v>365.76175372075869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13.774843573598488</v>
      </c>
      <c r="BQ143" s="21">
        <f>EXP(-LN(2)/25)*BQ142+(1-EXP(-LN(2)/25))/(LN(2)/25)*Calculateur!BL143*Calculateur!BN143*VLOOKUP('Données projet'!$B$11,Paramètres!$A$1:$I$89,3,0)*0.475*44/12</f>
        <v>1.0145588302077089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14.789402403806196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292.78079999999977</v>
      </c>
      <c r="CA143" s="13">
        <f t="shared" si="147"/>
        <v>69.660903052386217</v>
      </c>
      <c r="CB143" s="20">
        <f t="shared" si="118"/>
        <v>631.25263281623893</v>
      </c>
      <c r="CC143" s="59">
        <f t="shared" si="119"/>
        <v>924.58596614957219</v>
      </c>
      <c r="CD143" s="59">
        <f ca="1">AVERAGE(OFFSET($CC$3,0,0,'Données projet'!$E$12+1,1))-AVERAGE(OFFSET($H$3,0,0,'Données projet'!$E$12+1,1))</f>
        <v>405.40026823646758</v>
      </c>
      <c r="CE143" s="59">
        <f t="shared" si="148"/>
        <v>393.0787141050053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18.423256892348668</v>
      </c>
      <c r="CL143" s="21">
        <f>EXP(-LN(2)/25)*CL142+(1-EXP(-LN(2)/25))/(LN(2)/25)*Calculateur!CG143*Calculateur!CI143*VLOOKUP('Données projet'!$B$12,Paramètres!$A$1:$I$89,3,0)*0.475*44/12</f>
        <v>1.3569285096741408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19.780185402022809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259.99999999999983</v>
      </c>
      <c r="CU143" s="17">
        <f>CT143*VLOOKUP('Données projet'!$B$13,Paramètres!$A$1:$I$89,3,0)*VLOOKUP('Données projet'!$B$13,Paramètres!$A$1:$I$89,5,0)</f>
        <v>227.13599999999985</v>
      </c>
      <c r="CV143" s="13">
        <f t="shared" si="149"/>
        <v>55.662966886685133</v>
      </c>
      <c r="CW143" s="20">
        <f t="shared" si="121"/>
        <v>492.5415339943097</v>
      </c>
      <c r="CX143" s="59">
        <f t="shared" si="122"/>
        <v>785.87486732764296</v>
      </c>
      <c r="CY143" s="59">
        <f ca="1">AVERAGE(OFFSET($CX$3,0,0,'Données projet'!$E$13+1,1))-AVERAGE(OFFSET($H$3,0,0,'Données projet'!$E$13+1,1))</f>
        <v>381.72225529388083</v>
      </c>
      <c r="CZ143" s="59">
        <f t="shared" si="150"/>
        <v>360.05900046417361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17.100554807599423</v>
      </c>
      <c r="DG143" s="21">
        <f>EXP(-LN(2)/25)*DG142+(1-EXP(-LN(2)/25))/(LN(2)/25)*Calculateur!DB143*Calculateur!DD143*VLOOKUP('Données projet'!$B$13,Paramètres!$A$1:$I$89,3,0)*0.475*44/12</f>
        <v>4.4338930519442794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21.534447859543704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5.6843418860808015E-13</v>
      </c>
      <c r="DP143" s="17">
        <f>DO143*VLOOKUP('Données projet'!$B$14,Paramètres!$A$1:$I$89,3,0)*VLOOKUP('Données projet'!$B$14,Paramètres!$A$1:$I$89,5,0)</f>
        <v>5.4978954722173515E-13</v>
      </c>
      <c r="DQ143" s="13">
        <f t="shared" si="151"/>
        <v>6.7731340873355904E-12</v>
      </c>
      <c r="DR143" s="20">
        <f t="shared" si="124"/>
        <v>1.2754091996854009E-11</v>
      </c>
      <c r="DS143" s="59">
        <f t="shared" si="125"/>
        <v>293.33333333334605</v>
      </c>
      <c r="DT143" s="59">
        <f ca="1">AVERAGE(OFFSET($DS$3,0,0,'Données projet'!$E$14+1,1))-AVERAGE(OFFSET($H$3,0,0,'Données projet'!$E$14+1,1))</f>
        <v>407.73540492005355</v>
      </c>
      <c r="DU143" s="59">
        <f t="shared" si="152"/>
        <v>296.29416764204774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152.93823669145067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152.93823669145067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328.00000000000017</v>
      </c>
      <c r="EK143" s="17">
        <f>EJ143*VLOOKUP('Données projet'!$B$15,Paramètres!$A$1:$I$89,3,0)*VLOOKUP('Données projet'!$B$15,Paramètres!$A$1:$I$89,5,0)</f>
        <v>255.84000000000015</v>
      </c>
      <c r="EL143" s="13">
        <f t="shared" si="153"/>
        <v>61.834803371075886</v>
      </c>
      <c r="EM143" s="20">
        <f t="shared" si="127"/>
        <v>553.28361587129086</v>
      </c>
      <c r="EN143" s="59">
        <f t="shared" si="128"/>
        <v>846.61694920462423</v>
      </c>
      <c r="EO143" s="59">
        <f ca="1">AVERAGE(OFFSET($EN$3,0,0,'Données projet'!$E$15+1,1))-AVERAGE(OFFSET($H$3,0,0,'Données projet'!$E$15+1,1))</f>
        <v>288.80569134263209</v>
      </c>
      <c r="EP143" s="59">
        <f t="shared" si="154"/>
        <v>283.48738729114024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4.9819978640772709</v>
      </c>
      <c r="EW143" s="21">
        <f>EXP(-LN(2)/25)*EW142+(1-EXP(-LN(2)/25))/(LN(2)/25)*Calculateur!ER143*Calculateur!ET143*VLOOKUP('Données projet'!$B$15,Paramètres!$A$1:$I$89,3,0)*0.475*44/12</f>
        <v>2.7590606732367395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7.7410585373140108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293.33333333334531</v>
      </c>
      <c r="S144" s="59">
        <f ca="1">AVERAGE(OFFSET($R$3,0,0,'Données projet'!$E$9+1,1))-AVERAGE(OFFSET($H$3,0,0,'Données projet'!$E$9+1,1))</f>
        <v>384.05928630855732</v>
      </c>
      <c r="T144" s="59">
        <f t="shared" si="142"/>
        <v>279.93992813630513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-2.4158453015843406E-13</v>
      </c>
      <c r="AJ144" s="13">
        <f>AI144*VLOOKUP('Données projet'!$B$10,Paramètres!$A$1:$I$89,3,0)*VLOOKUP('Données projet'!$B$10,Paramètres!$A$1:$I$89,5,0)</f>
        <v>-2.0351080820546486E-13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312.48716825299158</v>
      </c>
      <c r="AO144" s="59">
        <f t="shared" si="144"/>
        <v>258.68277822755357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80.611982856483152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80.611982856483152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367.99999999999972</v>
      </c>
      <c r="BE144" s="13">
        <f>BD144*VLOOKUP('Données projet'!$B$11,Paramètres!$A$1:$I$89,3,0)*VLOOKUP('Données projet'!$B$11,Paramètres!$A$1:$I$89,5,0)</f>
        <v>269.8175999999998</v>
      </c>
      <c r="BF144" s="13">
        <f t="shared" si="145"/>
        <v>64.810557882019467</v>
      </c>
      <c r="BG144" s="20">
        <f t="shared" si="115"/>
        <v>582.81070831118348</v>
      </c>
      <c r="BH144" s="59">
        <f t="shared" si="116"/>
        <v>876.14404164451685</v>
      </c>
      <c r="BI144" s="59">
        <f ca="1">AVERAGE(OFFSET($BH$3,0,0,'Données projet'!$E$11+1,1))-AVERAGE(OFFSET($H$3,0,0,'Données projet'!$E$11+1,1))</f>
        <v>376.58419691967526</v>
      </c>
      <c r="BJ144" s="59">
        <f t="shared" si="146"/>
        <v>365.76175372075869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13.504727292945191</v>
      </c>
      <c r="BQ144" s="21">
        <f>EXP(-LN(2)/25)*BQ143+(1-EXP(-LN(2)/25))/(LN(2)/25)*Calculateur!BL144*Calculateur!BN144*VLOOKUP('Données projet'!$B$11,Paramètres!$A$1:$I$89,3,0)*0.475*44/12</f>
        <v>0.98681566564234902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14.491542958587539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292.78079999999977</v>
      </c>
      <c r="CA144" s="13">
        <f t="shared" si="147"/>
        <v>69.660903052386217</v>
      </c>
      <c r="CB144" s="20">
        <f t="shared" si="118"/>
        <v>631.25263281623893</v>
      </c>
      <c r="CC144" s="59">
        <f t="shared" si="119"/>
        <v>924.58596614957219</v>
      </c>
      <c r="CD144" s="59">
        <f ca="1">AVERAGE(OFFSET($CC$3,0,0,'Données projet'!$E$12+1,1))-AVERAGE(OFFSET($H$3,0,0,'Données projet'!$E$12+1,1))</f>
        <v>405.40026823646758</v>
      </c>
      <c r="CE144" s="59">
        <f t="shared" si="148"/>
        <v>393.0787141050053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18.061988061766847</v>
      </c>
      <c r="CL144" s="21">
        <f>EXP(-LN(2)/25)*CL143+(1-EXP(-LN(2)/25))/(LN(2)/25)*Calculateur!CG144*Calculateur!CI144*VLOOKUP('Données projet'!$B$12,Paramètres!$A$1:$I$89,3,0)*0.475*44/12</f>
        <v>1.3198232282193325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19.381811289986178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259.99999999999983</v>
      </c>
      <c r="CU144" s="17">
        <f>CT144*VLOOKUP('Données projet'!$B$13,Paramètres!$A$1:$I$89,3,0)*VLOOKUP('Données projet'!$B$13,Paramètres!$A$1:$I$89,5,0)</f>
        <v>227.13599999999985</v>
      </c>
      <c r="CV144" s="13">
        <f t="shared" si="149"/>
        <v>55.662966886685133</v>
      </c>
      <c r="CW144" s="20">
        <f t="shared" si="121"/>
        <v>492.5415339943097</v>
      </c>
      <c r="CX144" s="59">
        <f t="shared" si="122"/>
        <v>785.87486732764296</v>
      </c>
      <c r="CY144" s="59">
        <f ca="1">AVERAGE(OFFSET($CX$3,0,0,'Données projet'!$E$13+1,1))-AVERAGE(OFFSET($H$3,0,0,'Données projet'!$E$13+1,1))</f>
        <v>381.72225529388083</v>
      </c>
      <c r="CZ144" s="59">
        <f t="shared" si="150"/>
        <v>360.05900046417361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16.765223358130925</v>
      </c>
      <c r="DG144" s="21">
        <f>EXP(-LN(2)/25)*DG143+(1-EXP(-LN(2)/25))/(LN(2)/25)*Calculateur!DB144*Calculateur!DD144*VLOOKUP('Données projet'!$B$13,Paramètres!$A$1:$I$89,3,0)*0.475*44/12</f>
        <v>4.3126480132705609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21.077871371401486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5.6843418860808015E-13</v>
      </c>
      <c r="DP144" s="17">
        <f>DO144*VLOOKUP('Données projet'!$B$14,Paramètres!$A$1:$I$89,3,0)*VLOOKUP('Données projet'!$B$14,Paramètres!$A$1:$I$89,5,0)</f>
        <v>5.4978954722173515E-13</v>
      </c>
      <c r="DQ144" s="13">
        <f t="shared" si="151"/>
        <v>6.7731340873355904E-12</v>
      </c>
      <c r="DR144" s="20">
        <f t="shared" si="124"/>
        <v>1.2754091996854009E-11</v>
      </c>
      <c r="DS144" s="59">
        <f t="shared" si="125"/>
        <v>293.33333333334605</v>
      </c>
      <c r="DT144" s="59">
        <f ca="1">AVERAGE(OFFSET($DS$3,0,0,'Données projet'!$E$14+1,1))-AVERAGE(OFFSET($H$3,0,0,'Données projet'!$E$14+1,1))</f>
        <v>407.73540492005355</v>
      </c>
      <c r="DU144" s="59">
        <f t="shared" si="152"/>
        <v>296.29416764204774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149.93921115304477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149.93921115304477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328.00000000000017</v>
      </c>
      <c r="EK144" s="17">
        <f>EJ144*VLOOKUP('Données projet'!$B$15,Paramètres!$A$1:$I$89,3,0)*VLOOKUP('Données projet'!$B$15,Paramètres!$A$1:$I$89,5,0)</f>
        <v>255.84000000000015</v>
      </c>
      <c r="EL144" s="13">
        <f t="shared" si="153"/>
        <v>61.834803371075886</v>
      </c>
      <c r="EM144" s="20">
        <f t="shared" si="127"/>
        <v>553.28361587129086</v>
      </c>
      <c r="EN144" s="59">
        <f t="shared" si="128"/>
        <v>846.61694920462423</v>
      </c>
      <c r="EO144" s="59">
        <f ca="1">AVERAGE(OFFSET($EN$3,0,0,'Données projet'!$E$15+1,1))-AVERAGE(OFFSET($H$3,0,0,'Données projet'!$E$15+1,1))</f>
        <v>288.80569134263209</v>
      </c>
      <c r="EP144" s="59">
        <f t="shared" si="154"/>
        <v>283.48738729114024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4.8843039246813644</v>
      </c>
      <c r="EW144" s="21">
        <f>EXP(-LN(2)/25)*EW143+(1-EXP(-LN(2)/25))/(LN(2)/25)*Calculateur!ER144*Calculateur!ET144*VLOOKUP('Données projet'!$B$15,Paramètres!$A$1:$I$89,3,0)*0.475*44/12</f>
        <v>2.683614014034386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7.56791793871575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293.33333333334531</v>
      </c>
      <c r="S145" s="59">
        <f ca="1">AVERAGE(OFFSET($R$3,0,0,'Données projet'!$E$9+1,1))-AVERAGE(OFFSET($H$3,0,0,'Données projet'!$E$9+1,1))</f>
        <v>384.05928630855732</v>
      </c>
      <c r="T145" s="59">
        <f t="shared" si="142"/>
        <v>279.93992813630513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-2.4158453015843406E-13</v>
      </c>
      <c r="AJ145" s="13">
        <f>AI145*VLOOKUP('Données projet'!$B$10,Paramètres!$A$1:$I$89,3,0)*VLOOKUP('Données projet'!$B$10,Paramètres!$A$1:$I$89,5,0)</f>
        <v>-2.0351080820546486E-13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312.48716825299158</v>
      </c>
      <c r="AO145" s="59">
        <f t="shared" si="144"/>
        <v>258.68277822755357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79.031231041122084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79.031231041122084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367.99999999999972</v>
      </c>
      <c r="BE145" s="13">
        <f>BD145*VLOOKUP('Données projet'!$B$11,Paramètres!$A$1:$I$89,3,0)*VLOOKUP('Données projet'!$B$11,Paramètres!$A$1:$I$89,5,0)</f>
        <v>269.8175999999998</v>
      </c>
      <c r="BF145" s="13">
        <f t="shared" si="145"/>
        <v>64.810557882019467</v>
      </c>
      <c r="BG145" s="20">
        <f t="shared" si="115"/>
        <v>582.81070831118348</v>
      </c>
      <c r="BH145" s="59">
        <f t="shared" si="116"/>
        <v>876.14404164451685</v>
      </c>
      <c r="BI145" s="59">
        <f ca="1">AVERAGE(OFFSET($BH$3,0,0,'Données projet'!$E$11+1,1))-AVERAGE(OFFSET($H$3,0,0,'Données projet'!$E$11+1,1))</f>
        <v>376.58419691967526</v>
      </c>
      <c r="BJ145" s="59">
        <f t="shared" si="146"/>
        <v>365.76175372075869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13.239907827800842</v>
      </c>
      <c r="BQ145" s="21">
        <f>EXP(-LN(2)/25)*BQ144+(1-EXP(-LN(2)/25))/(LN(2)/25)*Calculateur!BL145*Calculateur!BN145*VLOOKUP('Données projet'!$B$11,Paramètres!$A$1:$I$89,3,0)*0.475*44/12</f>
        <v>0.95983113937097853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14.19973896717182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292.78079999999977</v>
      </c>
      <c r="CA145" s="13">
        <f t="shared" si="147"/>
        <v>69.660903052386217</v>
      </c>
      <c r="CB145" s="20">
        <f t="shared" si="118"/>
        <v>631.25263281623893</v>
      </c>
      <c r="CC145" s="59">
        <f t="shared" si="119"/>
        <v>924.58596614957219</v>
      </c>
      <c r="CD145" s="59">
        <f ca="1">AVERAGE(OFFSET($CC$3,0,0,'Données projet'!$E$12+1,1))-AVERAGE(OFFSET($H$3,0,0,'Données projet'!$E$12+1,1))</f>
        <v>405.40026823646758</v>
      </c>
      <c r="CE145" s="59">
        <f t="shared" si="148"/>
        <v>393.0787141050053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17.707803492600505</v>
      </c>
      <c r="CL145" s="21">
        <f>EXP(-LN(2)/25)*CL144+(1-EXP(-LN(2)/25))/(LN(2)/25)*Calculateur!CG145*Calculateur!CI145*VLOOKUP('Données projet'!$B$12,Paramètres!$A$1:$I$89,3,0)*0.475*44/12</f>
        <v>1.2837325926371879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18.991536085237691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259.99999999999983</v>
      </c>
      <c r="CU145" s="17">
        <f>CT145*VLOOKUP('Données projet'!$B$13,Paramètres!$A$1:$I$89,3,0)*VLOOKUP('Données projet'!$B$13,Paramètres!$A$1:$I$89,5,0)</f>
        <v>227.13599999999985</v>
      </c>
      <c r="CV145" s="13">
        <f t="shared" si="149"/>
        <v>55.662966886685133</v>
      </c>
      <c r="CW145" s="20">
        <f t="shared" si="121"/>
        <v>492.5415339943097</v>
      </c>
      <c r="CX145" s="59">
        <f t="shared" si="122"/>
        <v>785.87486732764296</v>
      </c>
      <c r="CY145" s="59">
        <f ca="1">AVERAGE(OFFSET($CX$3,0,0,'Données projet'!$E$13+1,1))-AVERAGE(OFFSET($H$3,0,0,'Données projet'!$E$13+1,1))</f>
        <v>381.72225529388083</v>
      </c>
      <c r="CZ145" s="59">
        <f t="shared" si="150"/>
        <v>360.05900046417361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16.436467553854513</v>
      </c>
      <c r="DG145" s="21">
        <f>EXP(-LN(2)/25)*DG144+(1-EXP(-LN(2)/25))/(LN(2)/25)*Calculateur!DB145*Calculateur!DD145*VLOOKUP('Données projet'!$B$13,Paramètres!$A$1:$I$89,3,0)*0.475*44/12</f>
        <v>4.194718426555375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20.631185980409889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5.6843418860808015E-13</v>
      </c>
      <c r="DP145" s="17">
        <f>DO145*VLOOKUP('Données projet'!$B$14,Paramètres!$A$1:$I$89,3,0)*VLOOKUP('Données projet'!$B$14,Paramètres!$A$1:$I$89,5,0)</f>
        <v>5.4978954722173515E-13</v>
      </c>
      <c r="DQ145" s="13">
        <f t="shared" si="151"/>
        <v>6.7731340873355904E-12</v>
      </c>
      <c r="DR145" s="20">
        <f t="shared" si="124"/>
        <v>1.2754091996854009E-11</v>
      </c>
      <c r="DS145" s="59">
        <f t="shared" si="125"/>
        <v>293.33333333334605</v>
      </c>
      <c r="DT145" s="59">
        <f ca="1">AVERAGE(OFFSET($DS$3,0,0,'Données projet'!$E$14+1,1))-AVERAGE(OFFSET($H$3,0,0,'Données projet'!$E$14+1,1))</f>
        <v>407.73540492005355</v>
      </c>
      <c r="DU145" s="59">
        <f t="shared" si="152"/>
        <v>296.29416764204774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146.99899467622205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146.99899467622205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328.00000000000017</v>
      </c>
      <c r="EK145" s="17">
        <f>EJ145*VLOOKUP('Données projet'!$B$15,Paramètres!$A$1:$I$89,3,0)*VLOOKUP('Données projet'!$B$15,Paramètres!$A$1:$I$89,5,0)</f>
        <v>255.84000000000015</v>
      </c>
      <c r="EL145" s="13">
        <f t="shared" si="153"/>
        <v>61.834803371075886</v>
      </c>
      <c r="EM145" s="20">
        <f t="shared" si="127"/>
        <v>553.28361587129086</v>
      </c>
      <c r="EN145" s="59">
        <f t="shared" si="128"/>
        <v>846.61694920462423</v>
      </c>
      <c r="EO145" s="59">
        <f ca="1">AVERAGE(OFFSET($EN$3,0,0,'Données projet'!$E$15+1,1))-AVERAGE(OFFSET($H$3,0,0,'Données projet'!$E$15+1,1))</f>
        <v>288.80569134263209</v>
      </c>
      <c r="EP145" s="59">
        <f t="shared" si="154"/>
        <v>283.48738729114024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4.7885257038495919</v>
      </c>
      <c r="EW145" s="21">
        <f>EXP(-LN(2)/25)*EW144+(1-EXP(-LN(2)/25))/(LN(2)/25)*Calculateur!ER145*Calculateur!ET145*VLOOKUP('Données projet'!$B$15,Paramètres!$A$1:$I$89,3,0)*0.475*44/12</f>
        <v>2.6102304476954883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7.3987561515450802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293.33333333334531</v>
      </c>
      <c r="S146" s="59">
        <f ca="1">AVERAGE(OFFSET($R$3,0,0,'Données projet'!$E$9+1,1))-AVERAGE(OFFSET($H$3,0,0,'Données projet'!$E$9+1,1))</f>
        <v>384.05928630855732</v>
      </c>
      <c r="T146" s="59">
        <f t="shared" si="142"/>
        <v>279.93992813630513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-2.4158453015843406E-13</v>
      </c>
      <c r="AJ146" s="13">
        <f>AI146*VLOOKUP('Données projet'!$B$10,Paramètres!$A$1:$I$89,3,0)*VLOOKUP('Données projet'!$B$10,Paramètres!$A$1:$I$89,5,0)</f>
        <v>-2.0351080820546486E-13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312.48716825299158</v>
      </c>
      <c r="AO146" s="59">
        <f t="shared" si="144"/>
        <v>258.68277822755357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77.48147680469684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77.48147680469684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367.99999999999972</v>
      </c>
      <c r="BE146" s="13">
        <f>BD146*VLOOKUP('Données projet'!$B$11,Paramètres!$A$1:$I$89,3,0)*VLOOKUP('Données projet'!$B$11,Paramètres!$A$1:$I$89,5,0)</f>
        <v>269.8175999999998</v>
      </c>
      <c r="BF146" s="13">
        <f t="shared" si="145"/>
        <v>64.810557882019467</v>
      </c>
      <c r="BG146" s="20">
        <f t="shared" si="115"/>
        <v>582.81070831118348</v>
      </c>
      <c r="BH146" s="59">
        <f t="shared" si="116"/>
        <v>876.14404164451685</v>
      </c>
      <c r="BI146" s="59">
        <f ca="1">AVERAGE(OFFSET($BH$3,0,0,'Données projet'!$E$11+1,1))-AVERAGE(OFFSET($H$3,0,0,'Données projet'!$E$11+1,1))</f>
        <v>376.58419691967526</v>
      </c>
      <c r="BJ146" s="59">
        <f t="shared" si="146"/>
        <v>365.76175372075869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12.980281310844049</v>
      </c>
      <c r="BQ146" s="21">
        <f>EXP(-LN(2)/25)*BQ145+(1-EXP(-LN(2)/25))/(LN(2)/25)*Calculateur!BL146*Calculateur!BN146*VLOOKUP('Données projet'!$B$11,Paramètres!$A$1:$I$89,3,0)*0.475*44/12</f>
        <v>0.93358450638955326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13.913865817233603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292.78079999999977</v>
      </c>
      <c r="CA146" s="13">
        <f t="shared" si="147"/>
        <v>69.660903052386217</v>
      </c>
      <c r="CB146" s="20">
        <f t="shared" si="118"/>
        <v>631.25263281623893</v>
      </c>
      <c r="CC146" s="59">
        <f t="shared" si="119"/>
        <v>924.58596614957219</v>
      </c>
      <c r="CD146" s="59">
        <f ca="1">AVERAGE(OFFSET($CC$3,0,0,'Données projet'!$E$12+1,1))-AVERAGE(OFFSET($H$3,0,0,'Données projet'!$E$12+1,1))</f>
        <v>405.40026823646758</v>
      </c>
      <c r="CE146" s="59">
        <f t="shared" si="148"/>
        <v>393.0787141050053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17.360564266804261</v>
      </c>
      <c r="CL146" s="21">
        <f>EXP(-LN(2)/25)*CL145+(1-EXP(-LN(2)/25))/(LN(2)/25)*Calculateur!CG146*Calculateur!CI146*VLOOKUP('Données projet'!$B$12,Paramètres!$A$1:$I$89,3,0)*0.475*44/12</f>
        <v>1.2486288573829609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18.609193124187222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259.99999999999983</v>
      </c>
      <c r="CU146" s="17">
        <f>CT146*VLOOKUP('Données projet'!$B$13,Paramètres!$A$1:$I$89,3,0)*VLOOKUP('Données projet'!$B$13,Paramètres!$A$1:$I$89,5,0)</f>
        <v>227.13599999999985</v>
      </c>
      <c r="CV146" s="13">
        <f t="shared" si="149"/>
        <v>55.662966886685133</v>
      </c>
      <c r="CW146" s="20">
        <f t="shared" si="121"/>
        <v>492.5415339943097</v>
      </c>
      <c r="CX146" s="59">
        <f t="shared" si="122"/>
        <v>785.87486732764296</v>
      </c>
      <c r="CY146" s="59">
        <f ca="1">AVERAGE(OFFSET($CX$3,0,0,'Données projet'!$E$13+1,1))-AVERAGE(OFFSET($H$3,0,0,'Données projet'!$E$13+1,1))</f>
        <v>381.72225529388083</v>
      </c>
      <c r="CZ146" s="59">
        <f t="shared" si="150"/>
        <v>360.05900046417361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16.114158450378721</v>
      </c>
      <c r="DG146" s="21">
        <f>EXP(-LN(2)/25)*DG145+(1-EXP(-LN(2)/25))/(LN(2)/25)*Calculateur!DB146*Calculateur!DD146*VLOOKUP('Données projet'!$B$13,Paramètres!$A$1:$I$89,3,0)*0.475*44/12</f>
        <v>4.080013630590563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20.194172080969285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5.6843418860808015E-13</v>
      </c>
      <c r="DP146" s="17">
        <f>DO146*VLOOKUP('Données projet'!$B$14,Paramètres!$A$1:$I$89,3,0)*VLOOKUP('Données projet'!$B$14,Paramètres!$A$1:$I$89,5,0)</f>
        <v>5.4978954722173515E-13</v>
      </c>
      <c r="DQ146" s="13">
        <f t="shared" si="151"/>
        <v>6.7731340873355904E-12</v>
      </c>
      <c r="DR146" s="20">
        <f t="shared" si="124"/>
        <v>1.2754091996854009E-11</v>
      </c>
      <c r="DS146" s="59">
        <f t="shared" si="125"/>
        <v>293.33333333334605</v>
      </c>
      <c r="DT146" s="59">
        <f ca="1">AVERAGE(OFFSET($DS$3,0,0,'Données projet'!$E$14+1,1))-AVERAGE(OFFSET($H$3,0,0,'Données projet'!$E$14+1,1))</f>
        <v>407.73540492005355</v>
      </c>
      <c r="DU146" s="59">
        <f t="shared" si="152"/>
        <v>296.29416764204774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144.11643405115484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144.11643405115484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328.00000000000017</v>
      </c>
      <c r="EK146" s="17">
        <f>EJ146*VLOOKUP('Données projet'!$B$15,Paramètres!$A$1:$I$89,3,0)*VLOOKUP('Données projet'!$B$15,Paramètres!$A$1:$I$89,5,0)</f>
        <v>255.84000000000015</v>
      </c>
      <c r="EL146" s="13">
        <f t="shared" si="153"/>
        <v>61.834803371075886</v>
      </c>
      <c r="EM146" s="20">
        <f t="shared" si="127"/>
        <v>553.28361587129086</v>
      </c>
      <c r="EN146" s="59">
        <f t="shared" si="128"/>
        <v>846.61694920462423</v>
      </c>
      <c r="EO146" s="59">
        <f ca="1">AVERAGE(OFFSET($EN$3,0,0,'Données projet'!$E$15+1,1))-AVERAGE(OFFSET($H$3,0,0,'Données projet'!$E$15+1,1))</f>
        <v>288.80569134263209</v>
      </c>
      <c r="EP146" s="59">
        <f t="shared" si="154"/>
        <v>283.48738729114024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4.6946256355093841</v>
      </c>
      <c r="EW146" s="21">
        <f>EXP(-LN(2)/25)*EW145+(1-EXP(-LN(2)/25))/(LN(2)/25)*Calculateur!ER146*Calculateur!ET146*VLOOKUP('Données projet'!$B$15,Paramètres!$A$1:$I$89,3,0)*0.475*44/12</f>
        <v>2.5388535588372019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7.2334791943465859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293.33333333334531</v>
      </c>
      <c r="S147" s="59">
        <f ca="1">AVERAGE(OFFSET($R$3,0,0,'Données projet'!$E$9+1,1))-AVERAGE(OFFSET($H$3,0,0,'Données projet'!$E$9+1,1))</f>
        <v>384.05928630855732</v>
      </c>
      <c r="T147" s="59">
        <f t="shared" si="142"/>
        <v>279.93992813630513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-2.4158453015843406E-13</v>
      </c>
      <c r="AJ147" s="13">
        <f>AI147*VLOOKUP('Données projet'!$B$10,Paramètres!$A$1:$I$89,3,0)*VLOOKUP('Données projet'!$B$10,Paramètres!$A$1:$I$89,5,0)</f>
        <v>-2.0351080820546486E-13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312.48716825299158</v>
      </c>
      <c r="AO147" s="59">
        <f t="shared" si="144"/>
        <v>258.68277822755357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75.962112303591141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75.962112303591141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367.99999999999972</v>
      </c>
      <c r="BE147" s="13">
        <f>BD147*VLOOKUP('Données projet'!$B$11,Paramètres!$A$1:$I$89,3,0)*VLOOKUP('Données projet'!$B$11,Paramètres!$A$1:$I$89,5,0)</f>
        <v>269.8175999999998</v>
      </c>
      <c r="BF147" s="13">
        <f t="shared" si="145"/>
        <v>64.810557882019467</v>
      </c>
      <c r="BG147" s="20">
        <f t="shared" si="115"/>
        <v>582.81070831118348</v>
      </c>
      <c r="BH147" s="59">
        <f t="shared" si="116"/>
        <v>876.14404164451685</v>
      </c>
      <c r="BI147" s="59">
        <f ca="1">AVERAGE(OFFSET($BH$3,0,0,'Données projet'!$E$11+1,1))-AVERAGE(OFFSET($H$3,0,0,'Données projet'!$E$11+1,1))</f>
        <v>376.58419691967526</v>
      </c>
      <c r="BJ147" s="59">
        <f t="shared" si="146"/>
        <v>365.76175372075869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12.725745911528239</v>
      </c>
      <c r="BQ147" s="21">
        <f>EXP(-LN(2)/25)*BQ146+(1-EXP(-LN(2)/25))/(LN(2)/25)*Calculateur!BL147*Calculateur!BN147*VLOOKUP('Données projet'!$B$11,Paramètres!$A$1:$I$89,3,0)*0.475*44/12</f>
        <v>0.90805558896725547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13.633801500495494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292.78079999999977</v>
      </c>
      <c r="CA147" s="13">
        <f t="shared" si="147"/>
        <v>69.660903052386217</v>
      </c>
      <c r="CB147" s="20">
        <f t="shared" si="118"/>
        <v>631.25263281623893</v>
      </c>
      <c r="CC147" s="59">
        <f t="shared" si="119"/>
        <v>924.58596614957219</v>
      </c>
      <c r="CD147" s="59">
        <f ca="1">AVERAGE(OFFSET($CC$3,0,0,'Données projet'!$E$12+1,1))-AVERAGE(OFFSET($H$3,0,0,'Données projet'!$E$12+1,1))</f>
        <v>405.40026823646758</v>
      </c>
      <c r="CE147" s="59">
        <f t="shared" si="148"/>
        <v>393.0787141050053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17.020134190430866</v>
      </c>
      <c r="CL147" s="21">
        <f>EXP(-LN(2)/25)*CL146+(1-EXP(-LN(2)/25))/(LN(2)/25)*Calculateur!CG147*Calculateur!CI147*VLOOKUP('Données projet'!$B$12,Paramètres!$A$1:$I$89,3,0)*0.475*44/12</f>
        <v>1.2144850356152861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18.234619226046153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259.99999999999983</v>
      </c>
      <c r="CU147" s="17">
        <f>CT147*VLOOKUP('Données projet'!$B$13,Paramètres!$A$1:$I$89,3,0)*VLOOKUP('Données projet'!$B$13,Paramètres!$A$1:$I$89,5,0)</f>
        <v>227.13599999999985</v>
      </c>
      <c r="CV147" s="13">
        <f t="shared" si="149"/>
        <v>55.662966886685133</v>
      </c>
      <c r="CW147" s="20">
        <f t="shared" si="121"/>
        <v>492.5415339943097</v>
      </c>
      <c r="CX147" s="59">
        <f t="shared" si="122"/>
        <v>785.87486732764296</v>
      </c>
      <c r="CY147" s="59">
        <f ca="1">AVERAGE(OFFSET($CX$3,0,0,'Données projet'!$E$13+1,1))-AVERAGE(OFFSET($H$3,0,0,'Données projet'!$E$13+1,1))</f>
        <v>381.72225529388083</v>
      </c>
      <c r="CZ147" s="59">
        <f t="shared" si="150"/>
        <v>360.05900046417361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15.798169631832948</v>
      </c>
      <c r="DG147" s="21">
        <f>EXP(-LN(2)/25)*DG146+(1-EXP(-LN(2)/25))/(LN(2)/25)*Calculateur!DB147*Calculateur!DD147*VLOOKUP('Données projet'!$B$13,Paramètres!$A$1:$I$89,3,0)*0.475*44/12</f>
        <v>3.9684454433034722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19.766615075136421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5.6843418860808015E-13</v>
      </c>
      <c r="DP147" s="17">
        <f>DO147*VLOOKUP('Données projet'!$B$14,Paramètres!$A$1:$I$89,3,0)*VLOOKUP('Données projet'!$B$14,Paramètres!$A$1:$I$89,5,0)</f>
        <v>5.4978954722173515E-13</v>
      </c>
      <c r="DQ147" s="13">
        <f t="shared" si="151"/>
        <v>6.7731340873355904E-12</v>
      </c>
      <c r="DR147" s="20">
        <f t="shared" si="124"/>
        <v>1.2754091996854009E-11</v>
      </c>
      <c r="DS147" s="59">
        <f t="shared" si="125"/>
        <v>293.33333333334605</v>
      </c>
      <c r="DT147" s="59">
        <f ca="1">AVERAGE(OFFSET($DS$3,0,0,'Données projet'!$E$14+1,1))-AVERAGE(OFFSET($H$3,0,0,'Données projet'!$E$14+1,1))</f>
        <v>407.73540492005355</v>
      </c>
      <c r="DU147" s="59">
        <f t="shared" si="152"/>
        <v>296.29416764204774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141.29039868175684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141.29039868175684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328.00000000000017</v>
      </c>
      <c r="EK147" s="17">
        <f>EJ147*VLOOKUP('Données projet'!$B$15,Paramètres!$A$1:$I$89,3,0)*VLOOKUP('Données projet'!$B$15,Paramètres!$A$1:$I$89,5,0)</f>
        <v>255.84000000000015</v>
      </c>
      <c r="EL147" s="13">
        <f t="shared" si="153"/>
        <v>61.834803371075886</v>
      </c>
      <c r="EM147" s="20">
        <f t="shared" si="127"/>
        <v>553.28361587129086</v>
      </c>
      <c r="EN147" s="59">
        <f t="shared" si="128"/>
        <v>846.61694920462423</v>
      </c>
      <c r="EO147" s="59">
        <f ca="1">AVERAGE(OFFSET($EN$3,0,0,'Données projet'!$E$15+1,1))-AVERAGE(OFFSET($H$3,0,0,'Données projet'!$E$15+1,1))</f>
        <v>288.80569134263209</v>
      </c>
      <c r="EP147" s="59">
        <f t="shared" si="154"/>
        <v>283.48738729114024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4.6025668902359413</v>
      </c>
      <c r="EW147" s="21">
        <f>EXP(-LN(2)/25)*EW146+(1-EXP(-LN(2)/25))/(LN(2)/25)*Calculateur!ER147*Calculateur!ET147*VLOOKUP('Données projet'!$B$15,Paramètres!$A$1:$I$89,3,0)*0.475*44/12</f>
        <v>2.4694284747582924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7.0719953649942333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293.33333333334531</v>
      </c>
      <c r="S148" s="59">
        <f ca="1">AVERAGE(OFFSET($R$3,0,0,'Données projet'!$E$9+1,1))-AVERAGE(OFFSET($H$3,0,0,'Données projet'!$E$9+1,1))</f>
        <v>384.05928630855732</v>
      </c>
      <c r="T148" s="59">
        <f t="shared" si="142"/>
        <v>279.93992813630513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-2.4158453015843406E-13</v>
      </c>
      <c r="AJ148" s="13">
        <f>AI148*VLOOKUP('Données projet'!$B$10,Paramètres!$A$1:$I$89,3,0)*VLOOKUP('Données projet'!$B$10,Paramètres!$A$1:$I$89,5,0)</f>
        <v>-2.0351080820546486E-13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312.48716825299158</v>
      </c>
      <c r="AO148" s="59">
        <f t="shared" si="144"/>
        <v>258.68277822755357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74.472541613631293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74.472541613631293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367.99999999999972</v>
      </c>
      <c r="BE148" s="13">
        <f>BD148*VLOOKUP('Données projet'!$B$11,Paramètres!$A$1:$I$89,3,0)*VLOOKUP('Données projet'!$B$11,Paramètres!$A$1:$I$89,5,0)</f>
        <v>269.8175999999998</v>
      </c>
      <c r="BF148" s="13">
        <f t="shared" si="145"/>
        <v>64.810557882019467</v>
      </c>
      <c r="BG148" s="20">
        <f t="shared" si="115"/>
        <v>582.81070831118348</v>
      </c>
      <c r="BH148" s="59">
        <f t="shared" si="116"/>
        <v>876.14404164451685</v>
      </c>
      <c r="BI148" s="59">
        <f ca="1">AVERAGE(OFFSET($BH$3,0,0,'Données projet'!$E$11+1,1))-AVERAGE(OFFSET($H$3,0,0,'Données projet'!$E$11+1,1))</f>
        <v>376.58419691967526</v>
      </c>
      <c r="BJ148" s="59">
        <f t="shared" si="146"/>
        <v>365.76175372075869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12.47620179614175</v>
      </c>
      <c r="BQ148" s="21">
        <f>EXP(-LN(2)/25)*BQ147+(1-EXP(-LN(2)/25))/(LN(2)/25)*Calculateur!BL148*Calculateur!BN148*VLOOKUP('Données projet'!$B$11,Paramètres!$A$1:$I$89,3,0)*0.475*44/12</f>
        <v>0.88322476113437787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13.359426557276127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292.78079999999977</v>
      </c>
      <c r="CA148" s="13">
        <f t="shared" si="147"/>
        <v>69.660903052386217</v>
      </c>
      <c r="CB148" s="20">
        <f t="shared" si="118"/>
        <v>631.25263281623893</v>
      </c>
      <c r="CC148" s="59">
        <f t="shared" si="119"/>
        <v>924.58596614957219</v>
      </c>
      <c r="CD148" s="59">
        <f ca="1">AVERAGE(OFFSET($CC$3,0,0,'Données projet'!$E$12+1,1))-AVERAGE(OFFSET($H$3,0,0,'Données projet'!$E$12+1,1))</f>
        <v>405.40026823646758</v>
      </c>
      <c r="CE148" s="59">
        <f t="shared" si="148"/>
        <v>393.0787141050053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16.686379740213308</v>
      </c>
      <c r="CL148" s="21">
        <f>EXP(-LN(2)/25)*CL147+(1-EXP(-LN(2)/25))/(LN(2)/25)*Calculateur!CG148*Calculateur!CI148*VLOOKUP('Données projet'!$B$12,Paramètres!$A$1:$I$89,3,0)*0.475*44/12</f>
        <v>1.1812748784493938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17.867654618662701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259.99999999999983</v>
      </c>
      <c r="CU148" s="17">
        <f>CT148*VLOOKUP('Données projet'!$B$13,Paramètres!$A$1:$I$89,3,0)*VLOOKUP('Données projet'!$B$13,Paramètres!$A$1:$I$89,5,0)</f>
        <v>227.13599999999985</v>
      </c>
      <c r="CV148" s="13">
        <f t="shared" si="149"/>
        <v>55.662966886685133</v>
      </c>
      <c r="CW148" s="20">
        <f t="shared" si="121"/>
        <v>492.5415339943097</v>
      </c>
      <c r="CX148" s="59">
        <f t="shared" si="122"/>
        <v>785.87486732764296</v>
      </c>
      <c r="CY148" s="59">
        <f ca="1">AVERAGE(OFFSET($CX$3,0,0,'Données projet'!$E$13+1,1))-AVERAGE(OFFSET($H$3,0,0,'Données projet'!$E$13+1,1))</f>
        <v>381.72225529388083</v>
      </c>
      <c r="CZ148" s="59">
        <f t="shared" si="150"/>
        <v>360.05900046417361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15.48837716128471</v>
      </c>
      <c r="DG148" s="21">
        <f>EXP(-LN(2)/25)*DG147+(1-EXP(-LN(2)/25))/(LN(2)/25)*Calculateur!DB148*Calculateur!DD148*VLOOKUP('Données projet'!$B$13,Paramètres!$A$1:$I$89,3,0)*0.475*44/12</f>
        <v>3.859928093964863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19.348305255249574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5.6843418860808015E-13</v>
      </c>
      <c r="DP148" s="17">
        <f>DO148*VLOOKUP('Données projet'!$B$14,Paramètres!$A$1:$I$89,3,0)*VLOOKUP('Données projet'!$B$14,Paramètres!$A$1:$I$89,5,0)</f>
        <v>5.4978954722173515E-13</v>
      </c>
      <c r="DQ148" s="13">
        <f t="shared" si="151"/>
        <v>6.7731340873355904E-12</v>
      </c>
      <c r="DR148" s="20">
        <f t="shared" si="124"/>
        <v>1.2754091996854009E-11</v>
      </c>
      <c r="DS148" s="59">
        <f t="shared" si="125"/>
        <v>293.33333333334605</v>
      </c>
      <c r="DT148" s="59">
        <f ca="1">AVERAGE(OFFSET($DS$3,0,0,'Données projet'!$E$14+1,1))-AVERAGE(OFFSET($H$3,0,0,'Données projet'!$E$14+1,1))</f>
        <v>407.73540492005355</v>
      </c>
      <c r="DU148" s="59">
        <f t="shared" si="152"/>
        <v>296.29416764204774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138.51978014224136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138.51978014224136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328.00000000000017</v>
      </c>
      <c r="EK148" s="17">
        <f>EJ148*VLOOKUP('Données projet'!$B$15,Paramètres!$A$1:$I$89,3,0)*VLOOKUP('Données projet'!$B$15,Paramètres!$A$1:$I$89,5,0)</f>
        <v>255.84000000000015</v>
      </c>
      <c r="EL148" s="13">
        <f t="shared" si="153"/>
        <v>61.834803371075886</v>
      </c>
      <c r="EM148" s="20">
        <f t="shared" si="127"/>
        <v>553.28361587129086</v>
      </c>
      <c r="EN148" s="59">
        <f t="shared" si="128"/>
        <v>846.61694920462423</v>
      </c>
      <c r="EO148" s="59">
        <f ca="1">AVERAGE(OFFSET($EN$3,0,0,'Données projet'!$E$15+1,1))-AVERAGE(OFFSET($H$3,0,0,'Données projet'!$E$15+1,1))</f>
        <v>288.80569134263209</v>
      </c>
      <c r="EP148" s="59">
        <f t="shared" si="154"/>
        <v>283.48738729114024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4.5123133608070205</v>
      </c>
      <c r="EW148" s="21">
        <f>EXP(-LN(2)/25)*EW147+(1-EXP(-LN(2)/25))/(LN(2)/25)*Calculateur!ER148*Calculateur!ET148*VLOOKUP('Données projet'!$B$15,Paramètres!$A$1:$I$89,3,0)*0.475*44/12</f>
        <v>2.4019018232544274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6.9142151840614474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293.33333333334531</v>
      </c>
      <c r="S149" s="59">
        <f ca="1">AVERAGE(OFFSET($R$3,0,0,'Données projet'!$E$9+1,1))-AVERAGE(OFFSET($H$3,0,0,'Données projet'!$E$9+1,1))</f>
        <v>384.05928630855732</v>
      </c>
      <c r="T149" s="59">
        <f t="shared" si="142"/>
        <v>279.93992813630513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-2.4158453015843406E-13</v>
      </c>
      <c r="AJ149" s="13">
        <f>AI149*VLOOKUP('Données projet'!$B$10,Paramètres!$A$1:$I$89,3,0)*VLOOKUP('Données projet'!$B$10,Paramètres!$A$1:$I$89,5,0)</f>
        <v>-2.0351080820546486E-13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312.48716825299158</v>
      </c>
      <c r="AO149" s="59">
        <f t="shared" si="144"/>
        <v>258.68277822755357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73.012180496353139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73.012180496353139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367.99999999999972</v>
      </c>
      <c r="BE149" s="13">
        <f>BD149*VLOOKUP('Données projet'!$B$11,Paramètres!$A$1:$I$89,3,0)*VLOOKUP('Données projet'!$B$11,Paramètres!$A$1:$I$89,5,0)</f>
        <v>269.8175999999998</v>
      </c>
      <c r="BF149" s="13">
        <f t="shared" si="145"/>
        <v>64.810557882019467</v>
      </c>
      <c r="BG149" s="20">
        <f t="shared" si="115"/>
        <v>582.81070831118348</v>
      </c>
      <c r="BH149" s="59">
        <f t="shared" si="116"/>
        <v>876.14404164451685</v>
      </c>
      <c r="BI149" s="59">
        <f ca="1">AVERAGE(OFFSET($BH$3,0,0,'Données projet'!$E$11+1,1))-AVERAGE(OFFSET($H$3,0,0,'Données projet'!$E$11+1,1))</f>
        <v>376.58419691967526</v>
      </c>
      <c r="BJ149" s="59">
        <f t="shared" si="146"/>
        <v>365.76175372075869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12.231551088651107</v>
      </c>
      <c r="BQ149" s="21">
        <f>EXP(-LN(2)/25)*BQ148+(1-EXP(-LN(2)/25))/(LN(2)/25)*Calculateur!BL149*Calculateur!BN149*VLOOKUP('Données projet'!$B$11,Paramètres!$A$1:$I$89,3,0)*0.475*44/12</f>
        <v>0.85907293359438675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13.090624022245494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292.78079999999977</v>
      </c>
      <c r="CA149" s="13">
        <f t="shared" si="147"/>
        <v>69.660903052386217</v>
      </c>
      <c r="CB149" s="20">
        <f t="shared" si="118"/>
        <v>631.25263281623893</v>
      </c>
      <c r="CC149" s="59">
        <f t="shared" si="119"/>
        <v>924.58596614957219</v>
      </c>
      <c r="CD149" s="59">
        <f ca="1">AVERAGE(OFFSET($CC$3,0,0,'Données projet'!$E$12+1,1))-AVERAGE(OFFSET($H$3,0,0,'Données projet'!$E$12+1,1))</f>
        <v>405.40026823646758</v>
      </c>
      <c r="CE149" s="59">
        <f t="shared" si="148"/>
        <v>393.0787141050053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16.359170011194404</v>
      </c>
      <c r="CL149" s="21">
        <f>EXP(-LN(2)/25)*CL148+(1-EXP(-LN(2)/25))/(LN(2)/25)*Calculateur!CG149*Calculateur!CI149*VLOOKUP('Données projet'!$B$12,Paramètres!$A$1:$I$89,3,0)*0.475*44/12</f>
        <v>1.1489728547776492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17.508142865972054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259.99999999999983</v>
      </c>
      <c r="CU149" s="17">
        <f>CT149*VLOOKUP('Données projet'!$B$13,Paramètres!$A$1:$I$89,3,0)*VLOOKUP('Données projet'!$B$13,Paramètres!$A$1:$I$89,5,0)</f>
        <v>227.13599999999985</v>
      </c>
      <c r="CV149" s="13">
        <f t="shared" si="149"/>
        <v>55.662966886685133</v>
      </c>
      <c r="CW149" s="20">
        <f t="shared" si="121"/>
        <v>492.5415339943097</v>
      </c>
      <c r="CX149" s="59">
        <f t="shared" si="122"/>
        <v>785.87486732764296</v>
      </c>
      <c r="CY149" s="59">
        <f ca="1">AVERAGE(OFFSET($CX$3,0,0,'Données projet'!$E$13+1,1))-AVERAGE(OFFSET($H$3,0,0,'Données projet'!$E$13+1,1))</f>
        <v>381.72225529388083</v>
      </c>
      <c r="CZ149" s="59">
        <f t="shared" si="150"/>
        <v>360.05900046417361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15.184659532129174</v>
      </c>
      <c r="DG149" s="21">
        <f>EXP(-LN(2)/25)*DG148+(1-EXP(-LN(2)/25))/(LN(2)/25)*Calculateur!DB149*Calculateur!DD149*VLOOKUP('Données projet'!$B$13,Paramètres!$A$1:$I$89,3,0)*0.475*44/12</f>
        <v>3.7543781572505974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18.939037689379774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5.6843418860808015E-13</v>
      </c>
      <c r="DP149" s="17">
        <f>DO149*VLOOKUP('Données projet'!$B$14,Paramètres!$A$1:$I$89,3,0)*VLOOKUP('Données projet'!$B$14,Paramètres!$A$1:$I$89,5,0)</f>
        <v>5.4978954722173515E-13</v>
      </c>
      <c r="DQ149" s="13">
        <f t="shared" si="151"/>
        <v>6.7731340873355904E-12</v>
      </c>
      <c r="DR149" s="20">
        <f t="shared" si="124"/>
        <v>1.2754091996854009E-11</v>
      </c>
      <c r="DS149" s="59">
        <f t="shared" si="125"/>
        <v>293.33333333334605</v>
      </c>
      <c r="DT149" s="59">
        <f ca="1">AVERAGE(OFFSET($DS$3,0,0,'Données projet'!$E$14+1,1))-AVERAGE(OFFSET($H$3,0,0,'Données projet'!$E$14+1,1))</f>
        <v>407.73540492005355</v>
      </c>
      <c r="DU149" s="59">
        <f t="shared" si="152"/>
        <v>296.29416764204774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135.80349174237531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135.80349174237531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328.00000000000017</v>
      </c>
      <c r="EK149" s="17">
        <f>EJ149*VLOOKUP('Données projet'!$B$15,Paramètres!$A$1:$I$89,3,0)*VLOOKUP('Données projet'!$B$15,Paramètres!$A$1:$I$89,5,0)</f>
        <v>255.84000000000015</v>
      </c>
      <c r="EL149" s="13">
        <f t="shared" si="153"/>
        <v>61.834803371075886</v>
      </c>
      <c r="EM149" s="20">
        <f t="shared" si="127"/>
        <v>553.28361587129086</v>
      </c>
      <c r="EN149" s="59">
        <f t="shared" si="128"/>
        <v>846.61694920462423</v>
      </c>
      <c r="EO149" s="59">
        <f ca="1">AVERAGE(OFFSET($EN$3,0,0,'Données projet'!$E$15+1,1))-AVERAGE(OFFSET($H$3,0,0,'Données projet'!$E$15+1,1))</f>
        <v>288.80569134263209</v>
      </c>
      <c r="EP149" s="59">
        <f t="shared" si="154"/>
        <v>283.48738729114024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4.423829648040984</v>
      </c>
      <c r="EW149" s="21">
        <f>EXP(-LN(2)/25)*EW148+(1-EXP(-LN(2)/25))/(LN(2)/25)*Calculateur!ER149*Calculateur!ET149*VLOOKUP('Données projet'!$B$15,Paramètres!$A$1:$I$89,3,0)*0.475*44/12</f>
        <v>2.3362216915870078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6.7600513396279922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293.33333333334531</v>
      </c>
      <c r="S150" s="59">
        <f ca="1">AVERAGE(OFFSET($R$3,0,0,'Données projet'!$E$9+1,1))-AVERAGE(OFFSET($H$3,0,0,'Données projet'!$E$9+1,1))</f>
        <v>384.05928630855732</v>
      </c>
      <c r="T150" s="59">
        <f t="shared" si="142"/>
        <v>279.93992813630513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-2.4158453015843406E-13</v>
      </c>
      <c r="AJ150" s="13">
        <f>AI150*VLOOKUP('Données projet'!$B$10,Paramètres!$A$1:$I$89,3,0)*VLOOKUP('Données projet'!$B$10,Paramètres!$A$1:$I$89,5,0)</f>
        <v>-2.0351080820546486E-13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312.48716825299158</v>
      </c>
      <c r="AO150" s="59">
        <f t="shared" si="144"/>
        <v>258.68277822755357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71.580456169852482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71.580456169852482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367.99999999999972</v>
      </c>
      <c r="BE150" s="13">
        <f>BD150*VLOOKUP('Données projet'!$B$11,Paramètres!$A$1:$I$89,3,0)*VLOOKUP('Données projet'!$B$11,Paramètres!$A$1:$I$89,5,0)</f>
        <v>269.8175999999998</v>
      </c>
      <c r="BF150" s="13">
        <f t="shared" si="145"/>
        <v>64.810557882019467</v>
      </c>
      <c r="BG150" s="20">
        <f t="shared" si="115"/>
        <v>582.81070831118348</v>
      </c>
      <c r="BH150" s="59">
        <f t="shared" si="116"/>
        <v>876.14404164451685</v>
      </c>
      <c r="BI150" s="59">
        <f ca="1">AVERAGE(OFFSET($BH$3,0,0,'Données projet'!$E$11+1,1))-AVERAGE(OFFSET($H$3,0,0,'Données projet'!$E$11+1,1))</f>
        <v>376.58419691967526</v>
      </c>
      <c r="BJ150" s="59">
        <f t="shared" si="146"/>
        <v>365.76175372075869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11.991697832312159</v>
      </c>
      <c r="BQ150" s="21">
        <f>EXP(-LN(2)/25)*BQ149+(1-EXP(-LN(2)/25))/(LN(2)/25)*Calculateur!BL150*Calculateur!BN150*VLOOKUP('Données projet'!$B$11,Paramètres!$A$1:$I$89,3,0)*0.475*44/12</f>
        <v>0.83558153904856614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12.827279371360724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292.78079999999977</v>
      </c>
      <c r="CA150" s="13">
        <f t="shared" si="147"/>
        <v>69.660903052386217</v>
      </c>
      <c r="CB150" s="20">
        <f t="shared" si="118"/>
        <v>631.25263281623893</v>
      </c>
      <c r="CC150" s="59">
        <f t="shared" si="119"/>
        <v>924.58596614957219</v>
      </c>
      <c r="CD150" s="59">
        <f ca="1">AVERAGE(OFFSET($CC$3,0,0,'Données projet'!$E$12+1,1))-AVERAGE(OFFSET($H$3,0,0,'Données projet'!$E$12+1,1))</f>
        <v>405.40026823646758</v>
      </c>
      <c r="CE150" s="59">
        <f t="shared" si="148"/>
        <v>393.0787141050053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16.038376665383332</v>
      </c>
      <c r="CL150" s="21">
        <f>EXP(-LN(2)/25)*CL149+(1-EXP(-LN(2)/25))/(LN(2)/25)*Calculateur!CG150*Calculateur!CI150*VLOOKUP('Données projet'!$B$12,Paramètres!$A$1:$I$89,3,0)*0.475*44/12</f>
        <v>1.117554131641898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17.155930797025231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259.99999999999983</v>
      </c>
      <c r="CU150" s="17">
        <f>CT150*VLOOKUP('Données projet'!$B$13,Paramètres!$A$1:$I$89,3,0)*VLOOKUP('Données projet'!$B$13,Paramètres!$A$1:$I$89,5,0)</f>
        <v>227.13599999999985</v>
      </c>
      <c r="CV150" s="13">
        <f t="shared" si="149"/>
        <v>55.662966886685133</v>
      </c>
      <c r="CW150" s="20">
        <f t="shared" si="121"/>
        <v>492.5415339943097</v>
      </c>
      <c r="CX150" s="59">
        <f t="shared" si="122"/>
        <v>785.87486732764296</v>
      </c>
      <c r="CY150" s="59">
        <f ca="1">AVERAGE(OFFSET($CX$3,0,0,'Données projet'!$E$13+1,1))-AVERAGE(OFFSET($H$3,0,0,'Données projet'!$E$13+1,1))</f>
        <v>381.72225529388083</v>
      </c>
      <c r="CZ150" s="59">
        <f t="shared" si="150"/>
        <v>360.05900046417361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14.886897620431917</v>
      </c>
      <c r="DG150" s="21">
        <f>EXP(-LN(2)/25)*DG149+(1-EXP(-LN(2)/25))/(LN(2)/25)*Calculateur!DB150*Calculateur!DD150*VLOOKUP('Données projet'!$B$13,Paramètres!$A$1:$I$89,3,0)*0.475*44/12</f>
        <v>3.6517144891064133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18.538612109538331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5.6843418860808015E-13</v>
      </c>
      <c r="DP150" s="17">
        <f>DO150*VLOOKUP('Données projet'!$B$14,Paramètres!$A$1:$I$89,3,0)*VLOOKUP('Données projet'!$B$14,Paramètres!$A$1:$I$89,5,0)</f>
        <v>5.4978954722173515E-13</v>
      </c>
      <c r="DQ150" s="13">
        <f t="shared" si="151"/>
        <v>6.7731340873355904E-12</v>
      </c>
      <c r="DR150" s="20">
        <f t="shared" si="124"/>
        <v>1.2754091996854009E-11</v>
      </c>
      <c r="DS150" s="59">
        <f t="shared" si="125"/>
        <v>293.33333333334605</v>
      </c>
      <c r="DT150" s="59">
        <f ca="1">AVERAGE(OFFSET($DS$3,0,0,'Données projet'!$E$14+1,1))-AVERAGE(OFFSET($H$3,0,0,'Données projet'!$E$14+1,1))</f>
        <v>407.73540492005355</v>
      </c>
      <c r="DU150" s="59">
        <f t="shared" si="152"/>
        <v>296.29416764204774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133.14046810125834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133.14046810125834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328.00000000000017</v>
      </c>
      <c r="EK150" s="17">
        <f>EJ150*VLOOKUP('Données projet'!$B$15,Paramètres!$A$1:$I$89,3,0)*VLOOKUP('Données projet'!$B$15,Paramètres!$A$1:$I$89,5,0)</f>
        <v>255.84000000000015</v>
      </c>
      <c r="EL150" s="13">
        <f t="shared" si="153"/>
        <v>61.834803371075886</v>
      </c>
      <c r="EM150" s="20">
        <f t="shared" si="127"/>
        <v>553.28361587129086</v>
      </c>
      <c r="EN150" s="59">
        <f t="shared" si="128"/>
        <v>846.61694920462423</v>
      </c>
      <c r="EO150" s="59">
        <f ca="1">AVERAGE(OFFSET($EN$3,0,0,'Données projet'!$E$15+1,1))-AVERAGE(OFFSET($H$3,0,0,'Données projet'!$E$15+1,1))</f>
        <v>288.80569134263209</v>
      </c>
      <c r="EP150" s="59">
        <f t="shared" si="154"/>
        <v>283.48738729114024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4.3370810469125534</v>
      </c>
      <c r="EW150" s="21">
        <f>EXP(-LN(2)/25)*EW149+(1-EXP(-LN(2)/25))/(LN(2)/25)*Calculateur!ER150*Calculateur!ET150*VLOOKUP('Données projet'!$B$15,Paramètres!$A$1:$I$89,3,0)*0.475*44/12</f>
        <v>2.2723375865740016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6.6094186334865554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293.33333333334531</v>
      </c>
      <c r="S151" s="59">
        <f ca="1">AVERAGE(OFFSET($R$3,0,0,'Données projet'!$E$9+1,1))-AVERAGE(OFFSET($H$3,0,0,'Données projet'!$E$9+1,1))</f>
        <v>384.05928630855732</v>
      </c>
      <c r="T151" s="59">
        <f t="shared" si="142"/>
        <v>279.93992813630513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-2.4158453015843406E-13</v>
      </c>
      <c r="AJ151" s="13">
        <f>AI151*VLOOKUP('Données projet'!$B$10,Paramètres!$A$1:$I$89,3,0)*VLOOKUP('Données projet'!$B$10,Paramètres!$A$1:$I$89,5,0)</f>
        <v>-2.0351080820546486E-13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312.48716825299158</v>
      </c>
      <c r="AO151" s="59">
        <f t="shared" si="144"/>
        <v>258.68277822755357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70.176807084128896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70.176807084128896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367.99999999999972</v>
      </c>
      <c r="BE151" s="13">
        <f>BD151*VLOOKUP('Données projet'!$B$11,Paramètres!$A$1:$I$89,3,0)*VLOOKUP('Données projet'!$B$11,Paramètres!$A$1:$I$89,5,0)</f>
        <v>269.8175999999998</v>
      </c>
      <c r="BF151" s="13">
        <f t="shared" si="145"/>
        <v>64.810557882019467</v>
      </c>
      <c r="BG151" s="20">
        <f t="shared" si="115"/>
        <v>582.81070831118348</v>
      </c>
      <c r="BH151" s="59">
        <f t="shared" si="116"/>
        <v>876.14404164451685</v>
      </c>
      <c r="BI151" s="59">
        <f ca="1">AVERAGE(OFFSET($BH$3,0,0,'Données projet'!$E$11+1,1))-AVERAGE(OFFSET($H$3,0,0,'Données projet'!$E$11+1,1))</f>
        <v>376.58419691967526</v>
      </c>
      <c r="BJ151" s="59">
        <f t="shared" si="146"/>
        <v>365.76175372075869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11.756547952033976</v>
      </c>
      <c r="BQ151" s="21">
        <f>EXP(-LN(2)/25)*BQ150+(1-EXP(-LN(2)/25))/(LN(2)/25)*Calculateur!BL151*Calculateur!BN151*VLOOKUP('Données projet'!$B$11,Paramètres!$A$1:$I$89,3,0)*0.475*44/12</f>
        <v>0.81273251792195966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12.569280469955936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292.78079999999977</v>
      </c>
      <c r="CA151" s="13">
        <f t="shared" si="147"/>
        <v>69.660903052386217</v>
      </c>
      <c r="CB151" s="20">
        <f t="shared" si="118"/>
        <v>631.25263281623893</v>
      </c>
      <c r="CC151" s="59">
        <f t="shared" si="119"/>
        <v>924.58596614957219</v>
      </c>
      <c r="CD151" s="59">
        <f ca="1">AVERAGE(OFFSET($CC$3,0,0,'Données projet'!$E$12+1,1))-AVERAGE(OFFSET($H$3,0,0,'Données projet'!$E$12+1,1))</f>
        <v>405.40026823646758</v>
      </c>
      <c r="CE151" s="59">
        <f t="shared" si="148"/>
        <v>393.0787141050053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15.723873881418994</v>
      </c>
      <c r="CL151" s="21">
        <f>EXP(-LN(2)/25)*CL150+(1-EXP(-LN(2)/25))/(LN(2)/25)*Calculateur!CG151*Calculateur!CI151*VLOOKUP('Données projet'!$B$12,Paramètres!$A$1:$I$89,3,0)*0.475*44/12</f>
        <v>1.0869945551425326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16.810868436561528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259.99999999999983</v>
      </c>
      <c r="CU151" s="17">
        <f>CT151*VLOOKUP('Données projet'!$B$13,Paramètres!$A$1:$I$89,3,0)*VLOOKUP('Données projet'!$B$13,Paramètres!$A$1:$I$89,5,0)</f>
        <v>227.13599999999985</v>
      </c>
      <c r="CV151" s="13">
        <f t="shared" si="149"/>
        <v>55.662966886685133</v>
      </c>
      <c r="CW151" s="20">
        <f t="shared" si="121"/>
        <v>492.5415339943097</v>
      </c>
      <c r="CX151" s="59">
        <f t="shared" si="122"/>
        <v>785.87486732764296</v>
      </c>
      <c r="CY151" s="59">
        <f ca="1">AVERAGE(OFFSET($CX$3,0,0,'Données projet'!$E$13+1,1))-AVERAGE(OFFSET($H$3,0,0,'Données projet'!$E$13+1,1))</f>
        <v>381.72225529388083</v>
      </c>
      <c r="CZ151" s="59">
        <f t="shared" si="150"/>
        <v>360.05900046417361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14.594974638206208</v>
      </c>
      <c r="DG151" s="21">
        <f>EXP(-LN(2)/25)*DG150+(1-EXP(-LN(2)/25))/(LN(2)/25)*Calculateur!DB151*Calculateur!DD151*VLOOKUP('Données projet'!$B$13,Paramètres!$A$1:$I$89,3,0)*0.475*44/12</f>
        <v>3.5518581643664797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18.146832802572689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5.6843418860808015E-13</v>
      </c>
      <c r="DP151" s="17">
        <f>DO151*VLOOKUP('Données projet'!$B$14,Paramètres!$A$1:$I$89,3,0)*VLOOKUP('Données projet'!$B$14,Paramètres!$A$1:$I$89,5,0)</f>
        <v>5.4978954722173515E-13</v>
      </c>
      <c r="DQ151" s="13">
        <f t="shared" si="151"/>
        <v>6.7731340873355904E-12</v>
      </c>
      <c r="DR151" s="20">
        <f t="shared" si="124"/>
        <v>1.2754091996854009E-11</v>
      </c>
      <c r="DS151" s="59">
        <f t="shared" si="125"/>
        <v>293.33333333334605</v>
      </c>
      <c r="DT151" s="59">
        <f ca="1">AVERAGE(OFFSET($DS$3,0,0,'Données projet'!$E$14+1,1))-AVERAGE(OFFSET($H$3,0,0,'Données projet'!$E$14+1,1))</f>
        <v>407.73540492005355</v>
      </c>
      <c r="DU151" s="59">
        <f t="shared" si="152"/>
        <v>296.29416764204774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130.5296647294596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130.5296647294596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328.00000000000017</v>
      </c>
      <c r="EK151" s="17">
        <f>EJ151*VLOOKUP('Données projet'!$B$15,Paramètres!$A$1:$I$89,3,0)*VLOOKUP('Données projet'!$B$15,Paramètres!$A$1:$I$89,5,0)</f>
        <v>255.84000000000015</v>
      </c>
      <c r="EL151" s="13">
        <f t="shared" si="153"/>
        <v>61.834803371075886</v>
      </c>
      <c r="EM151" s="20">
        <f t="shared" si="127"/>
        <v>553.28361587129086</v>
      </c>
      <c r="EN151" s="59">
        <f t="shared" si="128"/>
        <v>846.61694920462423</v>
      </c>
      <c r="EO151" s="59">
        <f ca="1">AVERAGE(OFFSET($EN$3,0,0,'Données projet'!$E$15+1,1))-AVERAGE(OFFSET($H$3,0,0,'Données projet'!$E$15+1,1))</f>
        <v>288.80569134263209</v>
      </c>
      <c r="EP151" s="59">
        <f t="shared" si="154"/>
        <v>283.48738729114024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4.2520335329408292</v>
      </c>
      <c r="EW151" s="21">
        <f>EXP(-LN(2)/25)*EW150+(1-EXP(-LN(2)/25))/(LN(2)/25)*Calculateur!ER151*Calculateur!ET151*VLOOKUP('Données projet'!$B$15,Paramètres!$A$1:$I$89,3,0)*0.475*44/12</f>
        <v>2.2102003957720955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6.4622339287129247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293.33333333334531</v>
      </c>
      <c r="S152" s="59">
        <f ca="1">AVERAGE(OFFSET($R$3,0,0,'Données projet'!$E$9+1,1))-AVERAGE(OFFSET($H$3,0,0,'Données projet'!$E$9+1,1))</f>
        <v>384.05928630855732</v>
      </c>
      <c r="T152" s="59">
        <f t="shared" si="142"/>
        <v>279.93992813630513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-2.4158453015843406E-13</v>
      </c>
      <c r="AJ152" s="13">
        <f>AI152*VLOOKUP('Données projet'!$B$10,Paramètres!$A$1:$I$89,3,0)*VLOOKUP('Données projet'!$B$10,Paramètres!$A$1:$I$89,5,0)</f>
        <v>-2.0351080820546486E-13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312.48716825299158</v>
      </c>
      <c r="AO152" s="59">
        <f t="shared" si="144"/>
        <v>258.68277822755357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68.80068270083494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68.80068270083494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367.99999999999972</v>
      </c>
      <c r="BE152" s="13">
        <f>BD152*VLOOKUP('Données projet'!$B$11,Paramètres!$A$1:$I$89,3,0)*VLOOKUP('Données projet'!$B$11,Paramètres!$A$1:$I$89,5,0)</f>
        <v>269.8175999999998</v>
      </c>
      <c r="BF152" s="13">
        <f t="shared" si="145"/>
        <v>64.810557882019467</v>
      </c>
      <c r="BG152" s="20">
        <f t="shared" si="115"/>
        <v>582.81070831118348</v>
      </c>
      <c r="BH152" s="59">
        <f t="shared" si="116"/>
        <v>876.14404164451685</v>
      </c>
      <c r="BI152" s="59">
        <f ca="1">AVERAGE(OFFSET($BH$3,0,0,'Données projet'!$E$11+1,1))-AVERAGE(OFFSET($H$3,0,0,'Données projet'!$E$11+1,1))</f>
        <v>376.58419691967526</v>
      </c>
      <c r="BJ152" s="59">
        <f t="shared" si="146"/>
        <v>365.76175372075869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11.526009217480784</v>
      </c>
      <c r="BQ152" s="21">
        <f>EXP(-LN(2)/25)*BQ151+(1-EXP(-LN(2)/25))/(LN(2)/25)*Calculateur!BL152*Calculateur!BN152*VLOOKUP('Données projet'!$B$11,Paramètres!$A$1:$I$89,3,0)*0.475*44/12</f>
        <v>0.79050830447963805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12.316517521960423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292.78079999999977</v>
      </c>
      <c r="CA152" s="13">
        <f t="shared" si="147"/>
        <v>69.660903052386217</v>
      </c>
      <c r="CB152" s="20">
        <f t="shared" si="118"/>
        <v>631.25263281623893</v>
      </c>
      <c r="CC152" s="59">
        <f t="shared" si="119"/>
        <v>924.58596614957219</v>
      </c>
      <c r="CD152" s="59">
        <f ca="1">AVERAGE(OFFSET($CC$3,0,0,'Données projet'!$E$12+1,1))-AVERAGE(OFFSET($H$3,0,0,'Données projet'!$E$12+1,1))</f>
        <v>405.40026823646758</v>
      </c>
      <c r="CE152" s="59">
        <f t="shared" si="148"/>
        <v>393.0787141050053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15.415538305220441</v>
      </c>
      <c r="CL152" s="21">
        <f>EXP(-LN(2)/25)*CL151+(1-EXP(-LN(2)/25))/(LN(2)/25)*Calculateur!CG152*Calculateur!CI152*VLOOKUP('Données projet'!$B$12,Paramètres!$A$1:$I$89,3,0)*0.475*44/12</f>
        <v>1.0572706318696008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16.47280893709004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259.99999999999983</v>
      </c>
      <c r="CU152" s="17">
        <f>CT152*VLOOKUP('Données projet'!$B$13,Paramètres!$A$1:$I$89,3,0)*VLOOKUP('Données projet'!$B$13,Paramètres!$A$1:$I$89,5,0)</f>
        <v>227.13599999999985</v>
      </c>
      <c r="CV152" s="13">
        <f t="shared" si="149"/>
        <v>55.662966886685133</v>
      </c>
      <c r="CW152" s="20">
        <f t="shared" si="121"/>
        <v>492.5415339943097</v>
      </c>
      <c r="CX152" s="59">
        <f t="shared" si="122"/>
        <v>785.87486732764296</v>
      </c>
      <c r="CY152" s="59">
        <f ca="1">AVERAGE(OFFSET($CX$3,0,0,'Données projet'!$E$13+1,1))-AVERAGE(OFFSET($H$3,0,0,'Données projet'!$E$13+1,1))</f>
        <v>381.72225529388083</v>
      </c>
      <c r="CZ152" s="59">
        <f t="shared" si="150"/>
        <v>360.05900046417361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14.308776087606509</v>
      </c>
      <c r="DG152" s="21">
        <f>EXP(-LN(2)/25)*DG151+(1-EXP(-LN(2)/25))/(LN(2)/25)*Calculateur!DB152*Calculateur!DD152*VLOOKUP('Données projet'!$B$13,Paramètres!$A$1:$I$89,3,0)*0.475*44/12</f>
        <v>3.4547324160777753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17.763508503684285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5.6843418860808015E-13</v>
      </c>
      <c r="DP152" s="17">
        <f>DO152*VLOOKUP('Données projet'!$B$14,Paramètres!$A$1:$I$89,3,0)*VLOOKUP('Données projet'!$B$14,Paramètres!$A$1:$I$89,5,0)</f>
        <v>5.4978954722173515E-13</v>
      </c>
      <c r="DQ152" s="13">
        <f t="shared" si="151"/>
        <v>6.7731340873355904E-12</v>
      </c>
      <c r="DR152" s="20">
        <f t="shared" si="124"/>
        <v>1.2754091996854009E-11</v>
      </c>
      <c r="DS152" s="59">
        <f t="shared" si="125"/>
        <v>293.33333333334605</v>
      </c>
      <c r="DT152" s="59">
        <f ca="1">AVERAGE(OFFSET($DS$3,0,0,'Données projet'!$E$14+1,1))-AVERAGE(OFFSET($H$3,0,0,'Données projet'!$E$14+1,1))</f>
        <v>407.73540492005355</v>
      </c>
      <c r="DU152" s="59">
        <f t="shared" si="152"/>
        <v>296.29416764204774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127.97005761934903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127.97005761934903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328.00000000000017</v>
      </c>
      <c r="EK152" s="17">
        <f>EJ152*VLOOKUP('Données projet'!$B$15,Paramètres!$A$1:$I$89,3,0)*VLOOKUP('Données projet'!$B$15,Paramètres!$A$1:$I$89,5,0)</f>
        <v>255.84000000000015</v>
      </c>
      <c r="EL152" s="13">
        <f t="shared" si="153"/>
        <v>61.834803371075886</v>
      </c>
      <c r="EM152" s="20">
        <f t="shared" si="127"/>
        <v>553.28361587129086</v>
      </c>
      <c r="EN152" s="59">
        <f t="shared" si="128"/>
        <v>846.61694920462423</v>
      </c>
      <c r="EO152" s="59">
        <f ca="1">AVERAGE(OFFSET($EN$3,0,0,'Données projet'!$E$15+1,1))-AVERAGE(OFFSET($H$3,0,0,'Données projet'!$E$15+1,1))</f>
        <v>288.80569134263209</v>
      </c>
      <c r="EP152" s="59">
        <f t="shared" si="154"/>
        <v>283.48738729114024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4.1686537488442292</v>
      </c>
      <c r="EW152" s="21">
        <f>EXP(-LN(2)/25)*EW151+(1-EXP(-LN(2)/25))/(LN(2)/25)*Calculateur!ER152*Calculateur!ET152*VLOOKUP('Données projet'!$B$15,Paramètres!$A$1:$I$89,3,0)*0.475*44/12</f>
        <v>2.1497623497203202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6.3184160985645494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293.33333333334531</v>
      </c>
      <c r="S153" s="59">
        <f ca="1">AVERAGE(OFFSET($R$3,0,0,'Données projet'!$E$9+1,1))-AVERAGE(OFFSET($H$3,0,0,'Données projet'!$E$9+1,1))</f>
        <v>384.05928630855732</v>
      </c>
      <c r="T153" s="59">
        <f t="shared" si="142"/>
        <v>279.93992813630513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-2.4158453015843406E-13</v>
      </c>
      <c r="AJ153" s="13">
        <f>AI153*VLOOKUP('Données projet'!$B$10,Paramètres!$A$1:$I$89,3,0)*VLOOKUP('Données projet'!$B$10,Paramètres!$A$1:$I$89,5,0)</f>
        <v>-2.0351080820546486E-13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312.48716825299158</v>
      </c>
      <c r="AO153" s="59">
        <f t="shared" si="144"/>
        <v>258.68277822755357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67.451543277344385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67.451543277344385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367.99999999999972</v>
      </c>
      <c r="BE153" s="13">
        <f>BD153*VLOOKUP('Données projet'!$B$11,Paramètres!$A$1:$I$89,3,0)*VLOOKUP('Données projet'!$B$11,Paramètres!$A$1:$I$89,5,0)</f>
        <v>269.8175999999998</v>
      </c>
      <c r="BF153" s="13">
        <f t="shared" si="145"/>
        <v>64.810557882019467</v>
      </c>
      <c r="BG153" s="20">
        <f t="shared" si="115"/>
        <v>582.81070831118348</v>
      </c>
      <c r="BH153" s="59">
        <f t="shared" si="116"/>
        <v>876.14404164451685</v>
      </c>
      <c r="BI153" s="59">
        <f ca="1">AVERAGE(OFFSET($BH$3,0,0,'Données projet'!$E$11+1,1))-AVERAGE(OFFSET($H$3,0,0,'Données projet'!$E$11+1,1))</f>
        <v>376.58419691967526</v>
      </c>
      <c r="BJ153" s="59">
        <f t="shared" si="146"/>
        <v>365.76175372075869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11.299991206897436</v>
      </c>
      <c r="BQ153" s="21">
        <f>EXP(-LN(2)/25)*BQ152+(1-EXP(-LN(2)/25))/(LN(2)/25)*Calculateur!BL153*Calculateur!BN153*VLOOKUP('Données projet'!$B$11,Paramètres!$A$1:$I$89,3,0)*0.475*44/12</f>
        <v>0.76889181332261736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12.068883020220055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292.78079999999977</v>
      </c>
      <c r="CA153" s="13">
        <f t="shared" si="147"/>
        <v>69.660903052386217</v>
      </c>
      <c r="CB153" s="20">
        <f t="shared" si="118"/>
        <v>631.25263281623893</v>
      </c>
      <c r="CC153" s="59">
        <f t="shared" si="119"/>
        <v>924.58596614957219</v>
      </c>
      <c r="CD153" s="59">
        <f ca="1">AVERAGE(OFFSET($CC$3,0,0,'Données projet'!$E$12+1,1))-AVERAGE(OFFSET($H$3,0,0,'Données projet'!$E$12+1,1))</f>
        <v>405.40026823646758</v>
      </c>
      <c r="CE153" s="59">
        <f t="shared" si="148"/>
        <v>393.0787141050053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15.113249001605009</v>
      </c>
      <c r="CL153" s="21">
        <f>EXP(-LN(2)/25)*CL152+(1-EXP(-LN(2)/25))/(LN(2)/25)*Calculateur!CG153*Calculateur!CI153*VLOOKUP('Données projet'!$B$12,Paramètres!$A$1:$I$89,3,0)*0.475*44/12</f>
        <v>1.0283595108416805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16.141608512446691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259.99999999999983</v>
      </c>
      <c r="CU153" s="17">
        <f>CT153*VLOOKUP('Données projet'!$B$13,Paramètres!$A$1:$I$89,3,0)*VLOOKUP('Données projet'!$B$13,Paramètres!$A$1:$I$89,5,0)</f>
        <v>227.13599999999985</v>
      </c>
      <c r="CV153" s="13">
        <f t="shared" si="149"/>
        <v>55.662966886685133</v>
      </c>
      <c r="CW153" s="20">
        <f t="shared" si="121"/>
        <v>492.5415339943097</v>
      </c>
      <c r="CX153" s="59">
        <f t="shared" si="122"/>
        <v>785.87486732764296</v>
      </c>
      <c r="CY153" s="59">
        <f ca="1">AVERAGE(OFFSET($CX$3,0,0,'Données projet'!$E$13+1,1))-AVERAGE(OFFSET($H$3,0,0,'Données projet'!$E$13+1,1))</f>
        <v>381.72225529388083</v>
      </c>
      <c r="CZ153" s="59">
        <f t="shared" si="150"/>
        <v>360.05900046417361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14.02818971602019</v>
      </c>
      <c r="DG153" s="21">
        <f>EXP(-LN(2)/25)*DG152+(1-EXP(-LN(2)/25))/(LN(2)/25)*Calculateur!DB153*Calculateur!DD153*VLOOKUP('Données projet'!$B$13,Paramètres!$A$1:$I$89,3,0)*0.475*44/12</f>
        <v>3.3602625764836467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17.388452292503835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5.6843418860808015E-13</v>
      </c>
      <c r="DP153" s="17">
        <f>DO153*VLOOKUP('Données projet'!$B$14,Paramètres!$A$1:$I$89,3,0)*VLOOKUP('Données projet'!$B$14,Paramètres!$A$1:$I$89,5,0)</f>
        <v>5.4978954722173515E-13</v>
      </c>
      <c r="DQ153" s="13">
        <f t="shared" si="151"/>
        <v>6.7731340873355904E-12</v>
      </c>
      <c r="DR153" s="20">
        <f t="shared" si="124"/>
        <v>1.2754091996854009E-11</v>
      </c>
      <c r="DS153" s="59">
        <f t="shared" si="125"/>
        <v>293.33333333334605</v>
      </c>
      <c r="DT153" s="59">
        <f ca="1">AVERAGE(OFFSET($DS$3,0,0,'Données projet'!$E$14+1,1))-AVERAGE(OFFSET($H$3,0,0,'Données projet'!$E$14+1,1))</f>
        <v>407.73540492005355</v>
      </c>
      <c r="DU153" s="59">
        <f t="shared" si="152"/>
        <v>296.29416764204774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125.46064284346156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125.46064284346156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328.00000000000017</v>
      </c>
      <c r="EK153" s="17">
        <f>EJ153*VLOOKUP('Données projet'!$B$15,Paramètres!$A$1:$I$89,3,0)*VLOOKUP('Données projet'!$B$15,Paramètres!$A$1:$I$89,5,0)</f>
        <v>255.84000000000015</v>
      </c>
      <c r="EL153" s="13">
        <f t="shared" si="153"/>
        <v>61.834803371075886</v>
      </c>
      <c r="EM153" s="20">
        <f t="shared" si="127"/>
        <v>553.28361587129086</v>
      </c>
      <c r="EN153" s="59">
        <f t="shared" si="128"/>
        <v>846.61694920462423</v>
      </c>
      <c r="EO153" s="59">
        <f ca="1">AVERAGE(OFFSET($EN$3,0,0,'Données projet'!$E$15+1,1))-AVERAGE(OFFSET($H$3,0,0,'Données projet'!$E$15+1,1))</f>
        <v>288.80569134263209</v>
      </c>
      <c r="EP153" s="59">
        <f t="shared" si="154"/>
        <v>283.48738729114024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4.0869089914571175</v>
      </c>
      <c r="EW153" s="21">
        <f>EXP(-LN(2)/25)*EW152+(1-EXP(-LN(2)/25))/(LN(2)/25)*Calculateur!ER153*Calculateur!ET153*VLOOKUP('Données projet'!$B$15,Paramètres!$A$1:$I$89,3,0)*0.475*44/12</f>
        <v>2.0909769852161295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6.177885976673247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293.33333333334531</v>
      </c>
      <c r="S154" s="59">
        <f ca="1">AVERAGE(OFFSET($R$3,0,0,'Données projet'!$E$9+1,1))-AVERAGE(OFFSET($H$3,0,0,'Données projet'!$E$9+1,1))</f>
        <v>384.05928630855732</v>
      </c>
      <c r="T154" s="59">
        <f t="shared" si="142"/>
        <v>279.93992813630513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-2.4158453015843406E-13</v>
      </c>
      <c r="AJ154" s="13">
        <f>AI154*VLOOKUP('Données projet'!$B$10,Paramètres!$A$1:$I$89,3,0)*VLOOKUP('Données projet'!$B$10,Paramètres!$A$1:$I$89,5,0)</f>
        <v>-2.0351080820546486E-13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312.48716825299158</v>
      </c>
      <c r="AO154" s="59">
        <f t="shared" si="144"/>
        <v>258.68277822755357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66.128859655054683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66.128859655054683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367.99999999999972</v>
      </c>
      <c r="BE154" s="13">
        <f>BD154*VLOOKUP('Données projet'!$B$11,Paramètres!$A$1:$I$89,3,0)*VLOOKUP('Données projet'!$B$11,Paramètres!$A$1:$I$89,5,0)</f>
        <v>269.8175999999998</v>
      </c>
      <c r="BF154" s="13">
        <f t="shared" ref="BF154:BF203" si="167">EXP(-1.0587+0.8836*LN(BE154)+0.284)</f>
        <v>64.810557882019467</v>
      </c>
      <c r="BG154" s="20">
        <f t="shared" ref="BG154:BG203" si="168">(BE154+BF154)*0.475*44/12</f>
        <v>582.81070831118348</v>
      </c>
      <c r="BH154" s="59">
        <f t="shared" si="116"/>
        <v>876.14404164451685</v>
      </c>
      <c r="BI154" s="59">
        <f ca="1">AVERAGE(OFFSET($BH$3,0,0,'Données projet'!$E$11+1,1))-AVERAGE(OFFSET($H$3,0,0,'Données projet'!$E$11+1,1))</f>
        <v>376.58419691967526</v>
      </c>
      <c r="BJ154" s="59">
        <f t="shared" si="146"/>
        <v>365.76175372075869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11.078405271644254</v>
      </c>
      <c r="BQ154" s="21">
        <f>EXP(-LN(2)/25)*BQ153+(1-EXP(-LN(2)/25))/(LN(2)/25)*Calculateur!BL154*Calculateur!BN154*VLOOKUP('Données projet'!$B$11,Paramètres!$A$1:$I$89,3,0)*0.475*44/12</f>
        <v>0.74786642625304722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11.826271697897301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292.78079999999977</v>
      </c>
      <c r="CA154" s="13">
        <f t="shared" ref="CA154:CA203" si="170">EXP(-1.0587+0.8836*LN(BZ154)+0.284)</f>
        <v>69.660903052386217</v>
      </c>
      <c r="CB154" s="20">
        <f t="shared" ref="CB154:CB203" si="171">(BZ154+CA154)*0.475*44/12</f>
        <v>631.25263281623893</v>
      </c>
      <c r="CC154" s="59">
        <f t="shared" si="119"/>
        <v>924.58596614957219</v>
      </c>
      <c r="CD154" s="59">
        <f ca="1">AVERAGE(OFFSET($CC$3,0,0,'Données projet'!$E$12+1,1))-AVERAGE(OFFSET($H$3,0,0,'Données projet'!$E$12+1,1))</f>
        <v>405.40026823646758</v>
      </c>
      <c r="CE154" s="59">
        <f t="shared" si="148"/>
        <v>393.0787141050053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14.816887406855207</v>
      </c>
      <c r="CL154" s="21">
        <f>EXP(-LN(2)/25)*CL153+(1-EXP(-LN(2)/25))/(LN(2)/25)*Calculateur!CG154*Calculateur!CI154*VLOOKUP('Données projet'!$B$12,Paramètres!$A$1:$I$89,3,0)*0.475*44/12</f>
        <v>1.0002389659386384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15.817126372793846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259.99999999999983</v>
      </c>
      <c r="CU154" s="17">
        <f>CT154*VLOOKUP('Données projet'!$B$13,Paramètres!$A$1:$I$89,3,0)*VLOOKUP('Données projet'!$B$13,Paramètres!$A$1:$I$89,5,0)</f>
        <v>227.13599999999985</v>
      </c>
      <c r="CV154" s="13">
        <f t="shared" ref="CV154:CV203" si="173">EXP(-1.0587+0.8836*LN(CU154)+0.284)</f>
        <v>55.662966886685133</v>
      </c>
      <c r="CW154" s="20">
        <f t="shared" ref="CW154:CW203" si="174">(CU154+CV154)*0.475*44/12</f>
        <v>492.5415339943097</v>
      </c>
      <c r="CX154" s="59">
        <f t="shared" si="122"/>
        <v>785.87486732764296</v>
      </c>
      <c r="CY154" s="59">
        <f ca="1">AVERAGE(OFFSET($CX$3,0,0,'Données projet'!$E$13+1,1))-AVERAGE(OFFSET($H$3,0,0,'Données projet'!$E$13+1,1))</f>
        <v>381.72225529388083</v>
      </c>
      <c r="CZ154" s="59">
        <f t="shared" si="150"/>
        <v>360.05900046417361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13.753105472039891</v>
      </c>
      <c r="DG154" s="21">
        <f>EXP(-LN(2)/25)*DG153+(1-EXP(-LN(2)/25))/(LN(2)/25)*Calculateur!DB154*Calculateur!DD154*VLOOKUP('Données projet'!$B$13,Paramètres!$A$1:$I$89,3,0)*0.475*44/12</f>
        <v>3.2683760196211726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17.021481491661064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5.6843418860808015E-13</v>
      </c>
      <c r="DP154" s="17">
        <f>DO154*VLOOKUP('Données projet'!$B$14,Paramètres!$A$1:$I$89,3,0)*VLOOKUP('Données projet'!$B$14,Paramètres!$A$1:$I$89,5,0)</f>
        <v>5.4978954722173515E-13</v>
      </c>
      <c r="DQ154" s="13">
        <f t="shared" ref="DQ154:DQ203" si="176">EXP(-1.0587+0.8836*LN(DP154)+0.284)</f>
        <v>6.7731340873355904E-12</v>
      </c>
      <c r="DR154" s="20">
        <f t="shared" ref="DR154:DR203" si="177">(DP154+DQ154)*0.475*44/12</f>
        <v>1.2754091996854009E-11</v>
      </c>
      <c r="DS154" s="59">
        <f t="shared" si="125"/>
        <v>293.33333333334605</v>
      </c>
      <c r="DT154" s="59">
        <f ca="1">AVERAGE(OFFSET($DS$3,0,0,'Données projet'!$E$14+1,1))-AVERAGE(OFFSET($H$3,0,0,'Données projet'!$E$14+1,1))</f>
        <v>407.73540492005355</v>
      </c>
      <c r="DU154" s="59">
        <f t="shared" si="152"/>
        <v>296.29416764204774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123.00043616073735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123.00043616073735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328.00000000000017</v>
      </c>
      <c r="EK154" s="17">
        <f>EJ154*VLOOKUP('Données projet'!$B$15,Paramètres!$A$1:$I$89,3,0)*VLOOKUP('Données projet'!$B$15,Paramètres!$A$1:$I$89,5,0)</f>
        <v>255.84000000000015</v>
      </c>
      <c r="EL154" s="13">
        <f t="shared" ref="EL154:EL203" si="179">EXP(-1.0587+0.8836*LN(EK154)+0.284)</f>
        <v>61.834803371075886</v>
      </c>
      <c r="EM154" s="20">
        <f t="shared" ref="EM154:EM203" si="180">(EK154+EL154)*0.475*44/12</f>
        <v>553.28361587129086</v>
      </c>
      <c r="EN154" s="59">
        <f t="shared" si="128"/>
        <v>846.61694920462423</v>
      </c>
      <c r="EO154" s="59">
        <f ca="1">AVERAGE(OFFSET($EN$3,0,0,'Données projet'!$E$15+1,1))-AVERAGE(OFFSET($H$3,0,0,'Données projet'!$E$15+1,1))</f>
        <v>288.80569134263209</v>
      </c>
      <c r="EP154" s="59">
        <f t="shared" si="154"/>
        <v>283.48738729114024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4.0067671989029874</v>
      </c>
      <c r="EW154" s="21">
        <f>EXP(-LN(2)/25)*EW153+(1-EXP(-LN(2)/25))/(LN(2)/25)*Calculateur!ER154*Calculateur!ET154*VLOOKUP('Données projet'!$B$15,Paramètres!$A$1:$I$89,3,0)*0.475*44/12</f>
        <v>2.033799109595694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6.0405663084986809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293.33333333334531</v>
      </c>
      <c r="S155" s="59">
        <f ca="1">AVERAGE(OFFSET($R$3,0,0,'Données projet'!$E$9+1,1))-AVERAGE(OFFSET($H$3,0,0,'Données projet'!$E$9+1,1))</f>
        <v>384.05928630855732</v>
      </c>
      <c r="T155" s="59">
        <f t="shared" si="142"/>
        <v>279.93992813630513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-2.4158453015843406E-13</v>
      </c>
      <c r="AJ155" s="13">
        <f>AI155*VLOOKUP('Données projet'!$B$10,Paramètres!$A$1:$I$89,3,0)*VLOOKUP('Données projet'!$B$10,Paramètres!$A$1:$I$89,5,0)</f>
        <v>-2.0351080820546486E-13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312.48716825299158</v>
      </c>
      <c r="AO155" s="59">
        <f t="shared" si="144"/>
        <v>258.68277822755357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64.832113051840736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64.832113051840736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367.99999999999972</v>
      </c>
      <c r="BE155" s="13">
        <f>BD155*VLOOKUP('Données projet'!$B$11,Paramètres!$A$1:$I$89,3,0)*VLOOKUP('Données projet'!$B$11,Paramètres!$A$1:$I$89,5,0)</f>
        <v>269.8175999999998</v>
      </c>
      <c r="BF155" s="13">
        <f t="shared" si="167"/>
        <v>64.810557882019467</v>
      </c>
      <c r="BG155" s="20">
        <f t="shared" si="168"/>
        <v>582.81070831118348</v>
      </c>
      <c r="BH155" s="59">
        <f t="shared" si="116"/>
        <v>876.14404164451685</v>
      </c>
      <c r="BI155" s="59">
        <f ca="1">AVERAGE(OFFSET($BH$3,0,0,'Données projet'!$E$11+1,1))-AVERAGE(OFFSET($H$3,0,0,'Données projet'!$E$11+1,1))</f>
        <v>376.58419691967526</v>
      </c>
      <c r="BJ155" s="59">
        <f t="shared" si="146"/>
        <v>365.76175372075869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10.861164501427311</v>
      </c>
      <c r="BQ155" s="21">
        <f>EXP(-LN(2)/25)*BQ154+(1-EXP(-LN(2)/25))/(LN(2)/25)*Calculateur!BL155*Calculateur!BN155*VLOOKUP('Données projet'!$B$11,Paramètres!$A$1:$I$89,3,0)*0.475*44/12</f>
        <v>0.72741597949857151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11.588580480925883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292.78079999999977</v>
      </c>
      <c r="CA155" s="13">
        <f t="shared" si="170"/>
        <v>69.660903052386217</v>
      </c>
      <c r="CB155" s="20">
        <f t="shared" si="171"/>
        <v>631.25263281623893</v>
      </c>
      <c r="CC155" s="59">
        <f t="shared" si="119"/>
        <v>924.58596614957219</v>
      </c>
      <c r="CD155" s="59">
        <f ca="1">AVERAGE(OFFSET($CC$3,0,0,'Données projet'!$E$12+1,1))-AVERAGE(OFFSET($H$3,0,0,'Données projet'!$E$12+1,1))</f>
        <v>405.40026823646758</v>
      </c>
      <c r="CE155" s="59">
        <f t="shared" si="148"/>
        <v>393.0787141050053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14.526337282215724</v>
      </c>
      <c r="CL155" s="21">
        <f>EXP(-LN(2)/25)*CL154+(1-EXP(-LN(2)/25))/(LN(2)/25)*Calculateur!CG155*Calculateur!CI155*VLOOKUP('Données projet'!$B$12,Paramètres!$A$1:$I$89,3,0)*0.475*44/12</f>
        <v>0.97288737881476517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15.499224661030489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259.99999999999983</v>
      </c>
      <c r="CU155" s="17">
        <f>CT155*VLOOKUP('Données projet'!$B$13,Paramètres!$A$1:$I$89,3,0)*VLOOKUP('Données projet'!$B$13,Paramètres!$A$1:$I$89,5,0)</f>
        <v>227.13599999999985</v>
      </c>
      <c r="CV155" s="13">
        <f t="shared" si="173"/>
        <v>55.662966886685133</v>
      </c>
      <c r="CW155" s="20">
        <f t="shared" si="174"/>
        <v>492.5415339943097</v>
      </c>
      <c r="CX155" s="59">
        <f t="shared" si="122"/>
        <v>785.87486732764296</v>
      </c>
      <c r="CY155" s="59">
        <f ca="1">AVERAGE(OFFSET($CX$3,0,0,'Données projet'!$E$13+1,1))-AVERAGE(OFFSET($H$3,0,0,'Données projet'!$E$13+1,1))</f>
        <v>381.72225529388083</v>
      </c>
      <c r="CZ155" s="59">
        <f t="shared" si="150"/>
        <v>360.05900046417361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13.483415462299225</v>
      </c>
      <c r="DG155" s="21">
        <f>EXP(-LN(2)/25)*DG154+(1-EXP(-LN(2)/25))/(LN(2)/25)*Calculateur!DB155*Calculateur!DD155*VLOOKUP('Données projet'!$B$13,Paramètres!$A$1:$I$89,3,0)*0.475*44/12</f>
        <v>3.1790021054882067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16.662417567787433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5.6843418860808015E-13</v>
      </c>
      <c r="DP155" s="17">
        <f>DO155*VLOOKUP('Données projet'!$B$14,Paramètres!$A$1:$I$89,3,0)*VLOOKUP('Données projet'!$B$14,Paramètres!$A$1:$I$89,5,0)</f>
        <v>5.4978954722173515E-13</v>
      </c>
      <c r="DQ155" s="13">
        <f t="shared" si="176"/>
        <v>6.7731340873355904E-12</v>
      </c>
      <c r="DR155" s="20">
        <f t="shared" si="177"/>
        <v>1.2754091996854009E-11</v>
      </c>
      <c r="DS155" s="59">
        <f t="shared" si="125"/>
        <v>293.33333333334605</v>
      </c>
      <c r="DT155" s="59">
        <f ca="1">AVERAGE(OFFSET($DS$3,0,0,'Données projet'!$E$14+1,1))-AVERAGE(OFFSET($H$3,0,0,'Données projet'!$E$14+1,1))</f>
        <v>407.73540492005355</v>
      </c>
      <c r="DU155" s="59">
        <f t="shared" si="152"/>
        <v>296.29416764204774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120.58847263048345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120.58847263048345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328.00000000000017</v>
      </c>
      <c r="EK155" s="17">
        <f>EJ155*VLOOKUP('Données projet'!$B$15,Paramètres!$A$1:$I$89,3,0)*VLOOKUP('Données projet'!$B$15,Paramètres!$A$1:$I$89,5,0)</f>
        <v>255.84000000000015</v>
      </c>
      <c r="EL155" s="13">
        <f t="shared" si="179"/>
        <v>61.834803371075886</v>
      </c>
      <c r="EM155" s="20">
        <f t="shared" si="180"/>
        <v>553.28361587129086</v>
      </c>
      <c r="EN155" s="59">
        <f t="shared" si="128"/>
        <v>846.61694920462423</v>
      </c>
      <c r="EO155" s="59">
        <f ca="1">AVERAGE(OFFSET($EN$3,0,0,'Données projet'!$E$15+1,1))-AVERAGE(OFFSET($H$3,0,0,'Données projet'!$E$15+1,1))</f>
        <v>288.80569134263209</v>
      </c>
      <c r="EP155" s="59">
        <f t="shared" si="154"/>
        <v>283.48738729114024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3.9281969380191772</v>
      </c>
      <c r="EW155" s="21">
        <f>EXP(-LN(2)/25)*EW154+(1-EXP(-LN(2)/25))/(LN(2)/25)*Calculateur!ER155*Calculateur!ET155*VLOOKUP('Données projet'!$B$15,Paramètres!$A$1:$I$89,3,0)*0.475*44/12</f>
        <v>1.9781847659909528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5.9063817040101299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293.33333333334531</v>
      </c>
      <c r="S156" s="59">
        <f ca="1">AVERAGE(OFFSET($R$3,0,0,'Données projet'!$E$9+1,1))-AVERAGE(OFFSET($H$3,0,0,'Données projet'!$E$9+1,1))</f>
        <v>384.05928630855732</v>
      </c>
      <c r="T156" s="59">
        <f t="shared" si="142"/>
        <v>279.93992813630513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-2.4158453015843406E-13</v>
      </c>
      <c r="AJ156" s="13">
        <f>AI156*VLOOKUP('Données projet'!$B$10,Paramètres!$A$1:$I$89,3,0)*VLOOKUP('Données projet'!$B$10,Paramètres!$A$1:$I$89,5,0)</f>
        <v>-2.0351080820546486E-13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312.48716825299158</v>
      </c>
      <c r="AO156" s="59">
        <f t="shared" si="144"/>
        <v>258.68277822755357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63.560794858578483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63.560794858578483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367.99999999999972</v>
      </c>
      <c r="BE156" s="13">
        <f>BD156*VLOOKUP('Données projet'!$B$11,Paramètres!$A$1:$I$89,3,0)*VLOOKUP('Données projet'!$B$11,Paramètres!$A$1:$I$89,5,0)</f>
        <v>269.8175999999998</v>
      </c>
      <c r="BF156" s="13">
        <f t="shared" si="167"/>
        <v>64.810557882019467</v>
      </c>
      <c r="BG156" s="20">
        <f t="shared" si="168"/>
        <v>582.81070831118348</v>
      </c>
      <c r="BH156" s="59">
        <f t="shared" si="116"/>
        <v>876.14404164451685</v>
      </c>
      <c r="BI156" s="59">
        <f ca="1">AVERAGE(OFFSET($BH$3,0,0,'Données projet'!$E$11+1,1))-AVERAGE(OFFSET($H$3,0,0,'Données projet'!$E$11+1,1))</f>
        <v>376.58419691967526</v>
      </c>
      <c r="BJ156" s="59">
        <f t="shared" si="146"/>
        <v>365.76175372075869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10.648183690210537</v>
      </c>
      <c r="BQ156" s="21">
        <f>EXP(-LN(2)/25)*BQ155+(1-EXP(-LN(2)/25))/(LN(2)/25)*Calculateur!BL156*Calculateur!BN156*VLOOKUP('Données projet'!$B$11,Paramètres!$A$1:$I$89,3,0)*0.475*44/12</f>
        <v>0.7075247512860392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11.355708441496576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292.78079999999977</v>
      </c>
      <c r="CA156" s="13">
        <f t="shared" si="170"/>
        <v>69.660903052386217</v>
      </c>
      <c r="CB156" s="20">
        <f t="shared" si="171"/>
        <v>631.25263281623893</v>
      </c>
      <c r="CC156" s="59">
        <f t="shared" si="119"/>
        <v>924.58596614957219</v>
      </c>
      <c r="CD156" s="59">
        <f ca="1">AVERAGE(OFFSET($CC$3,0,0,'Données projet'!$E$12+1,1))-AVERAGE(OFFSET($H$3,0,0,'Données projet'!$E$12+1,1))</f>
        <v>405.40026823646758</v>
      </c>
      <c r="CE156" s="59">
        <f t="shared" si="148"/>
        <v>393.0787141050053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14.241484668302345</v>
      </c>
      <c r="CL156" s="21">
        <f>EXP(-LN(2)/25)*CL155+(1-EXP(-LN(2)/25))/(LN(2)/25)*Calculateur!CG156*Calculateur!CI156*VLOOKUP('Données projet'!$B$12,Paramètres!$A$1:$I$89,3,0)*0.475*44/12</f>
        <v>0.9462837222791517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15.187768390581496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259.99999999999983</v>
      </c>
      <c r="CU156" s="17">
        <f>CT156*VLOOKUP('Données projet'!$B$13,Paramètres!$A$1:$I$89,3,0)*VLOOKUP('Données projet'!$B$13,Paramètres!$A$1:$I$89,5,0)</f>
        <v>227.13599999999985</v>
      </c>
      <c r="CV156" s="13">
        <f t="shared" si="173"/>
        <v>55.662966886685133</v>
      </c>
      <c r="CW156" s="20">
        <f t="shared" si="174"/>
        <v>492.5415339943097</v>
      </c>
      <c r="CX156" s="59">
        <f t="shared" si="122"/>
        <v>785.87486732764296</v>
      </c>
      <c r="CY156" s="59">
        <f ca="1">AVERAGE(OFFSET($CX$3,0,0,'Données projet'!$E$13+1,1))-AVERAGE(OFFSET($H$3,0,0,'Données projet'!$E$13+1,1))</f>
        <v>381.72225529388083</v>
      </c>
      <c r="CZ156" s="59">
        <f t="shared" si="150"/>
        <v>360.05900046417361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13.21901390915491</v>
      </c>
      <c r="DG156" s="21">
        <f>EXP(-LN(2)/25)*DG155+(1-EXP(-LN(2)/25))/(LN(2)/25)*Calculateur!DB156*Calculateur!DD156*VLOOKUP('Données projet'!$B$13,Paramètres!$A$1:$I$89,3,0)*0.475*44/12</f>
        <v>3.0920721257371766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16.311086034892085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5.6843418860808015E-13</v>
      </c>
      <c r="DP156" s="17">
        <f>DO156*VLOOKUP('Données projet'!$B$14,Paramètres!$A$1:$I$89,3,0)*VLOOKUP('Données projet'!$B$14,Paramètres!$A$1:$I$89,5,0)</f>
        <v>5.4978954722173515E-13</v>
      </c>
      <c r="DQ156" s="13">
        <f t="shared" si="176"/>
        <v>6.7731340873355904E-12</v>
      </c>
      <c r="DR156" s="20">
        <f t="shared" si="177"/>
        <v>1.2754091996854009E-11</v>
      </c>
      <c r="DS156" s="59">
        <f t="shared" si="125"/>
        <v>293.33333333334605</v>
      </c>
      <c r="DT156" s="59">
        <f ca="1">AVERAGE(OFFSET($DS$3,0,0,'Données projet'!$E$14+1,1))-AVERAGE(OFFSET($H$3,0,0,'Données projet'!$E$14+1,1))</f>
        <v>407.73540492005355</v>
      </c>
      <c r="DU156" s="59">
        <f t="shared" si="152"/>
        <v>296.29416764204774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118.22380623390535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118.22380623390535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328.00000000000017</v>
      </c>
      <c r="EK156" s="17">
        <f>EJ156*VLOOKUP('Données projet'!$B$15,Paramètres!$A$1:$I$89,3,0)*VLOOKUP('Données projet'!$B$15,Paramètres!$A$1:$I$89,5,0)</f>
        <v>255.84000000000015</v>
      </c>
      <c r="EL156" s="13">
        <f t="shared" si="179"/>
        <v>61.834803371075886</v>
      </c>
      <c r="EM156" s="20">
        <f t="shared" si="180"/>
        <v>553.28361587129086</v>
      </c>
      <c r="EN156" s="59">
        <f t="shared" si="128"/>
        <v>846.61694920462423</v>
      </c>
      <c r="EO156" s="59">
        <f ca="1">AVERAGE(OFFSET($EN$3,0,0,'Données projet'!$E$15+1,1))-AVERAGE(OFFSET($H$3,0,0,'Données projet'!$E$15+1,1))</f>
        <v>288.80569134263209</v>
      </c>
      <c r="EP156" s="59">
        <f t="shared" si="154"/>
        <v>283.48738729114024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3.8511673920281715</v>
      </c>
      <c r="EW156" s="21">
        <f>EXP(-LN(2)/25)*EW155+(1-EXP(-LN(2)/25))/(LN(2)/25)*Calculateur!ER156*Calculateur!ET156*VLOOKUP('Données projet'!$B$15,Paramètres!$A$1:$I$89,3,0)*0.475*44/12</f>
        <v>1.9240911995367145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5.775258591564886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293.33333333334531</v>
      </c>
      <c r="S157" s="59">
        <f ca="1">AVERAGE(OFFSET($R$3,0,0,'Données projet'!$E$9+1,1))-AVERAGE(OFFSET($H$3,0,0,'Données projet'!$E$9+1,1))</f>
        <v>384.05928630855732</v>
      </c>
      <c r="T157" s="59">
        <f t="shared" si="142"/>
        <v>279.93992813630513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-2.4158453015843406E-13</v>
      </c>
      <c r="AJ157" s="13">
        <f>AI157*VLOOKUP('Données projet'!$B$10,Paramètres!$A$1:$I$89,3,0)*VLOOKUP('Données projet'!$B$10,Paramètres!$A$1:$I$89,5,0)</f>
        <v>-2.0351080820546486E-13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312.48716825299158</v>
      </c>
      <c r="AO157" s="59">
        <f t="shared" si="144"/>
        <v>258.68277822755357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62.314406439658576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62.314406439658576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367.99999999999972</v>
      </c>
      <c r="BE157" s="13">
        <f>BD157*VLOOKUP('Données projet'!$B$11,Paramètres!$A$1:$I$89,3,0)*VLOOKUP('Données projet'!$B$11,Paramètres!$A$1:$I$89,5,0)</f>
        <v>269.8175999999998</v>
      </c>
      <c r="BF157" s="13">
        <f t="shared" si="167"/>
        <v>64.810557882019467</v>
      </c>
      <c r="BG157" s="20">
        <f t="shared" si="168"/>
        <v>582.81070831118348</v>
      </c>
      <c r="BH157" s="59">
        <f t="shared" si="116"/>
        <v>876.14404164451685</v>
      </c>
      <c r="BI157" s="59">
        <f ca="1">AVERAGE(OFFSET($BH$3,0,0,'Données projet'!$E$11+1,1))-AVERAGE(OFFSET($H$3,0,0,'Données projet'!$E$11+1,1))</f>
        <v>376.58419691967526</v>
      </c>
      <c r="BJ157" s="59">
        <f t="shared" si="146"/>
        <v>365.76175372075869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10.439379302796256</v>
      </c>
      <c r="BQ157" s="21">
        <f>EXP(-LN(2)/25)*BQ156+(1-EXP(-LN(2)/25))/(LN(2)/25)*Calculateur!BL157*Calculateur!BN157*VLOOKUP('Données projet'!$B$11,Paramètres!$A$1:$I$89,3,0)*0.475*44/12</f>
        <v>0.68817744975501283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11.12755675255127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292.78079999999977</v>
      </c>
      <c r="CA157" s="13">
        <f t="shared" si="170"/>
        <v>69.660903052386217</v>
      </c>
      <c r="CB157" s="20">
        <f t="shared" si="171"/>
        <v>631.25263281623893</v>
      </c>
      <c r="CC157" s="59">
        <f t="shared" si="119"/>
        <v>924.58596614957219</v>
      </c>
      <c r="CD157" s="59">
        <f ca="1">AVERAGE(OFFSET($CC$3,0,0,'Données projet'!$E$12+1,1))-AVERAGE(OFFSET($H$3,0,0,'Données projet'!$E$12+1,1))</f>
        <v>405.40026823646758</v>
      </c>
      <c r="CE157" s="59">
        <f t="shared" si="148"/>
        <v>393.0787141050053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13.962217840404868</v>
      </c>
      <c r="CL157" s="21">
        <f>EXP(-LN(2)/25)*CL156+(1-EXP(-LN(2)/25))/(LN(2)/25)*Calculateur!CG157*Calculateur!CI157*VLOOKUP('Données projet'!$B$12,Paramètres!$A$1:$I$89,3,0)*0.475*44/12</f>
        <v>0.92040754413053005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14.882625384535398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259.99999999999983</v>
      </c>
      <c r="CU157" s="17">
        <f>CT157*VLOOKUP('Données projet'!$B$13,Paramètres!$A$1:$I$89,3,0)*VLOOKUP('Données projet'!$B$13,Paramètres!$A$1:$I$89,5,0)</f>
        <v>227.13599999999985</v>
      </c>
      <c r="CV157" s="13">
        <f t="shared" si="173"/>
        <v>55.662966886685133</v>
      </c>
      <c r="CW157" s="20">
        <f t="shared" si="174"/>
        <v>492.5415339943097</v>
      </c>
      <c r="CX157" s="59">
        <f t="shared" si="122"/>
        <v>785.87486732764296</v>
      </c>
      <c r="CY157" s="59">
        <f ca="1">AVERAGE(OFFSET($CX$3,0,0,'Données projet'!$E$13+1,1))-AVERAGE(OFFSET($H$3,0,0,'Données projet'!$E$13+1,1))</f>
        <v>381.72225529388083</v>
      </c>
      <c r="CZ157" s="59">
        <f t="shared" si="150"/>
        <v>360.05900046417361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12.959797109198732</v>
      </c>
      <c r="DG157" s="21">
        <f>EXP(-LN(2)/25)*DG156+(1-EXP(-LN(2)/25))/(LN(2)/25)*Calculateur!DB157*Calculateur!DD157*VLOOKUP('Données projet'!$B$13,Paramètres!$A$1:$I$89,3,0)*0.475*44/12</f>
        <v>3.0075192508538873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15.967316360052619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5.6843418860808015E-13</v>
      </c>
      <c r="DP157" s="17">
        <f>DO157*VLOOKUP('Données projet'!$B$14,Paramètres!$A$1:$I$89,3,0)*VLOOKUP('Données projet'!$B$14,Paramètres!$A$1:$I$89,5,0)</f>
        <v>5.4978954722173515E-13</v>
      </c>
      <c r="DQ157" s="13">
        <f t="shared" si="176"/>
        <v>6.7731340873355904E-12</v>
      </c>
      <c r="DR157" s="20">
        <f t="shared" si="177"/>
        <v>1.2754091996854009E-11</v>
      </c>
      <c r="DS157" s="59">
        <f t="shared" si="125"/>
        <v>293.33333333334605</v>
      </c>
      <c r="DT157" s="59">
        <f ca="1">AVERAGE(OFFSET($DS$3,0,0,'Données projet'!$E$14+1,1))-AVERAGE(OFFSET($H$3,0,0,'Données projet'!$E$14+1,1))</f>
        <v>407.73540492005355</v>
      </c>
      <c r="DU157" s="59">
        <f t="shared" si="152"/>
        <v>296.29416764204774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115.90550950306006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115.90550950306006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328.00000000000017</v>
      </c>
      <c r="EK157" s="17">
        <f>EJ157*VLOOKUP('Données projet'!$B$15,Paramètres!$A$1:$I$89,3,0)*VLOOKUP('Données projet'!$B$15,Paramètres!$A$1:$I$89,5,0)</f>
        <v>255.84000000000015</v>
      </c>
      <c r="EL157" s="13">
        <f t="shared" si="179"/>
        <v>61.834803371075886</v>
      </c>
      <c r="EM157" s="20">
        <f t="shared" si="180"/>
        <v>553.28361587129086</v>
      </c>
      <c r="EN157" s="59">
        <f t="shared" si="128"/>
        <v>846.61694920462423</v>
      </c>
      <c r="EO157" s="59">
        <f ca="1">AVERAGE(OFFSET($EN$3,0,0,'Données projet'!$E$15+1,1))-AVERAGE(OFFSET($H$3,0,0,'Données projet'!$E$15+1,1))</f>
        <v>288.80569134263209</v>
      </c>
      <c r="EP157" s="59">
        <f t="shared" si="154"/>
        <v>283.48738729114024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3.7756483484506655</v>
      </c>
      <c r="EW157" s="21">
        <f>EXP(-LN(2)/25)*EW156+(1-EXP(-LN(2)/25))/(LN(2)/25)*Calculateur!ER157*Calculateur!ET157*VLOOKUP('Données projet'!$B$15,Paramètres!$A$1:$I$89,3,0)*0.475*44/12</f>
        <v>1.8714768245018245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5.6471251729524905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293.33333333334531</v>
      </c>
      <c r="S158" s="59">
        <f ca="1">AVERAGE(OFFSET($R$3,0,0,'Données projet'!$E$9+1,1))-AVERAGE(OFFSET($H$3,0,0,'Données projet'!$E$9+1,1))</f>
        <v>384.05928630855732</v>
      </c>
      <c r="T158" s="59">
        <f t="shared" si="142"/>
        <v>279.93992813630513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-2.4158453015843406E-13</v>
      </c>
      <c r="AJ158" s="13">
        <f>AI158*VLOOKUP('Données projet'!$B$10,Paramètres!$A$1:$I$89,3,0)*VLOOKUP('Données projet'!$B$10,Paramètres!$A$1:$I$89,5,0)</f>
        <v>-2.0351080820546486E-13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312.48716825299158</v>
      </c>
      <c r="AO158" s="59">
        <f t="shared" si="144"/>
        <v>258.68277822755357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61.09245893741182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61.09245893741182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367.99999999999972</v>
      </c>
      <c r="BE158" s="13">
        <f>BD158*VLOOKUP('Données projet'!$B$11,Paramètres!$A$1:$I$89,3,0)*VLOOKUP('Données projet'!$B$11,Paramètres!$A$1:$I$89,5,0)</f>
        <v>269.8175999999998</v>
      </c>
      <c r="BF158" s="13">
        <f t="shared" si="167"/>
        <v>64.810557882019467</v>
      </c>
      <c r="BG158" s="20">
        <f t="shared" si="168"/>
        <v>582.81070831118348</v>
      </c>
      <c r="BH158" s="59">
        <f t="shared" si="116"/>
        <v>876.14404164451685</v>
      </c>
      <c r="BI158" s="59">
        <f ca="1">AVERAGE(OFFSET($BH$3,0,0,'Données projet'!$E$11+1,1))-AVERAGE(OFFSET($H$3,0,0,'Données projet'!$E$11+1,1))</f>
        <v>376.58419691967526</v>
      </c>
      <c r="BJ158" s="59">
        <f t="shared" si="146"/>
        <v>365.76175372075869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10.234669442061069</v>
      </c>
      <c r="BQ158" s="21">
        <f>EXP(-LN(2)/25)*BQ157+(1-EXP(-LN(2)/25))/(LN(2)/25)*Calculateur!BL158*Calculateur!BN158*VLOOKUP('Données projet'!$B$11,Paramètres!$A$1:$I$89,3,0)*0.475*44/12</f>
        <v>0.66935920120178272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10.904028643262851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292.78079999999977</v>
      </c>
      <c r="CA158" s="13">
        <f t="shared" si="170"/>
        <v>69.660903052386217</v>
      </c>
      <c r="CB158" s="20">
        <f t="shared" si="171"/>
        <v>631.25263281623893</v>
      </c>
      <c r="CC158" s="59">
        <f t="shared" si="119"/>
        <v>924.58596614957219</v>
      </c>
      <c r="CD158" s="59">
        <f ca="1">AVERAGE(OFFSET($CC$3,0,0,'Données projet'!$E$12+1,1))-AVERAGE(OFFSET($H$3,0,0,'Données projet'!$E$12+1,1))</f>
        <v>405.40026823646758</v>
      </c>
      <c r="CE158" s="59">
        <f t="shared" si="148"/>
        <v>393.0787141050053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13.688427264666515</v>
      </c>
      <c r="CL158" s="21">
        <f>EXP(-LN(2)/25)*CL157+(1-EXP(-LN(2)/25))/(LN(2)/25)*Calculateur!CG158*Calculateur!CI158*VLOOKUP('Données projet'!$B$12,Paramètres!$A$1:$I$89,3,0)*0.475*44/12</f>
        <v>0.89523895143415155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14.583666216100667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259.99999999999983</v>
      </c>
      <c r="CU158" s="17">
        <f>CT158*VLOOKUP('Données projet'!$B$13,Paramètres!$A$1:$I$89,3,0)*VLOOKUP('Données projet'!$B$13,Paramètres!$A$1:$I$89,5,0)</f>
        <v>227.13599999999985</v>
      </c>
      <c r="CV158" s="13">
        <f t="shared" si="173"/>
        <v>55.662966886685133</v>
      </c>
      <c r="CW158" s="20">
        <f t="shared" si="174"/>
        <v>492.5415339943097</v>
      </c>
      <c r="CX158" s="59">
        <f t="shared" si="122"/>
        <v>785.87486732764296</v>
      </c>
      <c r="CY158" s="59">
        <f ca="1">AVERAGE(OFFSET($CX$3,0,0,'Données projet'!$E$13+1,1))-AVERAGE(OFFSET($H$3,0,0,'Données projet'!$E$13+1,1))</f>
        <v>381.72225529388083</v>
      </c>
      <c r="CZ158" s="59">
        <f t="shared" si="150"/>
        <v>360.05900046417361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12.705663392583057</v>
      </c>
      <c r="DG158" s="21">
        <f>EXP(-LN(2)/25)*DG157+(1-EXP(-LN(2)/25))/(LN(2)/25)*Calculateur!DB158*Calculateur!DD158*VLOOKUP('Données projet'!$B$13,Paramètres!$A$1:$I$89,3,0)*0.475*44/12</f>
        <v>2.925278478780724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15.630941871363781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5.6843418860808015E-13</v>
      </c>
      <c r="DP158" s="17">
        <f>DO158*VLOOKUP('Données projet'!$B$14,Paramètres!$A$1:$I$89,3,0)*VLOOKUP('Données projet'!$B$14,Paramètres!$A$1:$I$89,5,0)</f>
        <v>5.4978954722173515E-13</v>
      </c>
      <c r="DQ158" s="13">
        <f t="shared" si="176"/>
        <v>6.7731340873355904E-12</v>
      </c>
      <c r="DR158" s="20">
        <f t="shared" si="177"/>
        <v>1.2754091996854009E-11</v>
      </c>
      <c r="DS158" s="59">
        <f t="shared" si="125"/>
        <v>293.33333333334605</v>
      </c>
      <c r="DT158" s="59">
        <f ca="1">AVERAGE(OFFSET($DS$3,0,0,'Données projet'!$E$14+1,1))-AVERAGE(OFFSET($H$3,0,0,'Données projet'!$E$14+1,1))</f>
        <v>407.73540492005355</v>
      </c>
      <c r="DU158" s="59">
        <f t="shared" si="152"/>
        <v>296.29416764204774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113.63267315708526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113.63267315708526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328.00000000000017</v>
      </c>
      <c r="EK158" s="17">
        <f>EJ158*VLOOKUP('Données projet'!$B$15,Paramètres!$A$1:$I$89,3,0)*VLOOKUP('Données projet'!$B$15,Paramètres!$A$1:$I$89,5,0)</f>
        <v>255.84000000000015</v>
      </c>
      <c r="EL158" s="13">
        <f t="shared" si="179"/>
        <v>61.834803371075886</v>
      </c>
      <c r="EM158" s="20">
        <f t="shared" si="180"/>
        <v>553.28361587129086</v>
      </c>
      <c r="EN158" s="59">
        <f t="shared" si="128"/>
        <v>846.61694920462423</v>
      </c>
      <c r="EO158" s="59">
        <f ca="1">AVERAGE(OFFSET($EN$3,0,0,'Données projet'!$E$15+1,1))-AVERAGE(OFFSET($H$3,0,0,'Données projet'!$E$15+1,1))</f>
        <v>288.80569134263209</v>
      </c>
      <c r="EP158" s="59">
        <f t="shared" si="154"/>
        <v>283.48738729114024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3.7016101872556462</v>
      </c>
      <c r="EW158" s="21">
        <f>EXP(-LN(2)/25)*EW157+(1-EXP(-LN(2)/25))/(LN(2)/25)*Calculateur!ER158*Calculateur!ET158*VLOOKUP('Données projet'!$B$15,Paramètres!$A$1:$I$89,3,0)*0.475*44/12</f>
        <v>1.8203011923191332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5.5219113795747798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293.33333333334531</v>
      </c>
      <c r="S159" s="59">
        <f ca="1">AVERAGE(OFFSET($R$3,0,0,'Données projet'!$E$9+1,1))-AVERAGE(OFFSET($H$3,0,0,'Données projet'!$E$9+1,1))</f>
        <v>384.05928630855732</v>
      </c>
      <c r="T159" s="59">
        <f t="shared" si="142"/>
        <v>279.93992813630513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-2.4158453015843406E-13</v>
      </c>
      <c r="AJ159" s="13">
        <f>AI159*VLOOKUP('Données projet'!$B$10,Paramètres!$A$1:$I$89,3,0)*VLOOKUP('Données projet'!$B$10,Paramètres!$A$1:$I$89,5,0)</f>
        <v>-2.0351080820546486E-13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312.48716825299158</v>
      </c>
      <c r="AO159" s="59">
        <f t="shared" si="144"/>
        <v>258.68277822755357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59.894473080369735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59.894473080369735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367.99999999999972</v>
      </c>
      <c r="BE159" s="13">
        <f>BD159*VLOOKUP('Données projet'!$B$11,Paramètres!$A$1:$I$89,3,0)*VLOOKUP('Données projet'!$B$11,Paramètres!$A$1:$I$89,5,0)</f>
        <v>269.8175999999998</v>
      </c>
      <c r="BF159" s="13">
        <f t="shared" si="167"/>
        <v>64.810557882019467</v>
      </c>
      <c r="BG159" s="20">
        <f t="shared" si="168"/>
        <v>582.81070831118348</v>
      </c>
      <c r="BH159" s="59">
        <f t="shared" si="116"/>
        <v>876.14404164451685</v>
      </c>
      <c r="BI159" s="59">
        <f ca="1">AVERAGE(OFFSET($BH$3,0,0,'Données projet'!$E$11+1,1))-AVERAGE(OFFSET($H$3,0,0,'Données projet'!$E$11+1,1))</f>
        <v>376.58419691967526</v>
      </c>
      <c r="BJ159" s="59">
        <f t="shared" si="146"/>
        <v>365.76175372075869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10.033973816834212</v>
      </c>
      <c r="BQ159" s="21">
        <f>EXP(-LN(2)/25)*BQ158+(1-EXP(-LN(2)/25))/(LN(2)/25)*Calculateur!BL159*Calculateur!BN159*VLOOKUP('Données projet'!$B$11,Paramètres!$A$1:$I$89,3,0)*0.475*44/12</f>
        <v>0.65105553864484944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10.685029355479061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292.78079999999977</v>
      </c>
      <c r="CA159" s="13">
        <f t="shared" si="170"/>
        <v>69.660903052386217</v>
      </c>
      <c r="CB159" s="20">
        <f t="shared" si="171"/>
        <v>631.25263281623893</v>
      </c>
      <c r="CC159" s="59">
        <f t="shared" si="119"/>
        <v>924.58596614957219</v>
      </c>
      <c r="CD159" s="59">
        <f ca="1">AVERAGE(OFFSET($CC$3,0,0,'Données projet'!$E$12+1,1))-AVERAGE(OFFSET($H$3,0,0,'Données projet'!$E$12+1,1))</f>
        <v>405.40026823646758</v>
      </c>
      <c r="CE159" s="59">
        <f t="shared" si="148"/>
        <v>393.0787141050053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13.42000555512263</v>
      </c>
      <c r="CL159" s="21">
        <f>EXP(-LN(2)/25)*CL158+(1-EXP(-LN(2)/25))/(LN(2)/25)*Calculateur!CG159*Calculateur!CI159*VLOOKUP('Données projet'!$B$12,Paramètres!$A$1:$I$89,3,0)*0.475*44/12</f>
        <v>0.87075859522861432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14.290764150351244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259.99999999999983</v>
      </c>
      <c r="CU159" s="17">
        <f>CT159*VLOOKUP('Données projet'!$B$13,Paramètres!$A$1:$I$89,3,0)*VLOOKUP('Données projet'!$B$13,Paramètres!$A$1:$I$89,5,0)</f>
        <v>227.13599999999985</v>
      </c>
      <c r="CV159" s="13">
        <f t="shared" si="173"/>
        <v>55.662966886685133</v>
      </c>
      <c r="CW159" s="20">
        <f t="shared" si="174"/>
        <v>492.5415339943097</v>
      </c>
      <c r="CX159" s="59">
        <f t="shared" si="122"/>
        <v>785.87486732764296</v>
      </c>
      <c r="CY159" s="59">
        <f ca="1">AVERAGE(OFFSET($CX$3,0,0,'Données projet'!$E$13+1,1))-AVERAGE(OFFSET($H$3,0,0,'Données projet'!$E$13+1,1))</f>
        <v>381.72225529388083</v>
      </c>
      <c r="CZ159" s="59">
        <f t="shared" si="150"/>
        <v>360.05900046417361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12.456513083143955</v>
      </c>
      <c r="DG159" s="21">
        <f>EXP(-LN(2)/25)*DG158+(1-EXP(-LN(2)/25))/(LN(2)/25)*Calculateur!DB159*Calculateur!DD159*VLOOKUP('Données projet'!$B$13,Paramètres!$A$1:$I$89,3,0)*0.475*44/12</f>
        <v>2.8452865849447555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15.301799668088711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5.6843418860808015E-13</v>
      </c>
      <c r="DP159" s="17">
        <f>DO159*VLOOKUP('Données projet'!$B$14,Paramètres!$A$1:$I$89,3,0)*VLOOKUP('Données projet'!$B$14,Paramètres!$A$1:$I$89,5,0)</f>
        <v>5.4978954722173515E-13</v>
      </c>
      <c r="DQ159" s="13">
        <f t="shared" si="176"/>
        <v>6.7731340873355904E-12</v>
      </c>
      <c r="DR159" s="20">
        <f t="shared" si="177"/>
        <v>1.2754091996854009E-11</v>
      </c>
      <c r="DS159" s="59">
        <f t="shared" si="125"/>
        <v>293.33333333334605</v>
      </c>
      <c r="DT159" s="59">
        <f ca="1">AVERAGE(OFFSET($DS$3,0,0,'Données projet'!$E$14+1,1))-AVERAGE(OFFSET($H$3,0,0,'Données projet'!$E$14+1,1))</f>
        <v>407.73540492005355</v>
      </c>
      <c r="DU159" s="59">
        <f t="shared" si="152"/>
        <v>296.29416764204774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111.40440574556175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111.40440574556175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328.00000000000017</v>
      </c>
      <c r="EK159" s="17">
        <f>EJ159*VLOOKUP('Données projet'!$B$15,Paramètres!$A$1:$I$89,3,0)*VLOOKUP('Données projet'!$B$15,Paramètres!$A$1:$I$89,5,0)</f>
        <v>255.84000000000015</v>
      </c>
      <c r="EL159" s="13">
        <f t="shared" si="179"/>
        <v>61.834803371075886</v>
      </c>
      <c r="EM159" s="20">
        <f t="shared" si="180"/>
        <v>553.28361587129086</v>
      </c>
      <c r="EN159" s="59">
        <f t="shared" si="128"/>
        <v>846.61694920462423</v>
      </c>
      <c r="EO159" s="59">
        <f ca="1">AVERAGE(OFFSET($EN$3,0,0,'Données projet'!$E$15+1,1))-AVERAGE(OFFSET($H$3,0,0,'Données projet'!$E$15+1,1))</f>
        <v>288.80569134263209</v>
      </c>
      <c r="EP159" s="59">
        <f t="shared" si="154"/>
        <v>283.48738729114024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3.6290238692428418</v>
      </c>
      <c r="EW159" s="21">
        <f>EXP(-LN(2)/25)*EW158+(1-EXP(-LN(2)/25))/(LN(2)/25)*Calculateur!ER159*Calculateur!ET159*VLOOKUP('Données projet'!$B$15,Paramètres!$A$1:$I$89,3,0)*0.475*44/12</f>
        <v>1.7705249604896871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5.3995488297325291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293.33333333334531</v>
      </c>
      <c r="S160" s="59">
        <f ca="1">AVERAGE(OFFSET($R$3,0,0,'Données projet'!$E$9+1,1))-AVERAGE(OFFSET($H$3,0,0,'Données projet'!$E$9+1,1))</f>
        <v>384.05928630855732</v>
      </c>
      <c r="T160" s="59">
        <f t="shared" si="142"/>
        <v>279.93992813630513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-2.4158453015843406E-13</v>
      </c>
      <c r="AJ160" s="13">
        <f>AI160*VLOOKUP('Données projet'!$B$10,Paramètres!$A$1:$I$89,3,0)*VLOOKUP('Données projet'!$B$10,Paramètres!$A$1:$I$89,5,0)</f>
        <v>-2.0351080820546486E-13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312.48716825299158</v>
      </c>
      <c r="AO160" s="59">
        <f t="shared" si="144"/>
        <v>258.68277822755357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58.719978995285025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58.719978995285025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367.99999999999972</v>
      </c>
      <c r="BE160" s="13">
        <f>BD160*VLOOKUP('Données projet'!$B$11,Paramètres!$A$1:$I$89,3,0)*VLOOKUP('Données projet'!$B$11,Paramètres!$A$1:$I$89,5,0)</f>
        <v>269.8175999999998</v>
      </c>
      <c r="BF160" s="13">
        <f t="shared" si="167"/>
        <v>64.810557882019467</v>
      </c>
      <c r="BG160" s="20">
        <f t="shared" si="168"/>
        <v>582.81070831118348</v>
      </c>
      <c r="BH160" s="59">
        <f t="shared" si="116"/>
        <v>876.14404164451685</v>
      </c>
      <c r="BI160" s="59">
        <f ca="1">AVERAGE(OFFSET($BH$3,0,0,'Données projet'!$E$11+1,1))-AVERAGE(OFFSET($H$3,0,0,'Données projet'!$E$11+1,1))</f>
        <v>376.58419691967526</v>
      </c>
      <c r="BJ160" s="59">
        <f t="shared" si="146"/>
        <v>365.76175372075869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9.8372137104058108</v>
      </c>
      <c r="BQ160" s="21">
        <f>EXP(-LN(2)/25)*BQ159+(1-EXP(-LN(2)/25))/(LN(2)/25)*Calculateur!BL160*Calculateur!BN160*VLOOKUP('Données projet'!$B$11,Paramètres!$A$1:$I$89,3,0)*0.475*44/12</f>
        <v>0.63325239070308326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10.470466101108894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292.78079999999977</v>
      </c>
      <c r="CA160" s="13">
        <f t="shared" si="170"/>
        <v>69.660903052386217</v>
      </c>
      <c r="CB160" s="20">
        <f t="shared" si="171"/>
        <v>631.25263281623893</v>
      </c>
      <c r="CC160" s="59">
        <f t="shared" si="119"/>
        <v>924.58596614957219</v>
      </c>
      <c r="CD160" s="59">
        <f ca="1">AVERAGE(OFFSET($CC$3,0,0,'Données projet'!$E$12+1,1))-AVERAGE(OFFSET($H$3,0,0,'Données projet'!$E$12+1,1))</f>
        <v>405.40026823646758</v>
      </c>
      <c r="CE160" s="59">
        <f t="shared" si="148"/>
        <v>393.0787141050053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13.156847431581824</v>
      </c>
      <c r="CL160" s="21">
        <f>EXP(-LN(2)/25)*CL159+(1-EXP(-LN(2)/25))/(LN(2)/25)*Calculateur!CG160*Calculateur!CI160*VLOOKUP('Données projet'!$B$12,Paramètres!$A$1:$I$89,3,0)*0.475*44/12</f>
        <v>0.84694765565088348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14.003795087232707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259.99999999999983</v>
      </c>
      <c r="CU160" s="17">
        <f>CT160*VLOOKUP('Données projet'!$B$13,Paramètres!$A$1:$I$89,3,0)*VLOOKUP('Données projet'!$B$13,Paramètres!$A$1:$I$89,5,0)</f>
        <v>227.13599999999985</v>
      </c>
      <c r="CV160" s="13">
        <f t="shared" si="173"/>
        <v>55.662966886685133</v>
      </c>
      <c r="CW160" s="20">
        <f t="shared" si="174"/>
        <v>492.5415339943097</v>
      </c>
      <c r="CX160" s="59">
        <f t="shared" si="122"/>
        <v>785.87486732764296</v>
      </c>
      <c r="CY160" s="59">
        <f ca="1">AVERAGE(OFFSET($CX$3,0,0,'Données projet'!$E$13+1,1))-AVERAGE(OFFSET($H$3,0,0,'Données projet'!$E$13+1,1))</f>
        <v>381.72225529388083</v>
      </c>
      <c r="CZ160" s="59">
        <f t="shared" si="150"/>
        <v>360.05900046417361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12.21224845930627</v>
      </c>
      <c r="DG160" s="21">
        <f>EXP(-LN(2)/25)*DG159+(1-EXP(-LN(2)/25))/(LN(2)/25)*Calculateur!DB160*Calculateur!DD160*VLOOKUP('Données projet'!$B$13,Paramètres!$A$1:$I$89,3,0)*0.475*44/12</f>
        <v>2.7674820736523227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14.979730532958593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5.6843418860808015E-13</v>
      </c>
      <c r="DP160" s="17">
        <f>DO160*VLOOKUP('Données projet'!$B$14,Paramètres!$A$1:$I$89,3,0)*VLOOKUP('Données projet'!$B$14,Paramètres!$A$1:$I$89,5,0)</f>
        <v>5.4978954722173515E-13</v>
      </c>
      <c r="DQ160" s="13">
        <f t="shared" si="176"/>
        <v>6.7731340873355904E-12</v>
      </c>
      <c r="DR160" s="20">
        <f t="shared" si="177"/>
        <v>1.2754091996854009E-11</v>
      </c>
      <c r="DS160" s="59">
        <f t="shared" si="125"/>
        <v>293.33333333334605</v>
      </c>
      <c r="DT160" s="59">
        <f ca="1">AVERAGE(OFFSET($DS$3,0,0,'Données projet'!$E$14+1,1))-AVERAGE(OFFSET($H$3,0,0,'Données projet'!$E$14+1,1))</f>
        <v>407.73540492005355</v>
      </c>
      <c r="DU160" s="59">
        <f t="shared" si="152"/>
        <v>296.29416764204774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109.21983329886928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109.21983329886928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328.00000000000017</v>
      </c>
      <c r="EK160" s="17">
        <f>EJ160*VLOOKUP('Données projet'!$B$15,Paramètres!$A$1:$I$89,3,0)*VLOOKUP('Données projet'!$B$15,Paramètres!$A$1:$I$89,5,0)</f>
        <v>255.84000000000015</v>
      </c>
      <c r="EL160" s="13">
        <f t="shared" si="179"/>
        <v>61.834803371075886</v>
      </c>
      <c r="EM160" s="20">
        <f t="shared" si="180"/>
        <v>553.28361587129086</v>
      </c>
      <c r="EN160" s="59">
        <f t="shared" si="128"/>
        <v>846.61694920462423</v>
      </c>
      <c r="EO160" s="59">
        <f ca="1">AVERAGE(OFFSET($EN$3,0,0,'Données projet'!$E$15+1,1))-AVERAGE(OFFSET($H$3,0,0,'Données projet'!$E$15+1,1))</f>
        <v>288.80569134263209</v>
      </c>
      <c r="EP160" s="59">
        <f t="shared" si="154"/>
        <v>283.48738729114024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3.5578609246529864</v>
      </c>
      <c r="EW160" s="21">
        <f>EXP(-LN(2)/25)*EW159+(1-EXP(-LN(2)/25))/(LN(2)/25)*Calculateur!ER160*Calculateur!ET160*VLOOKUP('Données projet'!$B$15,Paramètres!$A$1:$I$89,3,0)*0.475*44/12</f>
        <v>1.7221098623372355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5.2799707869902219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293.33333333334531</v>
      </c>
      <c r="S161" s="59">
        <f ca="1">AVERAGE(OFFSET($R$3,0,0,'Données projet'!$E$9+1,1))-AVERAGE(OFFSET($H$3,0,0,'Données projet'!$E$9+1,1))</f>
        <v>384.05928630855732</v>
      </c>
      <c r="T161" s="59">
        <f t="shared" si="142"/>
        <v>279.93992813630513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-2.4158453015843406E-13</v>
      </c>
      <c r="AJ161" s="13">
        <f>AI161*VLOOKUP('Données projet'!$B$10,Paramètres!$A$1:$I$89,3,0)*VLOOKUP('Données projet'!$B$10,Paramètres!$A$1:$I$89,5,0)</f>
        <v>-2.0351080820546486E-13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312.48716825299158</v>
      </c>
      <c r="AO161" s="59">
        <f t="shared" si="144"/>
        <v>258.68277822755357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57.568516022838175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57.568516022838175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367.99999999999972</v>
      </c>
      <c r="BE161" s="13">
        <f>BD161*VLOOKUP('Données projet'!$B$11,Paramètres!$A$1:$I$89,3,0)*VLOOKUP('Données projet'!$B$11,Paramètres!$A$1:$I$89,5,0)</f>
        <v>269.8175999999998</v>
      </c>
      <c r="BF161" s="13">
        <f t="shared" si="167"/>
        <v>64.810557882019467</v>
      </c>
      <c r="BG161" s="20">
        <f t="shared" si="168"/>
        <v>582.81070831118348</v>
      </c>
      <c r="BH161" s="59">
        <f t="shared" si="116"/>
        <v>876.14404164451685</v>
      </c>
      <c r="BI161" s="59">
        <f ca="1">AVERAGE(OFFSET($BH$3,0,0,'Données projet'!$E$11+1,1))-AVERAGE(OFFSET($H$3,0,0,'Données projet'!$E$11+1,1))</f>
        <v>376.58419691967526</v>
      </c>
      <c r="BJ161" s="59">
        <f t="shared" si="146"/>
        <v>365.76175372075869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9.6443119496526553</v>
      </c>
      <c r="BQ161" s="21">
        <f>EXP(-LN(2)/25)*BQ160+(1-EXP(-LN(2)/25))/(LN(2)/25)*Calculateur!BL161*Calculateur!BN161*VLOOKUP('Données projet'!$B$11,Paramètres!$A$1:$I$89,3,0)*0.475*44/12</f>
        <v>0.61593607077801149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10.260248020430666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292.78079999999977</v>
      </c>
      <c r="CA161" s="13">
        <f t="shared" si="170"/>
        <v>69.660903052386217</v>
      </c>
      <c r="CB161" s="20">
        <f t="shared" si="171"/>
        <v>631.25263281623893</v>
      </c>
      <c r="CC161" s="59">
        <f t="shared" si="119"/>
        <v>924.58596614957219</v>
      </c>
      <c r="CD161" s="59">
        <f ca="1">AVERAGE(OFFSET($CC$3,0,0,'Données projet'!$E$12+1,1))-AVERAGE(OFFSET($H$3,0,0,'Données projet'!$E$12+1,1))</f>
        <v>405.40026823646758</v>
      </c>
      <c r="CE161" s="59">
        <f t="shared" si="148"/>
        <v>393.0787141050053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12.898849678333045</v>
      </c>
      <c r="CL161" s="21">
        <f>EXP(-LN(2)/25)*CL160+(1-EXP(-LN(2)/25))/(LN(2)/25)*Calculateur!CG161*Calculateur!CI161*VLOOKUP('Données projet'!$B$12,Paramètres!$A$1:$I$89,3,0)*0.475*44/12</f>
        <v>0.82378782746806856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13.722637505801114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259.99999999999983</v>
      </c>
      <c r="CU161" s="17">
        <f>CT161*VLOOKUP('Données projet'!$B$13,Paramètres!$A$1:$I$89,3,0)*VLOOKUP('Données projet'!$B$13,Paramètres!$A$1:$I$89,5,0)</f>
        <v>227.13599999999985</v>
      </c>
      <c r="CV161" s="13">
        <f t="shared" si="173"/>
        <v>55.662966886685133</v>
      </c>
      <c r="CW161" s="20">
        <f t="shared" si="174"/>
        <v>492.5415339943097</v>
      </c>
      <c r="CX161" s="59">
        <f t="shared" si="122"/>
        <v>785.87486732764296</v>
      </c>
      <c r="CY161" s="59">
        <f ca="1">AVERAGE(OFFSET($CX$3,0,0,'Données projet'!$E$13+1,1))-AVERAGE(OFFSET($H$3,0,0,'Données projet'!$E$13+1,1))</f>
        <v>381.72225529388083</v>
      </c>
      <c r="CZ161" s="59">
        <f t="shared" si="150"/>
        <v>360.05900046417361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11.972773715755332</v>
      </c>
      <c r="DG161" s="21">
        <f>EXP(-LN(2)/25)*DG160+(1-EXP(-LN(2)/25))/(LN(2)/25)*Calculateur!DB161*Calculateur!DD161*VLOOKUP('Données projet'!$B$13,Paramètres!$A$1:$I$89,3,0)*0.475*44/12</f>
        <v>2.6918051308127429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14.664578846568075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5.6843418860808015E-13</v>
      </c>
      <c r="DP161" s="17">
        <f>DO161*VLOOKUP('Données projet'!$B$14,Paramètres!$A$1:$I$89,3,0)*VLOOKUP('Données projet'!$B$14,Paramètres!$A$1:$I$89,5,0)</f>
        <v>5.4978954722173515E-13</v>
      </c>
      <c r="DQ161" s="13">
        <f t="shared" si="176"/>
        <v>6.7731340873355904E-12</v>
      </c>
      <c r="DR161" s="20">
        <f t="shared" si="177"/>
        <v>1.2754091996854009E-11</v>
      </c>
      <c r="DS161" s="59">
        <f t="shared" si="125"/>
        <v>293.33333333334605</v>
      </c>
      <c r="DT161" s="59">
        <f ca="1">AVERAGE(OFFSET($DS$3,0,0,'Données projet'!$E$14+1,1))-AVERAGE(OFFSET($H$3,0,0,'Données projet'!$E$14+1,1))</f>
        <v>407.73540492005355</v>
      </c>
      <c r="DU161" s="59">
        <f t="shared" si="152"/>
        <v>296.29416764204774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107.07809898539882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107.07809898539882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328.00000000000017</v>
      </c>
      <c r="EK161" s="17">
        <f>EJ161*VLOOKUP('Données projet'!$B$15,Paramètres!$A$1:$I$89,3,0)*VLOOKUP('Données projet'!$B$15,Paramètres!$A$1:$I$89,5,0)</f>
        <v>255.84000000000015</v>
      </c>
      <c r="EL161" s="13">
        <f t="shared" si="179"/>
        <v>61.834803371075886</v>
      </c>
      <c r="EM161" s="20">
        <f t="shared" si="180"/>
        <v>553.28361587129086</v>
      </c>
      <c r="EN161" s="59">
        <f t="shared" si="128"/>
        <v>846.61694920462423</v>
      </c>
      <c r="EO161" s="59">
        <f ca="1">AVERAGE(OFFSET($EN$3,0,0,'Données projet'!$E$15+1,1))-AVERAGE(OFFSET($H$3,0,0,'Données projet'!$E$15+1,1))</f>
        <v>288.80569134263209</v>
      </c>
      <c r="EP161" s="59">
        <f t="shared" si="154"/>
        <v>283.48738729114024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3.4880934420014276</v>
      </c>
      <c r="EW161" s="21">
        <f>EXP(-LN(2)/25)*EW160+(1-EXP(-LN(2)/25))/(LN(2)/25)*Calculateur!ER161*Calculateur!ET161*VLOOKUP('Données projet'!$B$15,Paramètres!$A$1:$I$89,3,0)*0.475*44/12</f>
        <v>1.6750186775898022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5.1631121195912293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293.33333333334531</v>
      </c>
      <c r="S162" s="59">
        <f ca="1">AVERAGE(OFFSET($R$3,0,0,'Données projet'!$E$9+1,1))-AVERAGE(OFFSET($H$3,0,0,'Données projet'!$E$9+1,1))</f>
        <v>384.05928630855732</v>
      </c>
      <c r="T162" s="59">
        <f t="shared" si="142"/>
        <v>279.93992813630513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-2.4158453015843406E-13</v>
      </c>
      <c r="AJ162" s="13">
        <f>AI162*VLOOKUP('Données projet'!$B$10,Paramètres!$A$1:$I$89,3,0)*VLOOKUP('Données projet'!$B$10,Paramètres!$A$1:$I$89,5,0)</f>
        <v>-2.0351080820546486E-13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312.48716825299158</v>
      </c>
      <c r="AO162" s="59">
        <f t="shared" si="144"/>
        <v>258.68277822755357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56.439632536957937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56.439632536957937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367.99999999999972</v>
      </c>
      <c r="BE162" s="13">
        <f>BD162*VLOOKUP('Données projet'!$B$11,Paramètres!$A$1:$I$89,3,0)*VLOOKUP('Données projet'!$B$11,Paramètres!$A$1:$I$89,5,0)</f>
        <v>269.8175999999998</v>
      </c>
      <c r="BF162" s="13">
        <f t="shared" si="167"/>
        <v>64.810557882019467</v>
      </c>
      <c r="BG162" s="20">
        <f t="shared" si="168"/>
        <v>582.81070831118348</v>
      </c>
      <c r="BH162" s="59">
        <f t="shared" si="116"/>
        <v>876.14404164451685</v>
      </c>
      <c r="BI162" s="59">
        <f ca="1">AVERAGE(OFFSET($BH$3,0,0,'Données projet'!$E$11+1,1))-AVERAGE(OFFSET($H$3,0,0,'Données projet'!$E$11+1,1))</f>
        <v>376.58419691967526</v>
      </c>
      <c r="BJ162" s="59">
        <f t="shared" si="146"/>
        <v>365.76175372075869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9.4551928747694127</v>
      </c>
      <c r="BQ162" s="21">
        <f>EXP(-LN(2)/25)*BQ161+(1-EXP(-LN(2)/25))/(LN(2)/25)*Calculateur!BL162*Calculateur!BN162*VLOOKUP('Données projet'!$B$11,Paramètres!$A$1:$I$89,3,0)*0.475*44/12</f>
        <v>0.59909326653191652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10.054286141301329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292.78079999999977</v>
      </c>
      <c r="CA162" s="13">
        <f t="shared" si="170"/>
        <v>69.660903052386217</v>
      </c>
      <c r="CB162" s="20">
        <f t="shared" si="171"/>
        <v>631.25263281623893</v>
      </c>
      <c r="CC162" s="59">
        <f t="shared" si="119"/>
        <v>924.58596614957219</v>
      </c>
      <c r="CD162" s="59">
        <f ca="1">AVERAGE(OFFSET($CC$3,0,0,'Données projet'!$E$12+1,1))-AVERAGE(OFFSET($H$3,0,0,'Données projet'!$E$12+1,1))</f>
        <v>405.40026823646758</v>
      </c>
      <c r="CE162" s="59">
        <f t="shared" si="148"/>
        <v>393.0787141050053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12.645911103662385</v>
      </c>
      <c r="CL162" s="21">
        <f>EXP(-LN(2)/25)*CL161+(1-EXP(-LN(2)/25))/(LN(2)/25)*Calculateur!CG162*Calculateur!CI162*VLOOKUP('Données projet'!$B$12,Paramètres!$A$1:$I$89,3,0)*0.475*44/12</f>
        <v>0.80126130600483514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13.447172409667221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259.99999999999983</v>
      </c>
      <c r="CU162" s="17">
        <f>CT162*VLOOKUP('Données projet'!$B$13,Paramètres!$A$1:$I$89,3,0)*VLOOKUP('Données projet'!$B$13,Paramètres!$A$1:$I$89,5,0)</f>
        <v>227.13599999999985</v>
      </c>
      <c r="CV162" s="13">
        <f t="shared" si="173"/>
        <v>55.662966886685133</v>
      </c>
      <c r="CW162" s="20">
        <f t="shared" si="174"/>
        <v>492.5415339943097</v>
      </c>
      <c r="CX162" s="59">
        <f t="shared" si="122"/>
        <v>785.87486732764296</v>
      </c>
      <c r="CY162" s="59">
        <f ca="1">AVERAGE(OFFSET($CX$3,0,0,'Données projet'!$E$13+1,1))-AVERAGE(OFFSET($H$3,0,0,'Données projet'!$E$13+1,1))</f>
        <v>381.72225529388083</v>
      </c>
      <c r="CZ162" s="59">
        <f t="shared" si="150"/>
        <v>360.05900046417361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11.737994925860258</v>
      </c>
      <c r="DG162" s="21">
        <f>EXP(-LN(2)/25)*DG161+(1-EXP(-LN(2)/25))/(LN(2)/25)*Calculateur!DB162*Calculateur!DD162*VLOOKUP('Données projet'!$B$13,Paramètres!$A$1:$I$89,3,0)*0.475*44/12</f>
        <v>2.6181975779547888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14.356192503815047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5.6843418860808015E-13</v>
      </c>
      <c r="DP162" s="17">
        <f>DO162*VLOOKUP('Données projet'!$B$14,Paramètres!$A$1:$I$89,3,0)*VLOOKUP('Données projet'!$B$14,Paramètres!$A$1:$I$89,5,0)</f>
        <v>5.4978954722173515E-13</v>
      </c>
      <c r="DQ162" s="13">
        <f t="shared" si="176"/>
        <v>6.7731340873355904E-12</v>
      </c>
      <c r="DR162" s="20">
        <f t="shared" si="177"/>
        <v>1.2754091996854009E-11</v>
      </c>
      <c r="DS162" s="59">
        <f t="shared" si="125"/>
        <v>293.33333333334605</v>
      </c>
      <c r="DT162" s="59">
        <f ca="1">AVERAGE(OFFSET($DS$3,0,0,'Données projet'!$E$14+1,1))-AVERAGE(OFFSET($H$3,0,0,'Données projet'!$E$14+1,1))</f>
        <v>407.73540492005355</v>
      </c>
      <c r="DU162" s="59">
        <f t="shared" si="152"/>
        <v>296.29416764204774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104.97836277548659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104.97836277548659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328.00000000000017</v>
      </c>
      <c r="EK162" s="17">
        <f>EJ162*VLOOKUP('Données projet'!$B$15,Paramètres!$A$1:$I$89,3,0)*VLOOKUP('Données projet'!$B$15,Paramètres!$A$1:$I$89,5,0)</f>
        <v>255.84000000000015</v>
      </c>
      <c r="EL162" s="13">
        <f t="shared" si="179"/>
        <v>61.834803371075886</v>
      </c>
      <c r="EM162" s="20">
        <f t="shared" si="180"/>
        <v>553.28361587129086</v>
      </c>
      <c r="EN162" s="59">
        <f t="shared" si="128"/>
        <v>846.61694920462423</v>
      </c>
      <c r="EO162" s="59">
        <f ca="1">AVERAGE(OFFSET($EN$3,0,0,'Données projet'!$E$15+1,1))-AVERAGE(OFFSET($H$3,0,0,'Données projet'!$E$15+1,1))</f>
        <v>288.80569134263209</v>
      </c>
      <c r="EP162" s="59">
        <f t="shared" si="154"/>
        <v>283.48738729114024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3.4196940571307035</v>
      </c>
      <c r="EW162" s="21">
        <f>EXP(-LN(2)/25)*EW161+(1-EXP(-LN(2)/25))/(LN(2)/25)*Calculateur!ER162*Calculateur!ET162*VLOOKUP('Données projet'!$B$15,Paramètres!$A$1:$I$89,3,0)*0.475*44/12</f>
        <v>1.6292152037657051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5.0489092608964086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293.33333333334531</v>
      </c>
      <c r="S163" s="59">
        <f ca="1">AVERAGE(OFFSET($R$3,0,0,'Données projet'!$E$9+1,1))-AVERAGE(OFFSET($H$3,0,0,'Données projet'!$E$9+1,1))</f>
        <v>384.05928630855732</v>
      </c>
      <c r="T163" s="59">
        <f t="shared" si="142"/>
        <v>279.93992813630513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-2.4158453015843406E-13</v>
      </c>
      <c r="AJ163" s="13">
        <f>AI163*VLOOKUP('Données projet'!$B$10,Paramètres!$A$1:$I$89,3,0)*VLOOKUP('Données projet'!$B$10,Paramètres!$A$1:$I$89,5,0)</f>
        <v>-2.0351080820546486E-13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312.48716825299158</v>
      </c>
      <c r="AO163" s="59">
        <f t="shared" si="144"/>
        <v>258.68277822755357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55.332885767684878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55.332885767684878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367.99999999999972</v>
      </c>
      <c r="BE163" s="13">
        <f>BD163*VLOOKUP('Données projet'!$B$11,Paramètres!$A$1:$I$89,3,0)*VLOOKUP('Données projet'!$B$11,Paramètres!$A$1:$I$89,5,0)</f>
        <v>269.8175999999998</v>
      </c>
      <c r="BF163" s="13">
        <f t="shared" si="167"/>
        <v>64.810557882019467</v>
      </c>
      <c r="BG163" s="20">
        <f t="shared" si="168"/>
        <v>582.81070831118348</v>
      </c>
      <c r="BH163" s="59">
        <f t="shared" si="116"/>
        <v>876.14404164451685</v>
      </c>
      <c r="BI163" s="59">
        <f ca="1">AVERAGE(OFFSET($BH$3,0,0,'Données projet'!$E$11+1,1))-AVERAGE(OFFSET($H$3,0,0,'Données projet'!$E$11+1,1))</f>
        <v>376.58419691967526</v>
      </c>
      <c r="BJ163" s="59">
        <f t="shared" si="146"/>
        <v>365.76175372075869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9.2697823095933849</v>
      </c>
      <c r="BQ163" s="21">
        <f>EXP(-LN(2)/25)*BQ162+(1-EXP(-LN(2)/25))/(LN(2)/25)*Calculateur!BL163*Calculateur!BN163*VLOOKUP('Données projet'!$B$11,Paramètres!$A$1:$I$89,3,0)*0.475*44/12</f>
        <v>0.58271102965365562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9.8524933392470402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292.78079999999977</v>
      </c>
      <c r="CA163" s="13">
        <f t="shared" si="170"/>
        <v>69.660903052386217</v>
      </c>
      <c r="CB163" s="20">
        <f t="shared" si="171"/>
        <v>631.25263281623893</v>
      </c>
      <c r="CC163" s="59">
        <f t="shared" si="119"/>
        <v>924.58596614957219</v>
      </c>
      <c r="CD163" s="59">
        <f ca="1">AVERAGE(OFFSET($CC$3,0,0,'Données projet'!$E$12+1,1))-AVERAGE(OFFSET($H$3,0,0,'Données projet'!$E$12+1,1))</f>
        <v>405.40026823646758</v>
      </c>
      <c r="CE163" s="59">
        <f t="shared" si="148"/>
        <v>393.0787141050053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12.397932500163719</v>
      </c>
      <c r="CL163" s="21">
        <f>EXP(-LN(2)/25)*CL162+(1-EXP(-LN(2)/25))/(LN(2)/25)*Calculateur!CG163*Calculateur!CI163*VLOOKUP('Données projet'!$B$12,Paramètres!$A$1:$I$89,3,0)*0.475*44/12</f>
        <v>0.7793507734556322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13.177283273619352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259.99999999999983</v>
      </c>
      <c r="CU163" s="17">
        <f>CT163*VLOOKUP('Données projet'!$B$13,Paramètres!$A$1:$I$89,3,0)*VLOOKUP('Données projet'!$B$13,Paramètres!$A$1:$I$89,5,0)</f>
        <v>227.13599999999985</v>
      </c>
      <c r="CV163" s="13">
        <f t="shared" si="173"/>
        <v>55.662966886685133</v>
      </c>
      <c r="CW163" s="20">
        <f t="shared" si="174"/>
        <v>492.5415339943097</v>
      </c>
      <c r="CX163" s="59">
        <f t="shared" si="122"/>
        <v>785.87486732764296</v>
      </c>
      <c r="CY163" s="59">
        <f ca="1">AVERAGE(OFFSET($CX$3,0,0,'Données projet'!$E$13+1,1))-AVERAGE(OFFSET($H$3,0,0,'Données projet'!$E$13+1,1))</f>
        <v>381.72225529388083</v>
      </c>
      <c r="CZ163" s="59">
        <f t="shared" si="150"/>
        <v>360.05900046417361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11.507820004834105</v>
      </c>
      <c r="DG163" s="21">
        <f>EXP(-LN(2)/25)*DG162+(1-EXP(-LN(2)/25))/(LN(2)/25)*Calculateur!DB163*Calculateur!DD163*VLOOKUP('Données projet'!$B$13,Paramètres!$A$1:$I$89,3,0)*0.475*44/12</f>
        <v>2.5466028275005885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14.054422832334694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5.6843418860808015E-13</v>
      </c>
      <c r="DP163" s="17">
        <f>DO163*VLOOKUP('Données projet'!$B$14,Paramètres!$A$1:$I$89,3,0)*VLOOKUP('Données projet'!$B$14,Paramètres!$A$1:$I$89,5,0)</f>
        <v>5.4978954722173515E-13</v>
      </c>
      <c r="DQ163" s="13">
        <f t="shared" si="176"/>
        <v>6.7731340873355904E-12</v>
      </c>
      <c r="DR163" s="20">
        <f t="shared" si="177"/>
        <v>1.2754091996854009E-11</v>
      </c>
      <c r="DS163" s="59">
        <f t="shared" si="125"/>
        <v>293.33333333334605</v>
      </c>
      <c r="DT163" s="59">
        <f ca="1">AVERAGE(OFFSET($DS$3,0,0,'Données projet'!$E$14+1,1))-AVERAGE(OFFSET($H$3,0,0,'Données projet'!$E$14+1,1))</f>
        <v>407.73540492005355</v>
      </c>
      <c r="DU163" s="59">
        <f t="shared" si="152"/>
        <v>296.29416764204774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102.9198011119381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102.9198011119381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328.00000000000017</v>
      </c>
      <c r="EK163" s="17">
        <f>EJ163*VLOOKUP('Données projet'!$B$15,Paramètres!$A$1:$I$89,3,0)*VLOOKUP('Données projet'!$B$15,Paramètres!$A$1:$I$89,5,0)</f>
        <v>255.84000000000015</v>
      </c>
      <c r="EL163" s="13">
        <f t="shared" si="179"/>
        <v>61.834803371075886</v>
      </c>
      <c r="EM163" s="20">
        <f t="shared" si="180"/>
        <v>553.28361587129086</v>
      </c>
      <c r="EN163" s="59">
        <f t="shared" si="128"/>
        <v>846.61694920462423</v>
      </c>
      <c r="EO163" s="59">
        <f ca="1">AVERAGE(OFFSET($EN$3,0,0,'Données projet'!$E$15+1,1))-AVERAGE(OFFSET($H$3,0,0,'Données projet'!$E$15+1,1))</f>
        <v>288.80569134263209</v>
      </c>
      <c r="EP163" s="59">
        <f t="shared" si="154"/>
        <v>283.48738729114024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3.352635942477789</v>
      </c>
      <c r="EW163" s="21">
        <f>EXP(-LN(2)/25)*EW162+(1-EXP(-LN(2)/25))/(LN(2)/25)*Calculateur!ER163*Calculateur!ET163*VLOOKUP('Données projet'!$B$15,Paramètres!$A$1:$I$89,3,0)*0.475*44/12</f>
        <v>1.5846642283420278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4.9373001708198165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293.33333333334531</v>
      </c>
      <c r="S164" s="59">
        <f ca="1">AVERAGE(OFFSET($R$3,0,0,'Données projet'!$E$9+1,1))-AVERAGE(OFFSET($H$3,0,0,'Données projet'!$E$9+1,1))</f>
        <v>384.05928630855732</v>
      </c>
      <c r="T164" s="59">
        <f t="shared" si="142"/>
        <v>279.93992813630513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-2.4158453015843406E-13</v>
      </c>
      <c r="AJ164" s="13">
        <f>AI164*VLOOKUP('Données projet'!$B$10,Paramètres!$A$1:$I$89,3,0)*VLOOKUP('Données projet'!$B$10,Paramètres!$A$1:$I$89,5,0)</f>
        <v>-2.0351080820546486E-13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312.48716825299158</v>
      </c>
      <c r="AO164" s="59">
        <f t="shared" si="144"/>
        <v>258.68277822755357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54.247841627508386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54.247841627508386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367.99999999999972</v>
      </c>
      <c r="BE164" s="13">
        <f>BD164*VLOOKUP('Données projet'!$B$11,Paramètres!$A$1:$I$89,3,0)*VLOOKUP('Données projet'!$B$11,Paramètres!$A$1:$I$89,5,0)</f>
        <v>269.8175999999998</v>
      </c>
      <c r="BF164" s="13">
        <f t="shared" si="167"/>
        <v>64.810557882019467</v>
      </c>
      <c r="BG164" s="20">
        <f t="shared" si="168"/>
        <v>582.81070831118348</v>
      </c>
      <c r="BH164" s="59">
        <f t="shared" si="116"/>
        <v>876.14404164451685</v>
      </c>
      <c r="BI164" s="59">
        <f ca="1">AVERAGE(OFFSET($BH$3,0,0,'Données projet'!$E$11+1,1))-AVERAGE(OFFSET($H$3,0,0,'Données projet'!$E$11+1,1))</f>
        <v>376.58419691967526</v>
      </c>
      <c r="BJ164" s="59">
        <f t="shared" si="146"/>
        <v>365.76175372075869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9.0880075325111811</v>
      </c>
      <c r="BQ164" s="21">
        <f>EXP(-LN(2)/25)*BQ163+(1-EXP(-LN(2)/25))/(LN(2)/25)*Calculateur!BL164*Calculateur!BN164*VLOOKUP('Données projet'!$B$11,Paramètres!$A$1:$I$89,3,0)*0.475*44/12</f>
        <v>0.56677676590433512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9.6547842984155157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292.78079999999977</v>
      </c>
      <c r="CA164" s="13">
        <f t="shared" si="170"/>
        <v>69.660903052386217</v>
      </c>
      <c r="CB164" s="20">
        <f t="shared" si="171"/>
        <v>631.25263281623893</v>
      </c>
      <c r="CC164" s="59">
        <f t="shared" si="119"/>
        <v>924.58596614957219</v>
      </c>
      <c r="CD164" s="59">
        <f ca="1">AVERAGE(OFFSET($CC$3,0,0,'Données projet'!$E$12+1,1))-AVERAGE(OFFSET($H$3,0,0,'Données projet'!$E$12+1,1))</f>
        <v>405.40026823646758</v>
      </c>
      <c r="CE164" s="59">
        <f t="shared" si="148"/>
        <v>393.0787141050053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12.15481660582765</v>
      </c>
      <c r="CL164" s="21">
        <f>EXP(-LN(2)/25)*CL163+(1-EXP(-LN(2)/25))/(LN(2)/25)*Calculateur!CG164*Calculateur!CI164*VLOOKUP('Données projet'!$B$12,Paramètres!$A$1:$I$89,3,0)*0.475*44/12</f>
        <v>0.75803938557121198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12.912855991398862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259.99999999999983</v>
      </c>
      <c r="CU164" s="17">
        <f>CT164*VLOOKUP('Données projet'!$B$13,Paramètres!$A$1:$I$89,3,0)*VLOOKUP('Données projet'!$B$13,Paramètres!$A$1:$I$89,5,0)</f>
        <v>227.13599999999985</v>
      </c>
      <c r="CV164" s="13">
        <f t="shared" si="173"/>
        <v>55.662966886685133</v>
      </c>
      <c r="CW164" s="20">
        <f t="shared" si="174"/>
        <v>492.5415339943097</v>
      </c>
      <c r="CX164" s="59">
        <f t="shared" si="122"/>
        <v>785.87486732764296</v>
      </c>
      <c r="CY164" s="59">
        <f ca="1">AVERAGE(OFFSET($CX$3,0,0,'Données projet'!$E$13+1,1))-AVERAGE(OFFSET($H$3,0,0,'Données projet'!$E$13+1,1))</f>
        <v>381.72225529388083</v>
      </c>
      <c r="CZ164" s="59">
        <f t="shared" si="150"/>
        <v>360.05900046417361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11.282158673616435</v>
      </c>
      <c r="DG164" s="21">
        <f>EXP(-LN(2)/25)*DG163+(1-EXP(-LN(2)/25))/(LN(2)/25)*Calculateur!DB164*Calculateur!DD164*VLOOKUP('Données projet'!$B$13,Paramètres!$A$1:$I$89,3,0)*0.475*44/12</f>
        <v>2.4769658392625624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13.759124512878998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5.6843418860808015E-13</v>
      </c>
      <c r="DP164" s="17">
        <f>DO164*VLOOKUP('Données projet'!$B$14,Paramètres!$A$1:$I$89,3,0)*VLOOKUP('Données projet'!$B$14,Paramètres!$A$1:$I$89,5,0)</f>
        <v>5.4978954722173515E-13</v>
      </c>
      <c r="DQ164" s="13">
        <f t="shared" si="176"/>
        <v>6.7731340873355904E-12</v>
      </c>
      <c r="DR164" s="20">
        <f t="shared" si="177"/>
        <v>1.2754091996854009E-11</v>
      </c>
      <c r="DS164" s="59">
        <f t="shared" si="125"/>
        <v>293.33333333334605</v>
      </c>
      <c r="DT164" s="59">
        <f ca="1">AVERAGE(OFFSET($DS$3,0,0,'Données projet'!$E$14+1,1))-AVERAGE(OFFSET($H$3,0,0,'Données projet'!$E$14+1,1))</f>
        <v>407.73540492005355</v>
      </c>
      <c r="DU164" s="59">
        <f t="shared" si="152"/>
        <v>296.29416764204774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100.90160658701316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100.90160658701316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328.00000000000017</v>
      </c>
      <c r="EK164" s="17">
        <f>EJ164*VLOOKUP('Données projet'!$B$15,Paramètres!$A$1:$I$89,3,0)*VLOOKUP('Données projet'!$B$15,Paramètres!$A$1:$I$89,5,0)</f>
        <v>255.84000000000015</v>
      </c>
      <c r="EL164" s="13">
        <f t="shared" si="179"/>
        <v>61.834803371075886</v>
      </c>
      <c r="EM164" s="20">
        <f t="shared" si="180"/>
        <v>553.28361587129086</v>
      </c>
      <c r="EN164" s="59">
        <f t="shared" si="128"/>
        <v>846.61694920462423</v>
      </c>
      <c r="EO164" s="59">
        <f ca="1">AVERAGE(OFFSET($EN$3,0,0,'Données projet'!$E$15+1,1))-AVERAGE(OFFSET($H$3,0,0,'Données projet'!$E$15+1,1))</f>
        <v>288.80569134263209</v>
      </c>
      <c r="EP164" s="59">
        <f t="shared" si="154"/>
        <v>283.48738729114024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3.2868927965518067</v>
      </c>
      <c r="EW164" s="21">
        <f>EXP(-LN(2)/25)*EW163+(1-EXP(-LN(2)/25))/(LN(2)/25)*Calculateur!ER164*Calculateur!ET164*VLOOKUP('Données projet'!$B$15,Paramètres!$A$1:$I$89,3,0)*0.475*44/12</f>
        <v>1.5413315016841451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4.828224298235952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293.33333333334531</v>
      </c>
      <c r="S165" s="59">
        <f ca="1">AVERAGE(OFFSET($R$3,0,0,'Données projet'!$E$9+1,1))-AVERAGE(OFFSET($H$3,0,0,'Données projet'!$E$9+1,1))</f>
        <v>384.05928630855732</v>
      </c>
      <c r="T165" s="59">
        <f t="shared" si="142"/>
        <v>279.93992813630513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-2.4158453015843406E-13</v>
      </c>
      <c r="AJ165" s="13">
        <f>AI165*VLOOKUP('Données projet'!$B$10,Paramètres!$A$1:$I$89,3,0)*VLOOKUP('Données projet'!$B$10,Paramètres!$A$1:$I$89,5,0)</f>
        <v>-2.0351080820546486E-13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312.48716825299158</v>
      </c>
      <c r="AO165" s="59">
        <f t="shared" si="144"/>
        <v>258.68277822755357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53.184074541109176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53.184074541109176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367.99999999999972</v>
      </c>
      <c r="BE165" s="13">
        <f>BD165*VLOOKUP('Données projet'!$B$11,Paramètres!$A$1:$I$89,3,0)*VLOOKUP('Données projet'!$B$11,Paramètres!$A$1:$I$89,5,0)</f>
        <v>269.8175999999998</v>
      </c>
      <c r="BF165" s="13">
        <f t="shared" si="167"/>
        <v>64.810557882019467</v>
      </c>
      <c r="BG165" s="20">
        <f t="shared" si="168"/>
        <v>582.81070831118348</v>
      </c>
      <c r="BH165" s="59">
        <f t="shared" si="116"/>
        <v>876.14404164451685</v>
      </c>
      <c r="BI165" s="59">
        <f ca="1">AVERAGE(OFFSET($BH$3,0,0,'Données projet'!$E$11+1,1))-AVERAGE(OFFSET($H$3,0,0,'Données projet'!$E$11+1,1))</f>
        <v>376.58419691967526</v>
      </c>
      <c r="BJ165" s="59">
        <f t="shared" si="146"/>
        <v>365.76175372075869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8.9097972479358916</v>
      </c>
      <c r="BQ165" s="21">
        <f>EXP(-LN(2)/25)*BQ164+(1-EXP(-LN(2)/25))/(LN(2)/25)*Calculateur!BL165*Calculateur!BN165*VLOOKUP('Données projet'!$B$11,Paramètres!$A$1:$I$89,3,0)*0.475*44/12</f>
        <v>0.55127822543518634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9.4610754733710785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292.78079999999977</v>
      </c>
      <c r="CA165" s="13">
        <f t="shared" si="170"/>
        <v>69.660903052386217</v>
      </c>
      <c r="CB165" s="20">
        <f t="shared" si="171"/>
        <v>631.25263281623893</v>
      </c>
      <c r="CC165" s="59">
        <f t="shared" si="119"/>
        <v>924.58596614957219</v>
      </c>
      <c r="CD165" s="59">
        <f ca="1">AVERAGE(OFFSET($CC$3,0,0,'Données projet'!$E$12+1,1))-AVERAGE(OFFSET($H$3,0,0,'Données projet'!$E$12+1,1))</f>
        <v>405.40026823646758</v>
      </c>
      <c r="CE165" s="59">
        <f t="shared" si="148"/>
        <v>393.0787141050053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11.916468065893456</v>
      </c>
      <c r="CL165" s="21">
        <f>EXP(-LN(2)/25)*CL164+(1-EXP(-LN(2)/25))/(LN(2)/25)*Calculateur!CG165*Calculateur!CI165*VLOOKUP('Données projet'!$B$12,Paramètres!$A$1:$I$89,3,0)*0.475*44/12</f>
        <v>0.73731075870920837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12.653778824602664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259.99999999999983</v>
      </c>
      <c r="CU165" s="17">
        <f>CT165*VLOOKUP('Données projet'!$B$13,Paramètres!$A$1:$I$89,3,0)*VLOOKUP('Données projet'!$B$13,Paramètres!$A$1:$I$89,5,0)</f>
        <v>227.13599999999985</v>
      </c>
      <c r="CV165" s="13">
        <f t="shared" si="173"/>
        <v>55.662966886685133</v>
      </c>
      <c r="CW165" s="20">
        <f t="shared" si="174"/>
        <v>492.5415339943097</v>
      </c>
      <c r="CX165" s="59">
        <f t="shared" si="122"/>
        <v>785.87486732764296</v>
      </c>
      <c r="CY165" s="59">
        <f ca="1">AVERAGE(OFFSET($CX$3,0,0,'Données projet'!$E$13+1,1))-AVERAGE(OFFSET($H$3,0,0,'Données projet'!$E$13+1,1))</f>
        <v>381.72225529388083</v>
      </c>
      <c r="CZ165" s="59">
        <f t="shared" si="150"/>
        <v>360.05900046417361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11.060922423464122</v>
      </c>
      <c r="DG165" s="21">
        <f>EXP(-LN(2)/25)*DG164+(1-EXP(-LN(2)/25))/(LN(2)/25)*Calculateur!DB165*Calculateur!DD165*VLOOKUP('Données projet'!$B$13,Paramètres!$A$1:$I$89,3,0)*0.475*44/12</f>
        <v>2.4092330781299554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13.470155501594078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5.6843418860808015E-13</v>
      </c>
      <c r="DP165" s="17">
        <f>DO165*VLOOKUP('Données projet'!$B$14,Paramètres!$A$1:$I$89,3,0)*VLOOKUP('Données projet'!$B$14,Paramètres!$A$1:$I$89,5,0)</f>
        <v>5.4978954722173515E-13</v>
      </c>
      <c r="DQ165" s="13">
        <f t="shared" si="176"/>
        <v>6.7731340873355904E-12</v>
      </c>
      <c r="DR165" s="20">
        <f t="shared" si="177"/>
        <v>1.2754091996854009E-11</v>
      </c>
      <c r="DS165" s="59">
        <f t="shared" si="125"/>
        <v>293.33333333334605</v>
      </c>
      <c r="DT165" s="59">
        <f ca="1">AVERAGE(OFFSET($DS$3,0,0,'Données projet'!$E$14+1,1))-AVERAGE(OFFSET($H$3,0,0,'Données projet'!$E$14+1,1))</f>
        <v>407.73540492005355</v>
      </c>
      <c r="DU165" s="59">
        <f t="shared" si="152"/>
        <v>296.29416764204774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98.922987625744895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98.922987625744895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328.00000000000017</v>
      </c>
      <c r="EK165" s="17">
        <f>EJ165*VLOOKUP('Données projet'!$B$15,Paramètres!$A$1:$I$89,3,0)*VLOOKUP('Données projet'!$B$15,Paramètres!$A$1:$I$89,5,0)</f>
        <v>255.84000000000015</v>
      </c>
      <c r="EL165" s="13">
        <f t="shared" si="179"/>
        <v>61.834803371075886</v>
      </c>
      <c r="EM165" s="20">
        <f t="shared" si="180"/>
        <v>553.28361587129086</v>
      </c>
      <c r="EN165" s="59">
        <f t="shared" si="128"/>
        <v>846.61694920462423</v>
      </c>
      <c r="EO165" s="59">
        <f ca="1">AVERAGE(OFFSET($EN$3,0,0,'Données projet'!$E$15+1,1))-AVERAGE(OFFSET($H$3,0,0,'Données projet'!$E$15+1,1))</f>
        <v>288.80569134263209</v>
      </c>
      <c r="EP165" s="59">
        <f t="shared" si="154"/>
        <v>283.48738729114024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3.2224388336180736</v>
      </c>
      <c r="EW165" s="21">
        <f>EXP(-LN(2)/25)*EW164+(1-EXP(-LN(2)/25))/(LN(2)/25)*Calculateur!ER165*Calculateur!ET165*VLOOKUP('Données projet'!$B$15,Paramètres!$A$1:$I$89,3,0)*0.475*44/12</f>
        <v>1.4991837107154913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4.7216225443335649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293.33333333334531</v>
      </c>
      <c r="S166" s="59">
        <f ca="1">AVERAGE(OFFSET($R$3,0,0,'Données projet'!$E$9+1,1))-AVERAGE(OFFSET($H$3,0,0,'Données projet'!$E$9+1,1))</f>
        <v>384.05928630855732</v>
      </c>
      <c r="T166" s="59">
        <f t="shared" si="142"/>
        <v>279.93992813630513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-2.4158453015843406E-13</v>
      </c>
      <c r="AJ166" s="13">
        <f>AI166*VLOOKUP('Données projet'!$B$10,Paramètres!$A$1:$I$89,3,0)*VLOOKUP('Données projet'!$B$10,Paramètres!$A$1:$I$89,5,0)</f>
        <v>-2.0351080820546486E-13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312.48716825299158</v>
      </c>
      <c r="AO166" s="59">
        <f t="shared" si="144"/>
        <v>258.68277822755357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52.141167278440399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52.141167278440399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367.99999999999972</v>
      </c>
      <c r="BE166" s="13">
        <f>BD166*VLOOKUP('Données projet'!$B$11,Paramètres!$A$1:$I$89,3,0)*VLOOKUP('Données projet'!$B$11,Paramètres!$A$1:$I$89,5,0)</f>
        <v>269.8175999999998</v>
      </c>
      <c r="BF166" s="13">
        <f t="shared" si="167"/>
        <v>64.810557882019467</v>
      </c>
      <c r="BG166" s="20">
        <f t="shared" si="168"/>
        <v>582.81070831118348</v>
      </c>
      <c r="BH166" s="59">
        <f t="shared" si="116"/>
        <v>876.14404164451685</v>
      </c>
      <c r="BI166" s="59">
        <f ca="1">AVERAGE(OFFSET($BH$3,0,0,'Données projet'!$E$11+1,1))-AVERAGE(OFFSET($H$3,0,0,'Données projet'!$E$11+1,1))</f>
        <v>376.58419691967526</v>
      </c>
      <c r="BJ166" s="59">
        <f t="shared" si="146"/>
        <v>365.76175372075869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8.7350815583435839</v>
      </c>
      <c r="BQ166" s="21">
        <f>EXP(-LN(2)/25)*BQ165+(1-EXP(-LN(2)/25))/(LN(2)/25)*Calculateur!BL166*Calculateur!BN166*VLOOKUP('Données projet'!$B$11,Paramètres!$A$1:$I$89,3,0)*0.475*44/12</f>
        <v>0.53620349337019924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9.2712850517137824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292.78079999999977</v>
      </c>
      <c r="CA166" s="13">
        <f t="shared" si="170"/>
        <v>69.660903052386217</v>
      </c>
      <c r="CB166" s="20">
        <f t="shared" si="171"/>
        <v>631.25263281623893</v>
      </c>
      <c r="CC166" s="59">
        <f t="shared" si="119"/>
        <v>924.58596614957219</v>
      </c>
      <c r="CD166" s="59">
        <f ca="1">AVERAGE(OFFSET($CC$3,0,0,'Données projet'!$E$12+1,1))-AVERAGE(OFFSET($H$3,0,0,'Données projet'!$E$12+1,1))</f>
        <v>405.40026823646758</v>
      </c>
      <c r="CE166" s="59">
        <f t="shared" si="148"/>
        <v>393.0787141050053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11.682793395449117</v>
      </c>
      <c r="CL166" s="21">
        <f>EXP(-LN(2)/25)*CL165+(1-EXP(-LN(2)/25))/(LN(2)/25)*Calculateur!CG166*Calculateur!CI166*VLOOKUP('Données projet'!$B$12,Paramètres!$A$1:$I$89,3,0)*0.475*44/12</f>
        <v>0.71714895723881744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12.399942352687935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259.99999999999983</v>
      </c>
      <c r="CU166" s="17">
        <f>CT166*VLOOKUP('Données projet'!$B$13,Paramètres!$A$1:$I$89,3,0)*VLOOKUP('Données projet'!$B$13,Paramètres!$A$1:$I$89,5,0)</f>
        <v>227.13599999999985</v>
      </c>
      <c r="CV166" s="13">
        <f t="shared" si="173"/>
        <v>55.662966886685133</v>
      </c>
      <c r="CW166" s="20">
        <f t="shared" si="174"/>
        <v>492.5415339943097</v>
      </c>
      <c r="CX166" s="59">
        <f t="shared" si="122"/>
        <v>785.87486732764296</v>
      </c>
      <c r="CY166" s="59">
        <f ca="1">AVERAGE(OFFSET($CX$3,0,0,'Données projet'!$E$13+1,1))-AVERAGE(OFFSET($H$3,0,0,'Données projet'!$E$13+1,1))</f>
        <v>381.72225529388083</v>
      </c>
      <c r="CZ166" s="59">
        <f t="shared" si="150"/>
        <v>360.05900046417361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10.844024481236508</v>
      </c>
      <c r="DG166" s="21">
        <f>EXP(-LN(2)/25)*DG165+(1-EXP(-LN(2)/25))/(LN(2)/25)*Calculateur!DB166*Calculateur!DD166*VLOOKUP('Données projet'!$B$13,Paramètres!$A$1:$I$89,3,0)*0.475*44/12</f>
        <v>2.3433524729124304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13.187376954148938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5.6843418860808015E-13</v>
      </c>
      <c r="DP166" s="17">
        <f>DO166*VLOOKUP('Données projet'!$B$14,Paramètres!$A$1:$I$89,3,0)*VLOOKUP('Données projet'!$B$14,Paramètres!$A$1:$I$89,5,0)</f>
        <v>5.4978954722173515E-13</v>
      </c>
      <c r="DQ166" s="13">
        <f t="shared" si="176"/>
        <v>6.7731340873355904E-12</v>
      </c>
      <c r="DR166" s="20">
        <f t="shared" si="177"/>
        <v>1.2754091996854009E-11</v>
      </c>
      <c r="DS166" s="59">
        <f t="shared" si="125"/>
        <v>293.33333333334605</v>
      </c>
      <c r="DT166" s="59">
        <f ca="1">AVERAGE(OFFSET($DS$3,0,0,'Données projet'!$E$14+1,1))-AVERAGE(OFFSET($H$3,0,0,'Données projet'!$E$14+1,1))</f>
        <v>407.73540492005355</v>
      </c>
      <c r="DU166" s="59">
        <f t="shared" si="152"/>
        <v>296.29416764204774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96.983168175468705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96.983168175468705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328.00000000000017</v>
      </c>
      <c r="EK166" s="17">
        <f>EJ166*VLOOKUP('Données projet'!$B$15,Paramètres!$A$1:$I$89,3,0)*VLOOKUP('Données projet'!$B$15,Paramètres!$A$1:$I$89,5,0)</f>
        <v>255.84000000000015</v>
      </c>
      <c r="EL166" s="13">
        <f t="shared" si="179"/>
        <v>61.834803371075886</v>
      </c>
      <c r="EM166" s="20">
        <f t="shared" si="180"/>
        <v>553.28361587129086</v>
      </c>
      <c r="EN166" s="59">
        <f t="shared" si="128"/>
        <v>846.61694920462423</v>
      </c>
      <c r="EO166" s="59">
        <f ca="1">AVERAGE(OFFSET($EN$3,0,0,'Données projet'!$E$15+1,1))-AVERAGE(OFFSET($H$3,0,0,'Données projet'!$E$15+1,1))</f>
        <v>288.80569134263209</v>
      </c>
      <c r="EP166" s="59">
        <f t="shared" si="154"/>
        <v>283.48738729114024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3.1592487735844355</v>
      </c>
      <c r="EW166" s="21">
        <f>EXP(-LN(2)/25)*EW165+(1-EXP(-LN(2)/25))/(LN(2)/25)*Calculateur!ER166*Calculateur!ET166*VLOOKUP('Données projet'!$B$15,Paramètres!$A$1:$I$89,3,0)*0.475*44/12</f>
        <v>1.4581884533073313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4.6174372268917665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293.33333333334531</v>
      </c>
      <c r="S167" s="59">
        <f ca="1">AVERAGE(OFFSET($R$3,0,0,'Données projet'!$E$9+1,1))-AVERAGE(OFFSET($H$3,0,0,'Données projet'!$E$9+1,1))</f>
        <v>384.05928630855732</v>
      </c>
      <c r="T167" s="59">
        <f t="shared" si="142"/>
        <v>279.93992813630513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-2.4158453015843406E-13</v>
      </c>
      <c r="AJ167" s="13">
        <f>AI167*VLOOKUP('Données projet'!$B$10,Paramètres!$A$1:$I$89,3,0)*VLOOKUP('Données projet'!$B$10,Paramètres!$A$1:$I$89,5,0)</f>
        <v>-2.0351080820546486E-13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312.48716825299158</v>
      </c>
      <c r="AO167" s="59">
        <f t="shared" si="144"/>
        <v>258.68277822755357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51.118710791081938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51.118710791081938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367.99999999999972</v>
      </c>
      <c r="BE167" s="13">
        <f>BD167*VLOOKUP('Données projet'!$B$11,Paramètres!$A$1:$I$89,3,0)*VLOOKUP('Données projet'!$B$11,Paramètres!$A$1:$I$89,5,0)</f>
        <v>269.8175999999998</v>
      </c>
      <c r="BF167" s="13">
        <f t="shared" si="167"/>
        <v>64.810557882019467</v>
      </c>
      <c r="BG167" s="20">
        <f t="shared" si="168"/>
        <v>582.81070831118348</v>
      </c>
      <c r="BH167" s="59">
        <f t="shared" si="116"/>
        <v>876.14404164451685</v>
      </c>
      <c r="BI167" s="59">
        <f ca="1">AVERAGE(OFFSET($BH$3,0,0,'Données projet'!$E$11+1,1))-AVERAGE(OFFSET($H$3,0,0,'Données projet'!$E$11+1,1))</f>
        <v>376.58419691967526</v>
      </c>
      <c r="BJ167" s="59">
        <f t="shared" si="146"/>
        <v>365.76175372075869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8.5637919368581326</v>
      </c>
      <c r="BQ167" s="21">
        <f>EXP(-LN(2)/25)*BQ166+(1-EXP(-LN(2)/25))/(LN(2)/25)*Calculateur!BL167*Calculateur!BN167*VLOOKUP('Données projet'!$B$11,Paramètres!$A$1:$I$89,3,0)*0.475*44/12</f>
        <v>0.52154098064627497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9.0853329175044077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292.78079999999977</v>
      </c>
      <c r="CA167" s="13">
        <f t="shared" si="170"/>
        <v>69.660903052386217</v>
      </c>
      <c r="CB167" s="20">
        <f t="shared" si="171"/>
        <v>631.25263281623893</v>
      </c>
      <c r="CC167" s="59">
        <f t="shared" si="119"/>
        <v>924.58596614957219</v>
      </c>
      <c r="CD167" s="59">
        <f ca="1">AVERAGE(OFFSET($CC$3,0,0,'Données projet'!$E$12+1,1))-AVERAGE(OFFSET($H$3,0,0,'Données projet'!$E$12+1,1))</f>
        <v>405.40026823646758</v>
      </c>
      <c r="CE167" s="59">
        <f t="shared" si="148"/>
        <v>393.0787141050053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11.453700942764717</v>
      </c>
      <c r="CL167" s="21">
        <f>EXP(-LN(2)/25)*CL166+(1-EXP(-LN(2)/25))/(LN(2)/25)*Calculateur!CG167*Calculateur!CI167*VLOOKUP('Données projet'!$B$12,Paramètres!$A$1:$I$89,3,0)*0.475*44/12</f>
        <v>0.69753848128989737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12.151239424054614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259.99999999999983</v>
      </c>
      <c r="CU167" s="17">
        <f>CT167*VLOOKUP('Données projet'!$B$13,Paramètres!$A$1:$I$89,3,0)*VLOOKUP('Données projet'!$B$13,Paramètres!$A$1:$I$89,5,0)</f>
        <v>227.13599999999985</v>
      </c>
      <c r="CV167" s="13">
        <f t="shared" si="173"/>
        <v>55.662966886685133</v>
      </c>
      <c r="CW167" s="20">
        <f t="shared" si="174"/>
        <v>492.5415339943097</v>
      </c>
      <c r="CX167" s="59">
        <f t="shared" si="122"/>
        <v>785.87486732764296</v>
      </c>
      <c r="CY167" s="59">
        <f ca="1">AVERAGE(OFFSET($CX$3,0,0,'Données projet'!$E$13+1,1))-AVERAGE(OFFSET($H$3,0,0,'Données projet'!$E$13+1,1))</f>
        <v>381.72225529388083</v>
      </c>
      <c r="CZ167" s="59">
        <f t="shared" si="150"/>
        <v>360.05900046417361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10.631379775361296</v>
      </c>
      <c r="DG167" s="21">
        <f>EXP(-LN(2)/25)*DG166+(1-EXP(-LN(2)/25))/(LN(2)/25)*Calculateur!DB167*Calculateur!DD167*VLOOKUP('Données projet'!$B$13,Paramètres!$A$1:$I$89,3,0)*0.475*44/12</f>
        <v>2.2792733763090891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12.910653151670385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5.6843418860808015E-13</v>
      </c>
      <c r="DP167" s="17">
        <f>DO167*VLOOKUP('Données projet'!$B$14,Paramètres!$A$1:$I$89,3,0)*VLOOKUP('Données projet'!$B$14,Paramètres!$A$1:$I$89,5,0)</f>
        <v>5.4978954722173515E-13</v>
      </c>
      <c r="DQ167" s="13">
        <f t="shared" si="176"/>
        <v>6.7731340873355904E-12</v>
      </c>
      <c r="DR167" s="20">
        <f t="shared" si="177"/>
        <v>1.2754091996854009E-11</v>
      </c>
      <c r="DS167" s="59">
        <f t="shared" si="125"/>
        <v>293.33333333334605</v>
      </c>
      <c r="DT167" s="59">
        <f ca="1">AVERAGE(OFFSET($DS$3,0,0,'Données projet'!$E$14+1,1))-AVERAGE(OFFSET($H$3,0,0,'Données projet'!$E$14+1,1))</f>
        <v>407.73540492005355</v>
      </c>
      <c r="DU167" s="59">
        <f t="shared" si="152"/>
        <v>296.29416764204774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95.081387401439386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95.081387401439386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328.00000000000017</v>
      </c>
      <c r="EK167" s="17">
        <f>EJ167*VLOOKUP('Données projet'!$B$15,Paramètres!$A$1:$I$89,3,0)*VLOOKUP('Données projet'!$B$15,Paramètres!$A$1:$I$89,5,0)</f>
        <v>255.84000000000015</v>
      </c>
      <c r="EL167" s="13">
        <f t="shared" si="179"/>
        <v>61.834803371075886</v>
      </c>
      <c r="EM167" s="20">
        <f t="shared" si="180"/>
        <v>553.28361587129086</v>
      </c>
      <c r="EN167" s="59">
        <f t="shared" si="128"/>
        <v>846.61694920462423</v>
      </c>
      <c r="EO167" s="59">
        <f ca="1">AVERAGE(OFFSET($EN$3,0,0,'Données projet'!$E$15+1,1))-AVERAGE(OFFSET($H$3,0,0,'Données projet'!$E$15+1,1))</f>
        <v>288.80569134263209</v>
      </c>
      <c r="EP167" s="59">
        <f t="shared" si="154"/>
        <v>283.48738729114024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3.0972978320859261</v>
      </c>
      <c r="EW167" s="21">
        <f>EXP(-LN(2)/25)*EW166+(1-EXP(-LN(2)/25))/(LN(2)/25)*Calculateur!ER167*Calculateur!ET167*VLOOKUP('Données projet'!$B$15,Paramètres!$A$1:$I$89,3,0)*0.475*44/12</f>
        <v>1.4183142133688442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4.5156120454547706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293.33333333334531</v>
      </c>
      <c r="S168" s="59">
        <f ca="1">AVERAGE(OFFSET($R$3,0,0,'Données projet'!$E$9+1,1))-AVERAGE(OFFSET($H$3,0,0,'Données projet'!$E$9+1,1))</f>
        <v>384.05928630855732</v>
      </c>
      <c r="T168" s="59">
        <f t="shared" si="142"/>
        <v>279.93992813630513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-2.4158453015843406E-13</v>
      </c>
      <c r="AJ168" s="13">
        <f>AI168*VLOOKUP('Données projet'!$B$10,Paramètres!$A$1:$I$89,3,0)*VLOOKUP('Données projet'!$B$10,Paramètres!$A$1:$I$89,5,0)</f>
        <v>-2.0351080820546486E-13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312.48716825299158</v>
      </c>
      <c r="AO168" s="59">
        <f t="shared" si="144"/>
        <v>258.68277822755357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50.116304051803702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50.116304051803702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367.99999999999972</v>
      </c>
      <c r="BE168" s="13">
        <f>BD168*VLOOKUP('Données projet'!$B$11,Paramètres!$A$1:$I$89,3,0)*VLOOKUP('Données projet'!$B$11,Paramètres!$A$1:$I$89,5,0)</f>
        <v>269.8175999999998</v>
      </c>
      <c r="BF168" s="13">
        <f t="shared" si="167"/>
        <v>64.810557882019467</v>
      </c>
      <c r="BG168" s="20">
        <f t="shared" si="168"/>
        <v>582.81070831118348</v>
      </c>
      <c r="BH168" s="59">
        <f t="shared" si="116"/>
        <v>876.14404164451685</v>
      </c>
      <c r="BI168" s="59">
        <f ca="1">AVERAGE(OFFSET($BH$3,0,0,'Données projet'!$E$11+1,1))-AVERAGE(OFFSET($H$3,0,0,'Données projet'!$E$11+1,1))</f>
        <v>376.58419691967526</v>
      </c>
      <c r="BJ168" s="59">
        <f t="shared" si="146"/>
        <v>365.76175372075869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8.395861200373659</v>
      </c>
      <c r="BQ168" s="21">
        <f>EXP(-LN(2)/25)*BQ167+(1-EXP(-LN(2)/25))/(LN(2)/25)*Calculateur!BL168*Calculateur!BN168*VLOOKUP('Données projet'!$B$11,Paramètres!$A$1:$I$89,3,0)*0.475*44/12</f>
        <v>0.50727941510385444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8.903140615477513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292.78079999999977</v>
      </c>
      <c r="CA168" s="13">
        <f t="shared" si="170"/>
        <v>69.660903052386217</v>
      </c>
      <c r="CB168" s="20">
        <f t="shared" si="171"/>
        <v>631.25263281623893</v>
      </c>
      <c r="CC168" s="59">
        <f t="shared" si="119"/>
        <v>924.58596614957219</v>
      </c>
      <c r="CD168" s="59">
        <f ca="1">AVERAGE(OFFSET($CC$3,0,0,'Données projet'!$E$12+1,1))-AVERAGE(OFFSET($H$3,0,0,'Données projet'!$E$12+1,1))</f>
        <v>405.40026823646758</v>
      </c>
      <c r="CE168" s="59">
        <f t="shared" si="148"/>
        <v>393.0787141050053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11.229100853344859</v>
      </c>
      <c r="CL168" s="21">
        <f>EXP(-LN(2)/25)*CL167+(1-EXP(-LN(2)/25))/(LN(2)/25)*Calculateur!CG168*Calculateur!CI168*VLOOKUP('Données projet'!$B$12,Paramètres!$A$1:$I$89,3,0)*0.475*44/12</f>
        <v>0.67846425483707062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11.907565108181929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259.99999999999983</v>
      </c>
      <c r="CU168" s="17">
        <f>CT168*VLOOKUP('Données projet'!$B$13,Paramètres!$A$1:$I$89,3,0)*VLOOKUP('Données projet'!$B$13,Paramètres!$A$1:$I$89,5,0)</f>
        <v>227.13599999999985</v>
      </c>
      <c r="CV168" s="13">
        <f t="shared" si="173"/>
        <v>55.662966886685133</v>
      </c>
      <c r="CW168" s="20">
        <f t="shared" si="174"/>
        <v>492.5415339943097</v>
      </c>
      <c r="CX168" s="59">
        <f t="shared" si="122"/>
        <v>785.87486732764296</v>
      </c>
      <c r="CY168" s="59">
        <f ca="1">AVERAGE(OFFSET($CX$3,0,0,'Données projet'!$E$13+1,1))-AVERAGE(OFFSET($H$3,0,0,'Données projet'!$E$13+1,1))</f>
        <v>381.72225529388083</v>
      </c>
      <c r="CZ168" s="59">
        <f t="shared" si="150"/>
        <v>360.05900046417361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10.422904902467833</v>
      </c>
      <c r="DG168" s="21">
        <f>EXP(-LN(2)/25)*DG167+(1-EXP(-LN(2)/25))/(LN(2)/25)*Calculateur!DB168*Calculateur!DD168*VLOOKUP('Données projet'!$B$13,Paramètres!$A$1:$I$89,3,0)*0.475*44/12</f>
        <v>2.2169465259721397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12.639851428439972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5.6843418860808015E-13</v>
      </c>
      <c r="DP168" s="17">
        <f>DO168*VLOOKUP('Données projet'!$B$14,Paramètres!$A$1:$I$89,3,0)*VLOOKUP('Données projet'!$B$14,Paramètres!$A$1:$I$89,5,0)</f>
        <v>5.4978954722173515E-13</v>
      </c>
      <c r="DQ168" s="13">
        <f t="shared" si="176"/>
        <v>6.7731340873355904E-12</v>
      </c>
      <c r="DR168" s="20">
        <f t="shared" si="177"/>
        <v>1.2754091996854009E-11</v>
      </c>
      <c r="DS168" s="59">
        <f t="shared" si="125"/>
        <v>293.33333333334605</v>
      </c>
      <c r="DT168" s="59">
        <f ca="1">AVERAGE(OFFSET($DS$3,0,0,'Données projet'!$E$14+1,1))-AVERAGE(OFFSET($H$3,0,0,'Données projet'!$E$14+1,1))</f>
        <v>407.73540492005355</v>
      </c>
      <c r="DU168" s="59">
        <f t="shared" si="152"/>
        <v>296.29416764204774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93.216899388417048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93.216899388417048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328.00000000000017</v>
      </c>
      <c r="EK168" s="17">
        <f>EJ168*VLOOKUP('Données projet'!$B$15,Paramètres!$A$1:$I$89,3,0)*VLOOKUP('Données projet'!$B$15,Paramètres!$A$1:$I$89,5,0)</f>
        <v>255.84000000000015</v>
      </c>
      <c r="EL168" s="13">
        <f t="shared" si="179"/>
        <v>61.834803371075886</v>
      </c>
      <c r="EM168" s="20">
        <f t="shared" si="180"/>
        <v>553.28361587129086</v>
      </c>
      <c r="EN168" s="59">
        <f t="shared" si="128"/>
        <v>846.61694920462423</v>
      </c>
      <c r="EO168" s="59">
        <f ca="1">AVERAGE(OFFSET($EN$3,0,0,'Données projet'!$E$15+1,1))-AVERAGE(OFFSET($H$3,0,0,'Données projet'!$E$15+1,1))</f>
        <v>288.80569134263209</v>
      </c>
      <c r="EP168" s="59">
        <f t="shared" si="154"/>
        <v>283.48738729114024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3.0365617107638592</v>
      </c>
      <c r="EW168" s="21">
        <f>EXP(-LN(2)/25)*EW167+(1-EXP(-LN(2)/25))/(LN(2)/25)*Calculateur!ER168*Calculateur!ET168*VLOOKUP('Données projet'!$B$15,Paramètres!$A$1:$I$89,3,0)*0.475*44/12</f>
        <v>1.3795303366183702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4.4160920473822296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293.33333333334531</v>
      </c>
      <c r="S169" s="59">
        <f ca="1">AVERAGE(OFFSET($R$3,0,0,'Données projet'!$E$9+1,1))-AVERAGE(OFFSET($H$3,0,0,'Données projet'!$E$9+1,1))</f>
        <v>384.05928630855732</v>
      </c>
      <c r="T169" s="59">
        <f t="shared" si="142"/>
        <v>279.93992813630513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-2.4158453015843406E-13</v>
      </c>
      <c r="AJ169" s="13">
        <f>AI169*VLOOKUP('Données projet'!$B$10,Paramètres!$A$1:$I$89,3,0)*VLOOKUP('Données projet'!$B$10,Paramètres!$A$1:$I$89,5,0)</f>
        <v>-2.0351080820546486E-13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312.48716825299158</v>
      </c>
      <c r="AO169" s="59">
        <f t="shared" si="144"/>
        <v>258.68277822755357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49.133553897274972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49.133553897274972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367.99999999999972</v>
      </c>
      <c r="BE169" s="13">
        <f>BD169*VLOOKUP('Données projet'!$B$11,Paramètres!$A$1:$I$89,3,0)*VLOOKUP('Données projet'!$B$11,Paramètres!$A$1:$I$89,5,0)</f>
        <v>269.8175999999998</v>
      </c>
      <c r="BF169" s="13">
        <f t="shared" si="167"/>
        <v>64.810557882019467</v>
      </c>
      <c r="BG169" s="20">
        <f t="shared" si="168"/>
        <v>582.81070831118348</v>
      </c>
      <c r="BH169" s="59">
        <f t="shared" si="116"/>
        <v>876.14404164451685</v>
      </c>
      <c r="BI169" s="59">
        <f ca="1">AVERAGE(OFFSET($BH$3,0,0,'Données projet'!$E$11+1,1))-AVERAGE(OFFSET($H$3,0,0,'Données projet'!$E$11+1,1))</f>
        <v>376.58419691967526</v>
      </c>
      <c r="BJ169" s="59">
        <f t="shared" si="146"/>
        <v>365.76175372075869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8.2312234832040101</v>
      </c>
      <c r="BQ169" s="21">
        <f>EXP(-LN(2)/25)*BQ168+(1-EXP(-LN(2)/25))/(LN(2)/25)*Calculateur!BL169*Calculateur!BN169*VLOOKUP('Données projet'!$B$11,Paramètres!$A$1:$I$89,3,0)*0.475*44/12</f>
        <v>0.49340783282117451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8.7246313160251852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292.78079999999977</v>
      </c>
      <c r="CA169" s="13">
        <f t="shared" si="170"/>
        <v>69.660903052386217</v>
      </c>
      <c r="CB169" s="20">
        <f t="shared" si="171"/>
        <v>631.25263281623893</v>
      </c>
      <c r="CC169" s="59">
        <f t="shared" si="119"/>
        <v>924.58596614957219</v>
      </c>
      <c r="CD169" s="59">
        <f ca="1">AVERAGE(OFFSET($CC$3,0,0,'Données projet'!$E$12+1,1))-AVERAGE(OFFSET($H$3,0,0,'Données projet'!$E$12+1,1))</f>
        <v>405.40026823646758</v>
      </c>
      <c r="CE169" s="59">
        <f t="shared" si="148"/>
        <v>393.0787141050053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11.008905034685997</v>
      </c>
      <c r="CL169" s="21">
        <f>EXP(-LN(2)/25)*CL168+(1-EXP(-LN(2)/25))/(LN(2)/25)*Calculateur!CG169*Calculateur!CI169*VLOOKUP('Données projet'!$B$12,Paramètres!$A$1:$I$89,3,0)*0.475*44/12</f>
        <v>0.65991161410966637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11.668816648795662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259.99999999999983</v>
      </c>
      <c r="CU169" s="17">
        <f>CT169*VLOOKUP('Données projet'!$B$13,Paramètres!$A$1:$I$89,3,0)*VLOOKUP('Données projet'!$B$13,Paramètres!$A$1:$I$89,5,0)</f>
        <v>227.13599999999985</v>
      </c>
      <c r="CV169" s="13">
        <f t="shared" si="173"/>
        <v>55.662966886685133</v>
      </c>
      <c r="CW169" s="20">
        <f t="shared" si="174"/>
        <v>492.5415339943097</v>
      </c>
      <c r="CX169" s="59">
        <f t="shared" si="122"/>
        <v>785.87486732764296</v>
      </c>
      <c r="CY169" s="59">
        <f ca="1">AVERAGE(OFFSET($CX$3,0,0,'Données projet'!$E$13+1,1))-AVERAGE(OFFSET($H$3,0,0,'Données projet'!$E$13+1,1))</f>
        <v>381.72225529388083</v>
      </c>
      <c r="CZ169" s="59">
        <f t="shared" si="150"/>
        <v>360.05900046417361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10.218518094674694</v>
      </c>
      <c r="DG169" s="21">
        <f>EXP(-LN(2)/25)*DG168+(1-EXP(-LN(2)/25))/(LN(2)/25)*Calculateur!DB169*Calculateur!DD169*VLOOKUP('Données projet'!$B$13,Paramètres!$A$1:$I$89,3,0)*0.475*44/12</f>
        <v>2.1563240066352805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12.374842101309975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5.6843418860808015E-13</v>
      </c>
      <c r="DP169" s="17">
        <f>DO169*VLOOKUP('Données projet'!$B$14,Paramètres!$A$1:$I$89,3,0)*VLOOKUP('Données projet'!$B$14,Paramètres!$A$1:$I$89,5,0)</f>
        <v>5.4978954722173515E-13</v>
      </c>
      <c r="DQ169" s="13">
        <f t="shared" si="176"/>
        <v>6.7731340873355904E-12</v>
      </c>
      <c r="DR169" s="20">
        <f t="shared" si="177"/>
        <v>1.2754091996854009E-11</v>
      </c>
      <c r="DS169" s="59">
        <f t="shared" si="125"/>
        <v>293.33333333334605</v>
      </c>
      <c r="DT169" s="59">
        <f ca="1">AVERAGE(OFFSET($DS$3,0,0,'Données projet'!$E$14+1,1))-AVERAGE(OFFSET($H$3,0,0,'Données projet'!$E$14+1,1))</f>
        <v>407.73540492005355</v>
      </c>
      <c r="DU169" s="59">
        <f t="shared" si="152"/>
        <v>296.29416764204774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91.388972848104686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91.388972848104686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328.00000000000017</v>
      </c>
      <c r="EK169" s="17">
        <f>EJ169*VLOOKUP('Données projet'!$B$15,Paramètres!$A$1:$I$89,3,0)*VLOOKUP('Données projet'!$B$15,Paramètres!$A$1:$I$89,5,0)</f>
        <v>255.84000000000015</v>
      </c>
      <c r="EL169" s="13">
        <f t="shared" si="179"/>
        <v>61.834803371075886</v>
      </c>
      <c r="EM169" s="20">
        <f t="shared" si="180"/>
        <v>553.28361587129086</v>
      </c>
      <c r="EN169" s="59">
        <f t="shared" si="128"/>
        <v>846.61694920462423</v>
      </c>
      <c r="EO169" s="59">
        <f ca="1">AVERAGE(OFFSET($EN$3,0,0,'Données projet'!$E$15+1,1))-AVERAGE(OFFSET($H$3,0,0,'Données projet'!$E$15+1,1))</f>
        <v>288.80569134263209</v>
      </c>
      <c r="EP169" s="59">
        <f t="shared" si="154"/>
        <v>283.48738729114024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2.9770165877355419</v>
      </c>
      <c r="EW169" s="21">
        <f>EXP(-LN(2)/25)*EW168+(1-EXP(-LN(2)/25))/(LN(2)/25)*Calculateur!ER169*Calculateur!ET169*VLOOKUP('Données projet'!$B$15,Paramètres!$A$1:$I$89,3,0)*0.475*44/12</f>
        <v>1.3418070070171935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4.3188235947527351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293.33333333334531</v>
      </c>
      <c r="S170" s="59">
        <f ca="1">AVERAGE(OFFSET($R$3,0,0,'Données projet'!$E$9+1,1))-AVERAGE(OFFSET($H$3,0,0,'Données projet'!$E$9+1,1))</f>
        <v>384.05928630855732</v>
      </c>
      <c r="T170" s="59">
        <f t="shared" si="142"/>
        <v>279.93992813630513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-2.4158453015843406E-13</v>
      </c>
      <c r="AJ170" s="13">
        <f>AI170*VLOOKUP('Données projet'!$B$10,Paramètres!$A$1:$I$89,3,0)*VLOOKUP('Données projet'!$B$10,Paramètres!$A$1:$I$89,5,0)</f>
        <v>-2.0351080820546486E-13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312.48716825299158</v>
      </c>
      <c r="AO170" s="59">
        <f t="shared" si="144"/>
        <v>258.68277822755357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48.170074873858141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48.170074873858141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367.99999999999972</v>
      </c>
      <c r="BE170" s="13">
        <f>BD170*VLOOKUP('Données projet'!$B$11,Paramètres!$A$1:$I$89,3,0)*VLOOKUP('Données projet'!$B$11,Paramètres!$A$1:$I$89,5,0)</f>
        <v>269.8175999999998</v>
      </c>
      <c r="BF170" s="13">
        <f t="shared" si="167"/>
        <v>64.810557882019467</v>
      </c>
      <c r="BG170" s="20">
        <f t="shared" si="168"/>
        <v>582.81070831118348</v>
      </c>
      <c r="BH170" s="59">
        <f t="shared" si="116"/>
        <v>876.14404164451685</v>
      </c>
      <c r="BI170" s="59">
        <f ca="1">AVERAGE(OFFSET($BH$3,0,0,'Données projet'!$E$11+1,1))-AVERAGE(OFFSET($H$3,0,0,'Données projet'!$E$11+1,1))</f>
        <v>376.58419691967526</v>
      </c>
      <c r="BJ170" s="59">
        <f t="shared" si="146"/>
        <v>365.76175372075869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8.0698142112489659</v>
      </c>
      <c r="BQ170" s="21">
        <f>EXP(-LN(2)/25)*BQ169+(1-EXP(-LN(2)/25))/(LN(2)/25)*Calculateur!BL170*Calculateur!BN170*VLOOKUP('Données projet'!$B$11,Paramètres!$A$1:$I$89,3,0)*0.475*44/12</f>
        <v>0.47991556968548926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8.5497297809344559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292.78079999999977</v>
      </c>
      <c r="CA170" s="13">
        <f t="shared" si="170"/>
        <v>69.660903052386217</v>
      </c>
      <c r="CB170" s="20">
        <f t="shared" si="171"/>
        <v>631.25263281623893</v>
      </c>
      <c r="CC170" s="59">
        <f t="shared" si="119"/>
        <v>924.58596614957219</v>
      </c>
      <c r="CD170" s="59">
        <f ca="1">AVERAGE(OFFSET($CC$3,0,0,'Données projet'!$E$12+1,1))-AVERAGE(OFFSET($H$3,0,0,'Données projet'!$E$12+1,1))</f>
        <v>405.40026823646758</v>
      </c>
      <c r="CE170" s="59">
        <f t="shared" si="148"/>
        <v>393.0787141050053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10.793027121724847</v>
      </c>
      <c r="CL170" s="21">
        <f>EXP(-LN(2)/25)*CL169+(1-EXP(-LN(2)/25))/(LN(2)/25)*Calculateur!CG170*Calculateur!CI170*VLOOKUP('Données projet'!$B$12,Paramètres!$A$1:$I$89,3,0)*0.475*44/12</f>
        <v>0.64186629631859404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11.434893418043442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259.99999999999983</v>
      </c>
      <c r="CU170" s="17">
        <f>CT170*VLOOKUP('Données projet'!$B$13,Paramètres!$A$1:$I$89,3,0)*VLOOKUP('Données projet'!$B$13,Paramètres!$A$1:$I$89,5,0)</f>
        <v>227.13599999999985</v>
      </c>
      <c r="CV170" s="13">
        <f t="shared" si="173"/>
        <v>55.662966886685133</v>
      </c>
      <c r="CW170" s="20">
        <f t="shared" si="174"/>
        <v>492.5415339943097</v>
      </c>
      <c r="CX170" s="59">
        <f t="shared" si="122"/>
        <v>785.87486732764296</v>
      </c>
      <c r="CY170" s="59">
        <f ca="1">AVERAGE(OFFSET($CX$3,0,0,'Données projet'!$E$13+1,1))-AVERAGE(OFFSET($H$3,0,0,'Données projet'!$E$13+1,1))</f>
        <v>381.72225529388083</v>
      </c>
      <c r="CZ170" s="59">
        <f t="shared" si="150"/>
        <v>360.05900046417361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10.018139187518734</v>
      </c>
      <c r="DG170" s="21">
        <f>EXP(-LN(2)/25)*DG169+(1-EXP(-LN(2)/25))/(LN(2)/25)*Calculateur!DB170*Calculateur!DD170*VLOOKUP('Données projet'!$B$13,Paramètres!$A$1:$I$89,3,0)*0.475*44/12</f>
        <v>2.0973592132776875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12.115498400796422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5.6843418860808015E-13</v>
      </c>
      <c r="DP170" s="17">
        <f>DO170*VLOOKUP('Données projet'!$B$14,Paramètres!$A$1:$I$89,3,0)*VLOOKUP('Données projet'!$B$14,Paramètres!$A$1:$I$89,5,0)</f>
        <v>5.4978954722173515E-13</v>
      </c>
      <c r="DQ170" s="13">
        <f t="shared" si="176"/>
        <v>6.7731340873355904E-12</v>
      </c>
      <c r="DR170" s="20">
        <f t="shared" si="177"/>
        <v>1.2754091996854009E-11</v>
      </c>
      <c r="DS170" s="59">
        <f t="shared" si="125"/>
        <v>293.33333333334605</v>
      </c>
      <c r="DT170" s="59">
        <f ca="1">AVERAGE(OFFSET($DS$3,0,0,'Données projet'!$E$14+1,1))-AVERAGE(OFFSET($H$3,0,0,'Données projet'!$E$14+1,1))</f>
        <v>407.73540492005355</v>
      </c>
      <c r="DU170" s="59">
        <f t="shared" si="152"/>
        <v>296.29416764204774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89.596890832322742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89.596890832322742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328.00000000000017</v>
      </c>
      <c r="EK170" s="17">
        <f>EJ170*VLOOKUP('Données projet'!$B$15,Paramètres!$A$1:$I$89,3,0)*VLOOKUP('Données projet'!$B$15,Paramètres!$A$1:$I$89,5,0)</f>
        <v>255.84000000000015</v>
      </c>
      <c r="EL170" s="13">
        <f t="shared" si="179"/>
        <v>61.834803371075886</v>
      </c>
      <c r="EM170" s="20">
        <f t="shared" si="180"/>
        <v>553.28361587129086</v>
      </c>
      <c r="EN170" s="59">
        <f t="shared" si="128"/>
        <v>846.61694920462423</v>
      </c>
      <c r="EO170" s="59">
        <f ca="1">AVERAGE(OFFSET($EN$3,0,0,'Données projet'!$E$15+1,1))-AVERAGE(OFFSET($H$3,0,0,'Données projet'!$E$15+1,1))</f>
        <v>288.80569134263209</v>
      </c>
      <c r="EP170" s="59">
        <f t="shared" si="154"/>
        <v>283.48738729114024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2.9186391082508711</v>
      </c>
      <c r="EW170" s="21">
        <f>EXP(-LN(2)/25)*EW169+(1-EXP(-LN(2)/25))/(LN(2)/25)*Calculateur!ER170*Calculateur!ET170*VLOOKUP('Données projet'!$B$15,Paramètres!$A$1:$I$89,3,0)*0.475*44/12</f>
        <v>1.3051152238477446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4.2237543320986157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293.33333333334531</v>
      </c>
      <c r="S171" s="59">
        <f ca="1">AVERAGE(OFFSET($R$3,0,0,'Données projet'!$E$9+1,1))-AVERAGE(OFFSET($H$3,0,0,'Données projet'!$E$9+1,1))</f>
        <v>384.05928630855732</v>
      </c>
      <c r="T171" s="59">
        <f t="shared" si="142"/>
        <v>279.93992813630513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-2.4158453015843406E-13</v>
      </c>
      <c r="AJ171" s="13">
        <f>AI171*VLOOKUP('Données projet'!$B$10,Paramètres!$A$1:$I$89,3,0)*VLOOKUP('Données projet'!$B$10,Paramètres!$A$1:$I$89,5,0)</f>
        <v>-2.0351080820546486E-13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312.48716825299158</v>
      </c>
      <c r="AO171" s="59">
        <f t="shared" si="144"/>
        <v>258.68277822755357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47.225489086426336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47.225489086426336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367.99999999999972</v>
      </c>
      <c r="BE171" s="13">
        <f>BD171*VLOOKUP('Données projet'!$B$11,Paramètres!$A$1:$I$89,3,0)*VLOOKUP('Données projet'!$B$11,Paramètres!$A$1:$I$89,5,0)</f>
        <v>269.8175999999998</v>
      </c>
      <c r="BF171" s="13">
        <f t="shared" si="167"/>
        <v>64.810557882019467</v>
      </c>
      <c r="BG171" s="20">
        <f t="shared" si="168"/>
        <v>582.81070831118348</v>
      </c>
      <c r="BH171" s="59">
        <f t="shared" si="116"/>
        <v>876.14404164451685</v>
      </c>
      <c r="BI171" s="59">
        <f ca="1">AVERAGE(OFFSET($BH$3,0,0,'Données projet'!$E$11+1,1))-AVERAGE(OFFSET($H$3,0,0,'Données projet'!$E$11+1,1))</f>
        <v>376.58419691967526</v>
      </c>
      <c r="BJ171" s="59">
        <f t="shared" si="146"/>
        <v>365.76175372075869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7.9115700766670258</v>
      </c>
      <c r="BQ171" s="21">
        <f>EXP(-LN(2)/25)*BQ170+(1-EXP(-LN(2)/25))/(LN(2)/25)*Calculateur!BL171*Calculateur!BN171*VLOOKUP('Données projet'!$B$11,Paramètres!$A$1:$I$89,3,0)*0.475*44/12</f>
        <v>0.46679225319477663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8.3783623298618028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292.78079999999977</v>
      </c>
      <c r="CA171" s="13">
        <f t="shared" si="170"/>
        <v>69.660903052386217</v>
      </c>
      <c r="CB171" s="20">
        <f t="shared" si="171"/>
        <v>631.25263281623893</v>
      </c>
      <c r="CC171" s="59">
        <f t="shared" si="119"/>
        <v>924.58596614957219</v>
      </c>
      <c r="CD171" s="59">
        <f ca="1">AVERAGE(OFFSET($CC$3,0,0,'Données projet'!$E$12+1,1))-AVERAGE(OFFSET($H$3,0,0,'Données projet'!$E$12+1,1))</f>
        <v>405.40026823646758</v>
      </c>
      <c r="CE171" s="59">
        <f t="shared" si="148"/>
        <v>393.0787141050053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10.58138244296434</v>
      </c>
      <c r="CL171" s="21">
        <f>EXP(-LN(2)/25)*CL170+(1-EXP(-LN(2)/25))/(LN(2)/25)*Calculateur!CG171*Calculateur!CI171*VLOOKUP('Données projet'!$B$12,Paramètres!$A$1:$I$89,3,0)*0.475*44/12</f>
        <v>0.62431442869148057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11.205696871655821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259.99999999999983</v>
      </c>
      <c r="CU171" s="17">
        <f>CT171*VLOOKUP('Données projet'!$B$13,Paramètres!$A$1:$I$89,3,0)*VLOOKUP('Données projet'!$B$13,Paramètres!$A$1:$I$89,5,0)</f>
        <v>227.13599999999985</v>
      </c>
      <c r="CV171" s="13">
        <f t="shared" si="173"/>
        <v>55.662966886685133</v>
      </c>
      <c r="CW171" s="20">
        <f t="shared" si="174"/>
        <v>492.5415339943097</v>
      </c>
      <c r="CX171" s="59">
        <f t="shared" si="122"/>
        <v>785.87486732764296</v>
      </c>
      <c r="CY171" s="59">
        <f ca="1">AVERAGE(OFFSET($CX$3,0,0,'Données projet'!$E$13+1,1))-AVERAGE(OFFSET($H$3,0,0,'Données projet'!$E$13+1,1))</f>
        <v>381.72225529388083</v>
      </c>
      <c r="CZ171" s="59">
        <f t="shared" si="150"/>
        <v>360.05900046417361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9.8216895885130384</v>
      </c>
      <c r="DG171" s="21">
        <f>EXP(-LN(2)/25)*DG170+(1-EXP(-LN(2)/25))/(LN(2)/25)*Calculateur!DB171*Calculateur!DD171*VLOOKUP('Données projet'!$B$13,Paramètres!$A$1:$I$89,3,0)*0.475*44/12</f>
        <v>2.0400068152952815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11.86169640380832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5.6843418860808015E-13</v>
      </c>
      <c r="DP171" s="17">
        <f>DO171*VLOOKUP('Données projet'!$B$14,Paramètres!$A$1:$I$89,3,0)*VLOOKUP('Données projet'!$B$14,Paramètres!$A$1:$I$89,5,0)</f>
        <v>5.4978954722173515E-13</v>
      </c>
      <c r="DQ171" s="13">
        <f t="shared" si="176"/>
        <v>6.7731340873355904E-12</v>
      </c>
      <c r="DR171" s="20">
        <f t="shared" si="177"/>
        <v>1.2754091996854009E-11</v>
      </c>
      <c r="DS171" s="59">
        <f t="shared" si="125"/>
        <v>293.33333333334605</v>
      </c>
      <c r="DT171" s="59">
        <f ca="1">AVERAGE(OFFSET($DS$3,0,0,'Données projet'!$E$14+1,1))-AVERAGE(OFFSET($H$3,0,0,'Données projet'!$E$14+1,1))</f>
        <v>407.73540492005355</v>
      </c>
      <c r="DU171" s="59">
        <f t="shared" si="152"/>
        <v>296.29416764204774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87.839950451808193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87.839950451808193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328.00000000000017</v>
      </c>
      <c r="EK171" s="17">
        <f>EJ171*VLOOKUP('Données projet'!$B$15,Paramètres!$A$1:$I$89,3,0)*VLOOKUP('Données projet'!$B$15,Paramètres!$A$1:$I$89,5,0)</f>
        <v>255.84000000000015</v>
      </c>
      <c r="EL171" s="13">
        <f t="shared" si="179"/>
        <v>61.834803371075886</v>
      </c>
      <c r="EM171" s="20">
        <f t="shared" si="180"/>
        <v>553.28361587129086</v>
      </c>
      <c r="EN171" s="59">
        <f t="shared" si="128"/>
        <v>846.61694920462423</v>
      </c>
      <c r="EO171" s="59">
        <f ca="1">AVERAGE(OFFSET($EN$3,0,0,'Données projet'!$E$15+1,1))-AVERAGE(OFFSET($H$3,0,0,'Données projet'!$E$15+1,1))</f>
        <v>288.80569134263209</v>
      </c>
      <c r="EP171" s="59">
        <f t="shared" si="154"/>
        <v>283.48738729114024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2.8614063755321482</v>
      </c>
      <c r="EW171" s="21">
        <f>EXP(-LN(2)/25)*EW170+(1-EXP(-LN(2)/25))/(LN(2)/25)*Calculateur!ER171*Calculateur!ET171*VLOOKUP('Données projet'!$B$15,Paramètres!$A$1:$I$89,3,0)*0.475*44/12</f>
        <v>1.2694267794186014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4.13083315495075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293.33333333334531</v>
      </c>
      <c r="S172" s="59">
        <f ca="1">AVERAGE(OFFSET($R$3,0,0,'Données projet'!$E$9+1,1))-AVERAGE(OFFSET($H$3,0,0,'Données projet'!$E$9+1,1))</f>
        <v>384.05928630855732</v>
      </c>
      <c r="T172" s="59">
        <f t="shared" si="142"/>
        <v>279.93992813630513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-2.4158453015843406E-13</v>
      </c>
      <c r="AJ172" s="13">
        <f>AI172*VLOOKUP('Données projet'!$B$10,Paramètres!$A$1:$I$89,3,0)*VLOOKUP('Données projet'!$B$10,Paramètres!$A$1:$I$89,5,0)</f>
        <v>-2.0351080820546486E-13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312.48716825299158</v>
      </c>
      <c r="AO172" s="59">
        <f t="shared" si="144"/>
        <v>258.68277822755357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46.299426050145627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46.299426050145627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367.99999999999972</v>
      </c>
      <c r="BE172" s="13">
        <f>BD172*VLOOKUP('Données projet'!$B$11,Paramètres!$A$1:$I$89,3,0)*VLOOKUP('Données projet'!$B$11,Paramètres!$A$1:$I$89,5,0)</f>
        <v>269.8175999999998</v>
      </c>
      <c r="BF172" s="13">
        <f t="shared" si="167"/>
        <v>64.810557882019467</v>
      </c>
      <c r="BG172" s="20">
        <f t="shared" si="168"/>
        <v>582.81070831118348</v>
      </c>
      <c r="BH172" s="59">
        <f t="shared" si="116"/>
        <v>876.14404164451685</v>
      </c>
      <c r="BI172" s="59">
        <f ca="1">AVERAGE(OFFSET($BH$3,0,0,'Données projet'!$E$11+1,1))-AVERAGE(OFFSET($H$3,0,0,'Données projet'!$E$11+1,1))</f>
        <v>376.58419691967526</v>
      </c>
      <c r="BJ172" s="59">
        <f t="shared" si="146"/>
        <v>365.76175372075869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7.7564290130448459</v>
      </c>
      <c r="BQ172" s="21">
        <f>EXP(-LN(2)/25)*BQ171+(1-EXP(-LN(2)/25))/(LN(2)/25)*Calculateur!BL172*Calculateur!BN172*VLOOKUP('Données projet'!$B$11,Paramètres!$A$1:$I$89,3,0)*0.475*44/12</f>
        <v>0.45402779448362773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8.2104568075284732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292.78079999999977</v>
      </c>
      <c r="CA172" s="13">
        <f t="shared" si="170"/>
        <v>69.660903052386217</v>
      </c>
      <c r="CB172" s="20">
        <f t="shared" si="171"/>
        <v>631.25263281623893</v>
      </c>
      <c r="CC172" s="59">
        <f t="shared" si="119"/>
        <v>924.58596614957219</v>
      </c>
      <c r="CD172" s="59">
        <f ca="1">AVERAGE(OFFSET($CC$3,0,0,'Données projet'!$E$12+1,1))-AVERAGE(OFFSET($H$3,0,0,'Données projet'!$E$12+1,1))</f>
        <v>405.40026823646758</v>
      </c>
      <c r="CE172" s="59">
        <f t="shared" si="148"/>
        <v>393.0787141050053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10.373887987263819</v>
      </c>
      <c r="CL172" s="21">
        <f>EXP(-LN(2)/25)*CL171+(1-EXP(-LN(2)/25))/(LN(2)/25)*Calculateur!CG172*Calculateur!CI172*VLOOKUP('Données projet'!$B$12,Paramètres!$A$1:$I$89,3,0)*0.475*44/12</f>
        <v>0.60724251780764316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10.981130505071462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259.99999999999983</v>
      </c>
      <c r="CU172" s="17">
        <f>CT172*VLOOKUP('Données projet'!$B$13,Paramètres!$A$1:$I$89,3,0)*VLOOKUP('Données projet'!$B$13,Paramètres!$A$1:$I$89,5,0)</f>
        <v>227.13599999999985</v>
      </c>
      <c r="CV172" s="13">
        <f t="shared" si="173"/>
        <v>55.662966886685133</v>
      </c>
      <c r="CW172" s="20">
        <f t="shared" si="174"/>
        <v>492.5415339943097</v>
      </c>
      <c r="CX172" s="59">
        <f t="shared" si="122"/>
        <v>785.87486732764296</v>
      </c>
      <c r="CY172" s="59">
        <f ca="1">AVERAGE(OFFSET($CX$3,0,0,'Données projet'!$E$13+1,1))-AVERAGE(OFFSET($H$3,0,0,'Données projet'!$E$13+1,1))</f>
        <v>381.72225529388083</v>
      </c>
      <c r="CZ172" s="59">
        <f t="shared" si="150"/>
        <v>360.05900046417361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9.6290922463214201</v>
      </c>
      <c r="DG172" s="21">
        <f>EXP(-LN(2)/25)*DG171+(1-EXP(-LN(2)/25))/(LN(2)/25)*Calculateur!DB172*Calculateur!DD172*VLOOKUP('Données projet'!$B$13,Paramètres!$A$1:$I$89,3,0)*0.475*44/12</f>
        <v>1.9842227216517361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11.613314967973157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5.6843418860808015E-13</v>
      </c>
      <c r="DP172" s="17">
        <f>DO172*VLOOKUP('Données projet'!$B$14,Paramètres!$A$1:$I$89,3,0)*VLOOKUP('Données projet'!$B$14,Paramètres!$A$1:$I$89,5,0)</f>
        <v>5.4978954722173515E-13</v>
      </c>
      <c r="DQ172" s="13">
        <f t="shared" si="176"/>
        <v>6.7731340873355904E-12</v>
      </c>
      <c r="DR172" s="20">
        <f t="shared" si="177"/>
        <v>1.2754091996854009E-11</v>
      </c>
      <c r="DS172" s="59">
        <f t="shared" si="125"/>
        <v>293.33333333334605</v>
      </c>
      <c r="DT172" s="59">
        <f ca="1">AVERAGE(OFFSET($DS$3,0,0,'Données projet'!$E$14+1,1))-AVERAGE(OFFSET($H$3,0,0,'Données projet'!$E$14+1,1))</f>
        <v>407.73540492005355</v>
      </c>
      <c r="DU172" s="59">
        <f t="shared" si="152"/>
        <v>296.29416764204774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86.117462600527716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86.117462600527716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328.00000000000017</v>
      </c>
      <c r="EK172" s="17">
        <f>EJ172*VLOOKUP('Données projet'!$B$15,Paramètres!$A$1:$I$89,3,0)*VLOOKUP('Données projet'!$B$15,Paramètres!$A$1:$I$89,5,0)</f>
        <v>255.84000000000015</v>
      </c>
      <c r="EL172" s="13">
        <f t="shared" si="179"/>
        <v>61.834803371075886</v>
      </c>
      <c r="EM172" s="20">
        <f t="shared" si="180"/>
        <v>553.28361587129086</v>
      </c>
      <c r="EN172" s="59">
        <f t="shared" si="128"/>
        <v>846.61694920462423</v>
      </c>
      <c r="EO172" s="59">
        <f ca="1">AVERAGE(OFFSET($EN$3,0,0,'Données projet'!$E$15+1,1))-AVERAGE(OFFSET($H$3,0,0,'Données projet'!$E$15+1,1))</f>
        <v>288.80569134263209</v>
      </c>
      <c r="EP172" s="59">
        <f t="shared" si="154"/>
        <v>283.48738729114024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2.8052959417935193</v>
      </c>
      <c r="EW172" s="21">
        <f>EXP(-LN(2)/25)*EW171+(1-EXP(-LN(2)/25))/(LN(2)/25)*Calculateur!ER172*Calculateur!ET172*VLOOKUP('Données projet'!$B$15,Paramètres!$A$1:$I$89,3,0)*0.475*44/12</f>
        <v>1.2347142373791467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4.0400101791726657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293.33333333334531</v>
      </c>
      <c r="S173" s="59">
        <f ca="1">AVERAGE(OFFSET($R$3,0,0,'Données projet'!$E$9+1,1))-AVERAGE(OFFSET($H$3,0,0,'Données projet'!$E$9+1,1))</f>
        <v>384.05928630855732</v>
      </c>
      <c r="T173" s="59">
        <f t="shared" si="142"/>
        <v>279.93992813630513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-2.4158453015843406E-13</v>
      </c>
      <c r="AJ173" s="13">
        <f>AI173*VLOOKUP('Données projet'!$B$10,Paramètres!$A$1:$I$89,3,0)*VLOOKUP('Données projet'!$B$10,Paramètres!$A$1:$I$89,5,0)</f>
        <v>-2.0351080820546486E-13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312.48716825299158</v>
      </c>
      <c r="AO173" s="59">
        <f t="shared" si="144"/>
        <v>258.68277822755357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45.39152254516371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45.39152254516371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367.99999999999972</v>
      </c>
      <c r="BE173" s="13">
        <f>BD173*VLOOKUP('Données projet'!$B$11,Paramètres!$A$1:$I$89,3,0)*VLOOKUP('Données projet'!$B$11,Paramètres!$A$1:$I$89,5,0)</f>
        <v>269.8175999999998</v>
      </c>
      <c r="BF173" s="13">
        <f t="shared" si="167"/>
        <v>64.810557882019467</v>
      </c>
      <c r="BG173" s="20">
        <f t="shared" si="168"/>
        <v>582.81070831118348</v>
      </c>
      <c r="BH173" s="59">
        <f t="shared" si="116"/>
        <v>876.14404164451685</v>
      </c>
      <c r="BI173" s="59">
        <f ca="1">AVERAGE(OFFSET($BH$3,0,0,'Données projet'!$E$11+1,1))-AVERAGE(OFFSET($H$3,0,0,'Données projet'!$E$11+1,1))</f>
        <v>376.58419691967526</v>
      </c>
      <c r="BJ173" s="59">
        <f t="shared" si="146"/>
        <v>365.76175372075869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7.6043301710535918</v>
      </c>
      <c r="BQ173" s="21">
        <f>EXP(-LN(2)/25)*BQ172+(1-EXP(-LN(2)/25))/(LN(2)/25)*Calculateur!BL173*Calculateur!BN173*VLOOKUP('Données projet'!$B$11,Paramètres!$A$1:$I$89,3,0)*0.475*44/12</f>
        <v>0.44161238056718893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8.0459425516207812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292.78079999999977</v>
      </c>
      <c r="CA173" s="13">
        <f t="shared" si="170"/>
        <v>69.660903052386217</v>
      </c>
      <c r="CB173" s="20">
        <f t="shared" si="171"/>
        <v>631.25263281623893</v>
      </c>
      <c r="CC173" s="59">
        <f t="shared" si="119"/>
        <v>924.58596614957219</v>
      </c>
      <c r="CD173" s="59">
        <f ca="1">AVERAGE(OFFSET($CC$3,0,0,'Données projet'!$E$12+1,1))-AVERAGE(OFFSET($H$3,0,0,'Données projet'!$E$12+1,1))</f>
        <v>405.40026823646758</v>
      </c>
      <c r="CE173" s="59">
        <f t="shared" si="148"/>
        <v>393.0787141050053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10.170462371280465</v>
      </c>
      <c r="CL173" s="21">
        <f>EXP(-LN(2)/25)*CL172+(1-EXP(-LN(2)/25))/(LN(2)/25)*Calculateur!CG173*Calculateur!CI173*VLOOKUP('Données projet'!$B$12,Paramètres!$A$1:$I$89,3,0)*0.475*44/12</f>
        <v>0.59063743922469703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10.761099810505161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259.99999999999983</v>
      </c>
      <c r="CU173" s="17">
        <f>CT173*VLOOKUP('Données projet'!$B$13,Paramètres!$A$1:$I$89,3,0)*VLOOKUP('Données projet'!$B$13,Paramètres!$A$1:$I$89,5,0)</f>
        <v>227.13599999999985</v>
      </c>
      <c r="CV173" s="13">
        <f t="shared" si="173"/>
        <v>55.662966886685133</v>
      </c>
      <c r="CW173" s="20">
        <f t="shared" si="174"/>
        <v>492.5415339943097</v>
      </c>
      <c r="CX173" s="59">
        <f t="shared" si="122"/>
        <v>785.87486732764296</v>
      </c>
      <c r="CY173" s="59">
        <f ca="1">AVERAGE(OFFSET($CX$3,0,0,'Données projet'!$E$13+1,1))-AVERAGE(OFFSET($H$3,0,0,'Données projet'!$E$13+1,1))</f>
        <v>381.72225529388083</v>
      </c>
      <c r="CZ173" s="59">
        <f t="shared" si="150"/>
        <v>360.05900046417361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9.4402716205374002</v>
      </c>
      <c r="DG173" s="21">
        <f>EXP(-LN(2)/25)*DG172+(1-EXP(-LN(2)/25))/(LN(2)/25)*Calculateur!DB173*Calculateur!DD173*VLOOKUP('Données projet'!$B$13,Paramètres!$A$1:$I$89,3,0)*0.475*44/12</f>
        <v>1.9299640469824315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11.370235667519832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5.6843418860808015E-13</v>
      </c>
      <c r="DP173" s="17">
        <f>DO173*VLOOKUP('Données projet'!$B$14,Paramètres!$A$1:$I$89,3,0)*VLOOKUP('Données projet'!$B$14,Paramètres!$A$1:$I$89,5,0)</f>
        <v>5.4978954722173515E-13</v>
      </c>
      <c r="DQ173" s="13">
        <f t="shared" si="176"/>
        <v>6.7731340873355904E-12</v>
      </c>
      <c r="DR173" s="20">
        <f t="shared" si="177"/>
        <v>1.2754091996854009E-11</v>
      </c>
      <c r="DS173" s="59">
        <f t="shared" si="125"/>
        <v>293.33333333334605</v>
      </c>
      <c r="DT173" s="59">
        <f ca="1">AVERAGE(OFFSET($DS$3,0,0,'Données projet'!$E$14+1,1))-AVERAGE(OFFSET($H$3,0,0,'Données projet'!$E$14+1,1))</f>
        <v>407.73540492005355</v>
      </c>
      <c r="DU173" s="59">
        <f t="shared" si="152"/>
        <v>296.29416764204774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84.428751685397003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84.428751685397003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328.00000000000017</v>
      </c>
      <c r="EK173" s="17">
        <f>EJ173*VLOOKUP('Données projet'!$B$15,Paramètres!$A$1:$I$89,3,0)*VLOOKUP('Données projet'!$B$15,Paramètres!$A$1:$I$89,5,0)</f>
        <v>255.84000000000015</v>
      </c>
      <c r="EL173" s="13">
        <f t="shared" si="179"/>
        <v>61.834803371075886</v>
      </c>
      <c r="EM173" s="20">
        <f t="shared" si="180"/>
        <v>553.28361587129086</v>
      </c>
      <c r="EN173" s="59">
        <f t="shared" si="128"/>
        <v>846.61694920462423</v>
      </c>
      <c r="EO173" s="59">
        <f ca="1">AVERAGE(OFFSET($EN$3,0,0,'Données projet'!$E$15+1,1))-AVERAGE(OFFSET($H$3,0,0,'Données projet'!$E$15+1,1))</f>
        <v>288.80569134263209</v>
      </c>
      <c r="EP173" s="59">
        <f t="shared" si="154"/>
        <v>283.48738729114024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2.7502857994365195</v>
      </c>
      <c r="EW173" s="21">
        <f>EXP(-LN(2)/25)*EW172+(1-EXP(-LN(2)/25))/(LN(2)/25)*Calculateur!ER173*Calculateur!ET173*VLOOKUP('Données projet'!$B$15,Paramètres!$A$1:$I$89,3,0)*0.475*44/12</f>
        <v>1.2009509116272141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3.9512367110637339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293.33333333334531</v>
      </c>
      <c r="S174" s="59">
        <f ca="1">AVERAGE(OFFSET($R$3,0,0,'Données projet'!$E$9+1,1))-AVERAGE(OFFSET($H$3,0,0,'Données projet'!$E$9+1,1))</f>
        <v>384.05928630855732</v>
      </c>
      <c r="T174" s="59">
        <f t="shared" si="142"/>
        <v>279.93992813630513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-2.4158453015843406E-13</v>
      </c>
      <c r="AJ174" s="13">
        <f>AI174*VLOOKUP('Données projet'!$B$10,Paramètres!$A$1:$I$89,3,0)*VLOOKUP('Données projet'!$B$10,Paramètres!$A$1:$I$89,5,0)</f>
        <v>-2.0351080820546486E-13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312.48716825299158</v>
      </c>
      <c r="AO174" s="59">
        <f t="shared" si="144"/>
        <v>258.68277822755357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44.501422474148029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44.501422474148029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367.99999999999972</v>
      </c>
      <c r="BE174" s="13">
        <f>BD174*VLOOKUP('Données projet'!$B$11,Paramètres!$A$1:$I$89,3,0)*VLOOKUP('Données projet'!$B$11,Paramètres!$A$1:$I$89,5,0)</f>
        <v>269.8175999999998</v>
      </c>
      <c r="BF174" s="13">
        <f t="shared" si="167"/>
        <v>64.810557882019467</v>
      </c>
      <c r="BG174" s="20">
        <f t="shared" si="168"/>
        <v>582.81070831118348</v>
      </c>
      <c r="BH174" s="59">
        <f t="shared" si="116"/>
        <v>876.14404164451685</v>
      </c>
      <c r="BI174" s="59">
        <f ca="1">AVERAGE(OFFSET($BH$3,0,0,'Données projet'!$E$11+1,1))-AVERAGE(OFFSET($H$3,0,0,'Données projet'!$E$11+1,1))</f>
        <v>376.58419691967526</v>
      </c>
      <c r="BJ174" s="59">
        <f t="shared" si="146"/>
        <v>365.76175372075869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7.4552138945826529</v>
      </c>
      <c r="BQ174" s="21">
        <f>EXP(-LN(2)/25)*BQ173+(1-EXP(-LN(2)/25))/(LN(2)/25)*Calculateur!BL174*Calculateur!BN174*VLOOKUP('Données projet'!$B$11,Paramètres!$A$1:$I$89,3,0)*0.475*44/12</f>
        <v>0.42953646679719337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7.8847503613798464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292.78079999999977</v>
      </c>
      <c r="CA174" s="13">
        <f t="shared" si="170"/>
        <v>69.660903052386217</v>
      </c>
      <c r="CB174" s="20">
        <f t="shared" si="171"/>
        <v>631.25263281623893</v>
      </c>
      <c r="CC174" s="59">
        <f t="shared" si="119"/>
        <v>924.58596614957219</v>
      </c>
      <c r="CD174" s="59">
        <f ca="1">AVERAGE(OFFSET($CC$3,0,0,'Données projet'!$E$12+1,1))-AVERAGE(OFFSET($H$3,0,0,'Données projet'!$E$12+1,1))</f>
        <v>405.40026823646758</v>
      </c>
      <c r="CE174" s="59">
        <f t="shared" si="148"/>
        <v>393.0787141050053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9.9710258075491698</v>
      </c>
      <c r="CL174" s="21">
        <f>EXP(-LN(2)/25)*CL173+(1-EXP(-LN(2)/25))/(LN(2)/25)*Calculateur!CG174*Calculateur!CI174*VLOOKUP('Données projet'!$B$12,Paramètres!$A$1:$I$89,3,0)*0.475*44/12</f>
        <v>0.57448642738882472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10.545512234937995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259.99999999999983</v>
      </c>
      <c r="CU174" s="17">
        <f>CT174*VLOOKUP('Données projet'!$B$13,Paramètres!$A$1:$I$89,3,0)*VLOOKUP('Données projet'!$B$13,Paramètres!$A$1:$I$89,5,0)</f>
        <v>227.13599999999985</v>
      </c>
      <c r="CV174" s="13">
        <f t="shared" si="173"/>
        <v>55.662966886685133</v>
      </c>
      <c r="CW174" s="20">
        <f t="shared" si="174"/>
        <v>492.5415339943097</v>
      </c>
      <c r="CX174" s="59">
        <f t="shared" si="122"/>
        <v>785.87486732764296</v>
      </c>
      <c r="CY174" s="59">
        <f ca="1">AVERAGE(OFFSET($CX$3,0,0,'Données projet'!$E$13+1,1))-AVERAGE(OFFSET($H$3,0,0,'Données projet'!$E$13+1,1))</f>
        <v>381.72225529388083</v>
      </c>
      <c r="CZ174" s="59">
        <f t="shared" si="150"/>
        <v>360.05900046417361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9.255153652055796</v>
      </c>
      <c r="DG174" s="21">
        <f>EXP(-LN(2)/25)*DG173+(1-EXP(-LN(2)/25))/(LN(2)/25)*Calculateur!DB174*Calculateur!DD174*VLOOKUP('Données projet'!$B$13,Paramètres!$A$1:$I$89,3,0)*0.475*44/12</f>
        <v>1.8771890786252987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11.132342730681096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5.6843418860808015E-13</v>
      </c>
      <c r="DP174" s="17">
        <f>DO174*VLOOKUP('Données projet'!$B$14,Paramètres!$A$1:$I$89,3,0)*VLOOKUP('Données projet'!$B$14,Paramètres!$A$1:$I$89,5,0)</f>
        <v>5.4978954722173515E-13</v>
      </c>
      <c r="DQ174" s="13">
        <f t="shared" si="176"/>
        <v>6.7731340873355904E-12</v>
      </c>
      <c r="DR174" s="20">
        <f t="shared" si="177"/>
        <v>1.2754091996854009E-11</v>
      </c>
      <c r="DS174" s="59">
        <f t="shared" si="125"/>
        <v>293.33333333334605</v>
      </c>
      <c r="DT174" s="59">
        <f ca="1">AVERAGE(OFFSET($DS$3,0,0,'Données projet'!$E$14+1,1))-AVERAGE(OFFSET($H$3,0,0,'Données projet'!$E$14+1,1))</f>
        <v>407.73540492005355</v>
      </c>
      <c r="DU174" s="59">
        <f t="shared" si="152"/>
        <v>296.29416764204774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82.773155361300041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82.773155361300041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328.00000000000017</v>
      </c>
      <c r="EK174" s="17">
        <f>EJ174*VLOOKUP('Données projet'!$B$15,Paramètres!$A$1:$I$89,3,0)*VLOOKUP('Données projet'!$B$15,Paramètres!$A$1:$I$89,5,0)</f>
        <v>255.84000000000015</v>
      </c>
      <c r="EL174" s="13">
        <f t="shared" si="179"/>
        <v>61.834803371075886</v>
      </c>
      <c r="EM174" s="20">
        <f t="shared" si="180"/>
        <v>553.28361587129086</v>
      </c>
      <c r="EN174" s="59">
        <f t="shared" si="128"/>
        <v>846.61694920462423</v>
      </c>
      <c r="EO174" s="59">
        <f ca="1">AVERAGE(OFFSET($EN$3,0,0,'Données projet'!$E$15+1,1))-AVERAGE(OFFSET($H$3,0,0,'Données projet'!$E$15+1,1))</f>
        <v>288.80569134263209</v>
      </c>
      <c r="EP174" s="59">
        <f t="shared" si="154"/>
        <v>283.48738729114024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2.6963543724182668</v>
      </c>
      <c r="EW174" s="21">
        <f>EXP(-LN(2)/25)*EW173+(1-EXP(-LN(2)/25))/(LN(2)/25)*Calculateur!ER174*Calculateur!ET174*VLOOKUP('Données projet'!$B$15,Paramètres!$A$1:$I$89,3,0)*0.475*44/12</f>
        <v>1.1681108457935043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3.8644652182117714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293.33333333334531</v>
      </c>
      <c r="S175" s="59">
        <f ca="1">AVERAGE(OFFSET($R$3,0,0,'Données projet'!$E$9+1,1))-AVERAGE(OFFSET($H$3,0,0,'Données projet'!$E$9+1,1))</f>
        <v>384.05928630855732</v>
      </c>
      <c r="T175" s="59">
        <f t="shared" si="142"/>
        <v>279.93992813630513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-2.4158453015843406E-13</v>
      </c>
      <c r="AJ175" s="13">
        <f>AI175*VLOOKUP('Données projet'!$B$10,Paramètres!$A$1:$I$89,3,0)*VLOOKUP('Données projet'!$B$10,Paramètres!$A$1:$I$89,5,0)</f>
        <v>-2.0351080820546486E-13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312.48716825299158</v>
      </c>
      <c r="AO175" s="59">
        <f t="shared" si="144"/>
        <v>258.68277822755357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43.62877672261753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43.62877672261753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367.99999999999972</v>
      </c>
      <c r="BE175" s="13">
        <f>BD175*VLOOKUP('Données projet'!$B$11,Paramètres!$A$1:$I$89,3,0)*VLOOKUP('Données projet'!$B$11,Paramètres!$A$1:$I$89,5,0)</f>
        <v>269.8175999999998</v>
      </c>
      <c r="BF175" s="13">
        <f t="shared" si="167"/>
        <v>64.810557882019467</v>
      </c>
      <c r="BG175" s="20">
        <f t="shared" si="168"/>
        <v>582.81070831118348</v>
      </c>
      <c r="BH175" s="59">
        <f t="shared" si="116"/>
        <v>876.14404164451685</v>
      </c>
      <c r="BI175" s="59">
        <f ca="1">AVERAGE(OFFSET($BH$3,0,0,'Données projet'!$E$11+1,1))-AVERAGE(OFFSET($H$3,0,0,'Données projet'!$E$11+1,1))</f>
        <v>376.58419691967526</v>
      </c>
      <c r="BJ175" s="59">
        <f t="shared" si="146"/>
        <v>365.76175372075869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7.3090216973413611</v>
      </c>
      <c r="BQ175" s="21">
        <f>EXP(-LN(2)/25)*BQ174+(1-EXP(-LN(2)/25))/(LN(2)/25)*Calculateur!BL175*Calculateur!BN175*VLOOKUP('Données projet'!$B$11,Paramètres!$A$1:$I$89,3,0)*0.475*44/12</f>
        <v>0.41779076952428307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7.7268124668656437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292.78079999999977</v>
      </c>
      <c r="CA175" s="13">
        <f t="shared" si="170"/>
        <v>69.660903052386217</v>
      </c>
      <c r="CB175" s="20">
        <f t="shared" si="171"/>
        <v>631.25263281623893</v>
      </c>
      <c r="CC175" s="59">
        <f t="shared" si="119"/>
        <v>924.58596614957219</v>
      </c>
      <c r="CD175" s="59">
        <f ca="1">AVERAGE(OFFSET($CC$3,0,0,'Données projet'!$E$12+1,1))-AVERAGE(OFFSET($H$3,0,0,'Données projet'!$E$12+1,1))</f>
        <v>405.40026823646758</v>
      </c>
      <c r="CE175" s="59">
        <f t="shared" si="148"/>
        <v>393.0787141050053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9.7755000731883523</v>
      </c>
      <c r="CL175" s="21">
        <f>EXP(-LN(2)/25)*CL174+(1-EXP(-LN(2)/25))/(LN(2)/25)*Calculateur!CG175*Calculateur!CI175*VLOOKUP('Données projet'!$B$12,Paramètres!$A$1:$I$89,3,0)*0.475*44/12</f>
        <v>0.5587770658209491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10.334277139009302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259.99999999999983</v>
      </c>
      <c r="CU175" s="17">
        <f>CT175*VLOOKUP('Données projet'!$B$13,Paramètres!$A$1:$I$89,3,0)*VLOOKUP('Données projet'!$B$13,Paramètres!$A$1:$I$89,5,0)</f>
        <v>227.13599999999985</v>
      </c>
      <c r="CV175" s="13">
        <f t="shared" si="173"/>
        <v>55.662966886685133</v>
      </c>
      <c r="CW175" s="20">
        <f t="shared" si="174"/>
        <v>492.5415339943097</v>
      </c>
      <c r="CX175" s="59">
        <f t="shared" si="122"/>
        <v>785.87486732764296</v>
      </c>
      <c r="CY175" s="59">
        <f ca="1">AVERAGE(OFFSET($CX$3,0,0,'Données projet'!$E$13+1,1))-AVERAGE(OFFSET($H$3,0,0,'Données projet'!$E$13+1,1))</f>
        <v>381.72225529388083</v>
      </c>
      <c r="CZ175" s="59">
        <f t="shared" si="150"/>
        <v>360.05900046417361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9.0736657340253029</v>
      </c>
      <c r="DG175" s="21">
        <f>EXP(-LN(2)/25)*DG174+(1-EXP(-LN(2)/25))/(LN(2)/25)*Calculateur!DB175*Calculateur!DD175*VLOOKUP('Données projet'!$B$13,Paramètres!$A$1:$I$89,3,0)*0.475*44/12</f>
        <v>1.8258572445532066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10.89952297857851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5.6843418860808015E-13</v>
      </c>
      <c r="DP175" s="17">
        <f>DO175*VLOOKUP('Données projet'!$B$14,Paramètres!$A$1:$I$89,3,0)*VLOOKUP('Données projet'!$B$14,Paramètres!$A$1:$I$89,5,0)</f>
        <v>5.4978954722173515E-13</v>
      </c>
      <c r="DQ175" s="13">
        <f t="shared" si="176"/>
        <v>6.7731340873355904E-12</v>
      </c>
      <c r="DR175" s="20">
        <f t="shared" si="177"/>
        <v>1.2754091996854009E-11</v>
      </c>
      <c r="DS175" s="59">
        <f t="shared" si="125"/>
        <v>293.33333333334605</v>
      </c>
      <c r="DT175" s="59">
        <f ca="1">AVERAGE(OFFSET($DS$3,0,0,'Données projet'!$E$14+1,1))-AVERAGE(OFFSET($H$3,0,0,'Données projet'!$E$14+1,1))</f>
        <v>407.73540492005355</v>
      </c>
      <c r="DU175" s="59">
        <f t="shared" si="152"/>
        <v>296.29416764204774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81.150024271304574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81.150024271304574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328.00000000000017</v>
      </c>
      <c r="EK175" s="17">
        <f>EJ175*VLOOKUP('Données projet'!$B$15,Paramètres!$A$1:$I$89,3,0)*VLOOKUP('Données projet'!$B$15,Paramètres!$A$1:$I$89,5,0)</f>
        <v>255.84000000000015</v>
      </c>
      <c r="EL175" s="13">
        <f t="shared" si="179"/>
        <v>61.834803371075886</v>
      </c>
      <c r="EM175" s="20">
        <f t="shared" si="180"/>
        <v>553.28361587129086</v>
      </c>
      <c r="EN175" s="59">
        <f t="shared" si="128"/>
        <v>846.61694920462423</v>
      </c>
      <c r="EO175" s="59">
        <f ca="1">AVERAGE(OFFSET($EN$3,0,0,'Données projet'!$E$15+1,1))-AVERAGE(OFFSET($H$3,0,0,'Données projet'!$E$15+1,1))</f>
        <v>288.80569134263209</v>
      </c>
      <c r="EP175" s="59">
        <f t="shared" si="154"/>
        <v>283.48738729114024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2.6434805077889196</v>
      </c>
      <c r="EW175" s="21">
        <f>EXP(-LN(2)/25)*EW174+(1-EXP(-LN(2)/25))/(LN(2)/25)*Calculateur!ER175*Calculateur!ET175*VLOOKUP('Données projet'!$B$15,Paramètres!$A$1:$I$89,3,0)*0.475*44/12</f>
        <v>1.1361687932870013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3.7796493010759207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293.33333333334531</v>
      </c>
      <c r="S176" s="59">
        <f ca="1">AVERAGE(OFFSET($R$3,0,0,'Données projet'!$E$9+1,1))-AVERAGE(OFFSET($H$3,0,0,'Données projet'!$E$9+1,1))</f>
        <v>384.05928630855732</v>
      </c>
      <c r="T176" s="59">
        <f t="shared" si="142"/>
        <v>279.93992813630513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-2.4158453015843406E-13</v>
      </c>
      <c r="AJ176" s="13">
        <f>AI176*VLOOKUP('Données projet'!$B$10,Paramètres!$A$1:$I$89,3,0)*VLOOKUP('Données projet'!$B$10,Paramètres!$A$1:$I$89,5,0)</f>
        <v>-2.0351080820546486E-13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312.48716825299158</v>
      </c>
      <c r="AO176" s="59">
        <f t="shared" si="144"/>
        <v>258.68277822755357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42.77324302201319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42.77324302201319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367.99999999999972</v>
      </c>
      <c r="BE176" s="13">
        <f>BD176*VLOOKUP('Données projet'!$B$11,Paramètres!$A$1:$I$89,3,0)*VLOOKUP('Données projet'!$B$11,Paramètres!$A$1:$I$89,5,0)</f>
        <v>269.8175999999998</v>
      </c>
      <c r="BF176" s="13">
        <f t="shared" si="167"/>
        <v>64.810557882019467</v>
      </c>
      <c r="BG176" s="20">
        <f t="shared" si="168"/>
        <v>582.81070831118348</v>
      </c>
      <c r="BH176" s="59">
        <f t="shared" si="116"/>
        <v>876.14404164451685</v>
      </c>
      <c r="BI176" s="59">
        <f ca="1">AVERAGE(OFFSET($BH$3,0,0,'Données projet'!$E$11+1,1))-AVERAGE(OFFSET($H$3,0,0,'Données projet'!$E$11+1,1))</f>
        <v>376.58419691967526</v>
      </c>
      <c r="BJ176" s="59">
        <f t="shared" si="146"/>
        <v>365.76175372075869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7.1656962399195354</v>
      </c>
      <c r="BQ176" s="21">
        <f>EXP(-LN(2)/25)*BQ175+(1-EXP(-LN(2)/25))/(LN(2)/25)*Calculateur!BL176*Calculateur!BN176*VLOOKUP('Données projet'!$B$11,Paramètres!$A$1:$I$89,3,0)*0.475*44/12</f>
        <v>0.40636625896097983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7.5720624988805154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292.78079999999977</v>
      </c>
      <c r="CA176" s="13">
        <f t="shared" si="170"/>
        <v>69.660903052386217</v>
      </c>
      <c r="CB176" s="20">
        <f t="shared" si="171"/>
        <v>631.25263281623893</v>
      </c>
      <c r="CC176" s="59">
        <f t="shared" si="119"/>
        <v>924.58596614957219</v>
      </c>
      <c r="CD176" s="59">
        <f ca="1">AVERAGE(OFFSET($CC$3,0,0,'Données projet'!$E$12+1,1))-AVERAGE(OFFSET($H$3,0,0,'Données projet'!$E$12+1,1))</f>
        <v>405.40026823646758</v>
      </c>
      <c r="CE176" s="59">
        <f t="shared" si="148"/>
        <v>393.0787141050053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9.583808479219428</v>
      </c>
      <c r="CL176" s="21">
        <f>EXP(-LN(2)/25)*CL175+(1-EXP(-LN(2)/25))/(LN(2)/25)*Calculateur!CG176*Calculateur!CI176*VLOOKUP('Données projet'!$B$12,Paramètres!$A$1:$I$89,3,0)*0.475*44/12</f>
        <v>0.54349727757126642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10.127305756790694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259.99999999999983</v>
      </c>
      <c r="CU176" s="17">
        <f>CT176*VLOOKUP('Données projet'!$B$13,Paramètres!$A$1:$I$89,3,0)*VLOOKUP('Données projet'!$B$13,Paramètres!$A$1:$I$89,5,0)</f>
        <v>227.13599999999985</v>
      </c>
      <c r="CV176" s="13">
        <f t="shared" si="173"/>
        <v>55.662966886685133</v>
      </c>
      <c r="CW176" s="20">
        <f t="shared" si="174"/>
        <v>492.5415339943097</v>
      </c>
      <c r="CX176" s="59">
        <f t="shared" si="122"/>
        <v>785.87486732764296</v>
      </c>
      <c r="CY176" s="59">
        <f ca="1">AVERAGE(OFFSET($CX$3,0,0,'Données projet'!$E$13+1,1))-AVERAGE(OFFSET($H$3,0,0,'Données projet'!$E$13+1,1))</f>
        <v>381.72225529388083</v>
      </c>
      <c r="CZ176" s="59">
        <f t="shared" si="150"/>
        <v>360.05900046417361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8.8957366833706892</v>
      </c>
      <c r="DG176" s="21">
        <f>EXP(-LN(2)/25)*DG175+(1-EXP(-LN(2)/25))/(LN(2)/25)*Calculateur!DB176*Calculateur!DD176*VLOOKUP('Données projet'!$B$13,Paramètres!$A$1:$I$89,3,0)*0.475*44/12</f>
        <v>1.7759290821832399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10.671665765553929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5.6843418860808015E-13</v>
      </c>
      <c r="DP176" s="17">
        <f>DO176*VLOOKUP('Données projet'!$B$14,Paramètres!$A$1:$I$89,3,0)*VLOOKUP('Données projet'!$B$14,Paramètres!$A$1:$I$89,5,0)</f>
        <v>5.4978954722173515E-13</v>
      </c>
      <c r="DQ176" s="13">
        <f t="shared" si="176"/>
        <v>6.7731340873355904E-12</v>
      </c>
      <c r="DR176" s="20">
        <f t="shared" si="177"/>
        <v>1.2754091996854009E-11</v>
      </c>
      <c r="DS176" s="59">
        <f t="shared" si="125"/>
        <v>293.33333333334605</v>
      </c>
      <c r="DT176" s="59">
        <f ca="1">AVERAGE(OFFSET($DS$3,0,0,'Données projet'!$E$14+1,1))-AVERAGE(OFFSET($H$3,0,0,'Données projet'!$E$14+1,1))</f>
        <v>407.73540492005355</v>
      </c>
      <c r="DU176" s="59">
        <f t="shared" si="152"/>
        <v>296.29416764204774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79.558721791971706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79.558721791971706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328.00000000000017</v>
      </c>
      <c r="EK176" s="17">
        <f>EJ176*VLOOKUP('Données projet'!$B$15,Paramètres!$A$1:$I$89,3,0)*VLOOKUP('Données projet'!$B$15,Paramètres!$A$1:$I$89,5,0)</f>
        <v>255.84000000000015</v>
      </c>
      <c r="EL176" s="13">
        <f t="shared" si="179"/>
        <v>61.834803371075886</v>
      </c>
      <c r="EM176" s="20">
        <f t="shared" si="180"/>
        <v>553.28361587129086</v>
      </c>
      <c r="EN176" s="59">
        <f t="shared" si="128"/>
        <v>846.61694920462423</v>
      </c>
      <c r="EO176" s="59">
        <f ca="1">AVERAGE(OFFSET($EN$3,0,0,'Données projet'!$E$15+1,1))-AVERAGE(OFFSET($H$3,0,0,'Données projet'!$E$15+1,1))</f>
        <v>288.80569134263209</v>
      </c>
      <c r="EP176" s="59">
        <f t="shared" si="154"/>
        <v>283.48738729114024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2.5916434673950808</v>
      </c>
      <c r="EW176" s="21">
        <f>EXP(-LN(2)/25)*EW175+(1-EXP(-LN(2)/25))/(LN(2)/25)*Calculateur!ER176*Calculateur!ET176*VLOOKUP('Données projet'!$B$15,Paramètres!$A$1:$I$89,3,0)*0.475*44/12</f>
        <v>1.1051001978860482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3.696743665281129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293.33333333334531</v>
      </c>
      <c r="S177" s="59">
        <f ca="1">AVERAGE(OFFSET($R$3,0,0,'Données projet'!$E$9+1,1))-AVERAGE(OFFSET($H$3,0,0,'Données projet'!$E$9+1,1))</f>
        <v>384.05928630855732</v>
      </c>
      <c r="T177" s="59">
        <f t="shared" si="142"/>
        <v>279.93992813630513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-2.4158453015843406E-13</v>
      </c>
      <c r="AJ177" s="13">
        <f>AI177*VLOOKUP('Données projet'!$B$10,Paramètres!$A$1:$I$89,3,0)*VLOOKUP('Données projet'!$B$10,Paramètres!$A$1:$I$89,5,0)</f>
        <v>-2.0351080820546486E-13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312.48716825299158</v>
      </c>
      <c r="AO177" s="59">
        <f t="shared" si="144"/>
        <v>258.68277822755357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41.934485815453669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41.934485815453669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367.99999999999972</v>
      </c>
      <c r="BE177" s="13">
        <f>BD177*VLOOKUP('Données projet'!$B$11,Paramètres!$A$1:$I$89,3,0)*VLOOKUP('Données projet'!$B$11,Paramètres!$A$1:$I$89,5,0)</f>
        <v>269.8175999999998</v>
      </c>
      <c r="BF177" s="13">
        <f t="shared" si="167"/>
        <v>64.810557882019467</v>
      </c>
      <c r="BG177" s="20">
        <f t="shared" si="168"/>
        <v>582.81070831118348</v>
      </c>
      <c r="BH177" s="59">
        <f t="shared" si="116"/>
        <v>876.14404164451685</v>
      </c>
      <c r="BI177" s="59">
        <f ca="1">AVERAGE(OFFSET($BH$3,0,0,'Données projet'!$E$11+1,1))-AVERAGE(OFFSET($H$3,0,0,'Données projet'!$E$11+1,1))</f>
        <v>376.58419691967526</v>
      </c>
      <c r="BJ177" s="59">
        <f t="shared" si="146"/>
        <v>365.76175372075869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7.0251813072978546</v>
      </c>
      <c r="BQ177" s="21">
        <f>EXP(-LN(2)/25)*BQ176+(1-EXP(-LN(2)/25))/(LN(2)/25)*Calculateur!BL177*Calculateur!BN177*VLOOKUP('Données projet'!$B$11,Paramètres!$A$1:$I$89,3,0)*0.475*44/12</f>
        <v>0.39525415223981902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7.420435459537674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292.78079999999977</v>
      </c>
      <c r="CA177" s="13">
        <f t="shared" si="170"/>
        <v>69.660903052386217</v>
      </c>
      <c r="CB177" s="20">
        <f t="shared" si="171"/>
        <v>631.25263281623893</v>
      </c>
      <c r="CC177" s="59">
        <f t="shared" si="119"/>
        <v>924.58596614957219</v>
      </c>
      <c r="CD177" s="59">
        <f ca="1">AVERAGE(OFFSET($CC$3,0,0,'Données projet'!$E$12+1,1))-AVERAGE(OFFSET($H$3,0,0,'Données projet'!$E$12+1,1))</f>
        <v>405.40026823646758</v>
      </c>
      <c r="CE177" s="59">
        <f t="shared" si="148"/>
        <v>393.0787141050053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9.395875840487907</v>
      </c>
      <c r="CL177" s="21">
        <f>EXP(-LN(2)/25)*CL176+(1-EXP(-LN(2)/25))/(LN(2)/25)*Calculateur!CG177*Calculateur!CI177*VLOOKUP('Données projet'!$B$12,Paramètres!$A$1:$I$89,3,0)*0.475*44/12</f>
        <v>0.52863531593480051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9.9245111564227066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259.99999999999983</v>
      </c>
      <c r="CU177" s="17">
        <f>CT177*VLOOKUP('Données projet'!$B$13,Paramètres!$A$1:$I$89,3,0)*VLOOKUP('Données projet'!$B$13,Paramètres!$A$1:$I$89,5,0)</f>
        <v>227.13599999999985</v>
      </c>
      <c r="CV177" s="13">
        <f t="shared" si="173"/>
        <v>55.662966886685133</v>
      </c>
      <c r="CW177" s="20">
        <f t="shared" si="174"/>
        <v>492.5415339943097</v>
      </c>
      <c r="CX177" s="59">
        <f t="shared" si="122"/>
        <v>785.87486732764296</v>
      </c>
      <c r="CY177" s="59">
        <f ca="1">AVERAGE(OFFSET($CX$3,0,0,'Données projet'!$E$13+1,1))-AVERAGE(OFFSET($H$3,0,0,'Données projet'!$E$13+1,1))</f>
        <v>381.72225529388083</v>
      </c>
      <c r="CZ177" s="59">
        <f t="shared" si="150"/>
        <v>360.05900046417361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8.7212967128734071</v>
      </c>
      <c r="DG177" s="21">
        <f>EXP(-LN(2)/25)*DG176+(1-EXP(-LN(2)/25))/(LN(2)/25)*Calculateur!DB177*Calculateur!DD177*VLOOKUP('Données projet'!$B$13,Paramètres!$A$1:$I$89,3,0)*0.475*44/12</f>
        <v>1.7273662080388876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10.448662920912295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5.6843418860808015E-13</v>
      </c>
      <c r="DP177" s="17">
        <f>DO177*VLOOKUP('Données projet'!$B$14,Paramètres!$A$1:$I$89,3,0)*VLOOKUP('Données projet'!$B$14,Paramètres!$A$1:$I$89,5,0)</f>
        <v>5.4978954722173515E-13</v>
      </c>
      <c r="DQ177" s="13">
        <f t="shared" si="176"/>
        <v>6.7731340873355904E-12</v>
      </c>
      <c r="DR177" s="20">
        <f t="shared" si="177"/>
        <v>1.2754091996854009E-11</v>
      </c>
      <c r="DS177" s="59">
        <f t="shared" si="125"/>
        <v>293.33333333334605</v>
      </c>
      <c r="DT177" s="59">
        <f ca="1">AVERAGE(OFFSET($DS$3,0,0,'Données projet'!$E$14+1,1))-AVERAGE(OFFSET($H$3,0,0,'Données projet'!$E$14+1,1))</f>
        <v>407.73540492005355</v>
      </c>
      <c r="DU177" s="59">
        <f t="shared" si="152"/>
        <v>296.29416764204774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77.99862378365988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77.99862378365988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328.00000000000017</v>
      </c>
      <c r="EK177" s="17">
        <f>EJ177*VLOOKUP('Données projet'!$B$15,Paramètres!$A$1:$I$89,3,0)*VLOOKUP('Données projet'!$B$15,Paramètres!$A$1:$I$89,5,0)</f>
        <v>255.84000000000015</v>
      </c>
      <c r="EL177" s="13">
        <f t="shared" si="179"/>
        <v>61.834803371075886</v>
      </c>
      <c r="EM177" s="20">
        <f t="shared" si="180"/>
        <v>553.28361587129086</v>
      </c>
      <c r="EN177" s="59">
        <f t="shared" si="128"/>
        <v>846.61694920462423</v>
      </c>
      <c r="EO177" s="59">
        <f ca="1">AVERAGE(OFFSET($EN$3,0,0,'Données projet'!$E$15+1,1))-AVERAGE(OFFSET($H$3,0,0,'Données projet'!$E$15+1,1))</f>
        <v>288.80569134263209</v>
      </c>
      <c r="EP177" s="59">
        <f t="shared" si="154"/>
        <v>283.48738729114024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2.5408229197458927</v>
      </c>
      <c r="EW177" s="21">
        <f>EXP(-LN(2)/25)*EW176+(1-EXP(-LN(2)/25))/(LN(2)/25)*Calculateur!ER177*Calculateur!ET177*VLOOKUP('Données projet'!$B$15,Paramètres!$A$1:$I$89,3,0)*0.475*44/12</f>
        <v>1.0748811748601605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3.6157040946060532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293.33333333334531</v>
      </c>
      <c r="S178" s="59">
        <f ca="1">AVERAGE(OFFSET($R$3,0,0,'Données projet'!$E$9+1,1))-AVERAGE(OFFSET($H$3,0,0,'Données projet'!$E$9+1,1))</f>
        <v>384.05928630855732</v>
      </c>
      <c r="T178" s="59">
        <f t="shared" si="142"/>
        <v>279.93992813630513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-2.4158453015843406E-13</v>
      </c>
      <c r="AJ178" s="13">
        <f>AI178*VLOOKUP('Données projet'!$B$10,Paramètres!$A$1:$I$89,3,0)*VLOOKUP('Données projet'!$B$10,Paramètres!$A$1:$I$89,5,0)</f>
        <v>-2.0351080820546486E-13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312.48716825299158</v>
      </c>
      <c r="AO178" s="59">
        <f t="shared" si="144"/>
        <v>258.68277822755357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41.112176126123401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41.112176126123401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367.99999999999972</v>
      </c>
      <c r="BE178" s="13">
        <f>BD178*VLOOKUP('Données projet'!$B$11,Paramètres!$A$1:$I$89,3,0)*VLOOKUP('Données projet'!$B$11,Paramètres!$A$1:$I$89,5,0)</f>
        <v>269.8175999999998</v>
      </c>
      <c r="BF178" s="13">
        <f t="shared" si="167"/>
        <v>64.810557882019467</v>
      </c>
      <c r="BG178" s="20">
        <f t="shared" si="168"/>
        <v>582.81070831118348</v>
      </c>
      <c r="BH178" s="59">
        <f t="shared" si="116"/>
        <v>876.14404164451685</v>
      </c>
      <c r="BI178" s="59">
        <f ca="1">AVERAGE(OFFSET($BH$3,0,0,'Données projet'!$E$11+1,1))-AVERAGE(OFFSET($H$3,0,0,'Données projet'!$E$11+1,1))</f>
        <v>376.58419691967526</v>
      </c>
      <c r="BJ178" s="59">
        <f t="shared" si="146"/>
        <v>365.76175372075869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6.8874217867992389</v>
      </c>
      <c r="BQ178" s="21">
        <f>EXP(-LN(2)/25)*BQ177+(1-EXP(-LN(2)/25))/(LN(2)/25)*Calculateur!BL178*Calculateur!BN178*VLOOKUP('Données projet'!$B$11,Paramètres!$A$1:$I$89,3,0)*0.475*44/12</f>
        <v>0.38444590666130868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7.271867693460548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292.78079999999977</v>
      </c>
      <c r="CA178" s="13">
        <f t="shared" si="170"/>
        <v>69.660903052386217</v>
      </c>
      <c r="CB178" s="20">
        <f t="shared" si="171"/>
        <v>631.25263281623893</v>
      </c>
      <c r="CC178" s="59">
        <f t="shared" si="119"/>
        <v>924.58596614957219</v>
      </c>
      <c r="CD178" s="59">
        <f ca="1">AVERAGE(OFFSET($CC$3,0,0,'Données projet'!$E$12+1,1))-AVERAGE(OFFSET($H$3,0,0,'Données projet'!$E$12+1,1))</f>
        <v>405.40026823646758</v>
      </c>
      <c r="CE178" s="59">
        <f t="shared" si="148"/>
        <v>393.0787141050053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9.2116284461743199</v>
      </c>
      <c r="CL178" s="21">
        <f>EXP(-LN(2)/25)*CL177+(1-EXP(-LN(2)/25))/(LN(2)/25)*Calculateur!CG178*Calculateur!CI178*VLOOKUP('Données projet'!$B$12,Paramètres!$A$1:$I$89,3,0)*0.475*44/12</f>
        <v>0.51417975542084038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9.7258082015951608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259.99999999999983</v>
      </c>
      <c r="CU178" s="17">
        <f>CT178*VLOOKUP('Données projet'!$B$13,Paramètres!$A$1:$I$89,3,0)*VLOOKUP('Données projet'!$B$13,Paramètres!$A$1:$I$89,5,0)</f>
        <v>227.13599999999985</v>
      </c>
      <c r="CV178" s="13">
        <f t="shared" si="173"/>
        <v>55.662966886685133</v>
      </c>
      <c r="CW178" s="20">
        <f t="shared" si="174"/>
        <v>492.5415339943097</v>
      </c>
      <c r="CX178" s="59">
        <f t="shared" si="122"/>
        <v>785.87486732764296</v>
      </c>
      <c r="CY178" s="59">
        <f ca="1">AVERAGE(OFFSET($CX$3,0,0,'Données projet'!$E$13+1,1))-AVERAGE(OFFSET($H$3,0,0,'Données projet'!$E$13+1,1))</f>
        <v>381.72225529388083</v>
      </c>
      <c r="CZ178" s="59">
        <f t="shared" si="150"/>
        <v>360.05900046417361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8.5502774037997007</v>
      </c>
      <c r="DG178" s="21">
        <f>EXP(-LN(2)/25)*DG177+(1-EXP(-LN(2)/25))/(LN(2)/25)*Calculateur!DB178*Calculateur!DD178*VLOOKUP('Données projet'!$B$13,Paramètres!$A$1:$I$89,3,0)*0.475*44/12</f>
        <v>1.6801312882418233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10.230408692041523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5.6843418860808015E-13</v>
      </c>
      <c r="DP178" s="17">
        <f>DO178*VLOOKUP('Données projet'!$B$14,Paramètres!$A$1:$I$89,3,0)*VLOOKUP('Données projet'!$B$14,Paramètres!$A$1:$I$89,5,0)</f>
        <v>5.4978954722173515E-13</v>
      </c>
      <c r="DQ178" s="13">
        <f t="shared" si="176"/>
        <v>6.7731340873355904E-12</v>
      </c>
      <c r="DR178" s="20">
        <f t="shared" si="177"/>
        <v>1.2754091996854009E-11</v>
      </c>
      <c r="DS178" s="59">
        <f t="shared" si="125"/>
        <v>293.33333333334605</v>
      </c>
      <c r="DT178" s="59">
        <f ca="1">AVERAGE(OFFSET($DS$3,0,0,'Données projet'!$E$14+1,1))-AVERAGE(OFFSET($H$3,0,0,'Données projet'!$E$14+1,1))</f>
        <v>407.73540492005355</v>
      </c>
      <c r="DU178" s="59">
        <f t="shared" si="152"/>
        <v>296.29416764204774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76.469118345725235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76.469118345725235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328.00000000000017</v>
      </c>
      <c r="EK178" s="17">
        <f>EJ178*VLOOKUP('Données projet'!$B$15,Paramètres!$A$1:$I$89,3,0)*VLOOKUP('Données projet'!$B$15,Paramètres!$A$1:$I$89,5,0)</f>
        <v>255.84000000000015</v>
      </c>
      <c r="EL178" s="13">
        <f t="shared" si="179"/>
        <v>61.834803371075886</v>
      </c>
      <c r="EM178" s="20">
        <f t="shared" si="180"/>
        <v>553.28361587129086</v>
      </c>
      <c r="EN178" s="59">
        <f t="shared" si="128"/>
        <v>846.61694920462423</v>
      </c>
      <c r="EO178" s="59">
        <f ca="1">AVERAGE(OFFSET($EN$3,0,0,'Données projet'!$E$15+1,1))-AVERAGE(OFFSET($H$3,0,0,'Données projet'!$E$15+1,1))</f>
        <v>288.80569134263209</v>
      </c>
      <c r="EP178" s="59">
        <f t="shared" si="154"/>
        <v>283.48738729114024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2.4909989320386319</v>
      </c>
      <c r="EW178" s="21">
        <f>EXP(-LN(2)/25)*EW177+(1-EXP(-LN(2)/25))/(LN(2)/25)*Calculateur!ER178*Calculateur!ET178*VLOOKUP('Données projet'!$B$15,Paramètres!$A$1:$I$89,3,0)*0.475*44/12</f>
        <v>1.0454884926080652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3.5364874246466971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293.33333333334531</v>
      </c>
      <c r="S179" s="59">
        <f ca="1">AVERAGE(OFFSET($R$3,0,0,'Données projet'!$E$9+1,1))-AVERAGE(OFFSET($H$3,0,0,'Données projet'!$E$9+1,1))</f>
        <v>384.05928630855732</v>
      </c>
      <c r="T179" s="59">
        <f t="shared" si="142"/>
        <v>279.93992813630513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-2.4158453015843406E-13</v>
      </c>
      <c r="AJ179" s="13">
        <f>AI179*VLOOKUP('Données projet'!$B$10,Paramètres!$A$1:$I$89,3,0)*VLOOKUP('Données projet'!$B$10,Paramètres!$A$1:$I$89,5,0)</f>
        <v>-2.0351080820546486E-13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312.48716825299158</v>
      </c>
      <c r="AO179" s="59">
        <f t="shared" si="144"/>
        <v>258.68277822755357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40.305991428241512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40.305991428241512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367.99999999999972</v>
      </c>
      <c r="BE179" s="13">
        <f>BD179*VLOOKUP('Données projet'!$B$11,Paramètres!$A$1:$I$89,3,0)*VLOOKUP('Données projet'!$B$11,Paramètres!$A$1:$I$89,5,0)</f>
        <v>269.8175999999998</v>
      </c>
      <c r="BF179" s="13">
        <f t="shared" si="167"/>
        <v>64.810557882019467</v>
      </c>
      <c r="BG179" s="20">
        <f t="shared" si="168"/>
        <v>582.81070831118348</v>
      </c>
      <c r="BH179" s="59">
        <f t="shared" si="116"/>
        <v>876.14404164451685</v>
      </c>
      <c r="BI179" s="59">
        <f ca="1">AVERAGE(OFFSET($BH$3,0,0,'Données projet'!$E$11+1,1))-AVERAGE(OFFSET($H$3,0,0,'Données projet'!$E$11+1,1))</f>
        <v>376.58419691967526</v>
      </c>
      <c r="BJ179" s="59">
        <f t="shared" si="146"/>
        <v>365.76175372075869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6.75236364647259</v>
      </c>
      <c r="BQ179" s="21">
        <f>EXP(-LN(2)/25)*BQ178+(1-EXP(-LN(2)/25))/(LN(2)/25)*Calculateur!BL179*Calculateur!BN179*VLOOKUP('Données projet'!$B$11,Paramètres!$A$1:$I$89,3,0)*0.475*44/12</f>
        <v>0.37393321312652361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7.1262968595991136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292.78079999999977</v>
      </c>
      <c r="CA179" s="13">
        <f t="shared" si="170"/>
        <v>69.660903052386217</v>
      </c>
      <c r="CB179" s="20">
        <f t="shared" si="171"/>
        <v>631.25263281623893</v>
      </c>
      <c r="CC179" s="59">
        <f t="shared" si="119"/>
        <v>924.58596614957219</v>
      </c>
      <c r="CD179" s="59">
        <f ca="1">AVERAGE(OFFSET($CC$3,0,0,'Données projet'!$E$12+1,1))-AVERAGE(OFFSET($H$3,0,0,'Données projet'!$E$12+1,1))</f>
        <v>405.40026823646758</v>
      </c>
      <c r="CE179" s="59">
        <f t="shared" si="148"/>
        <v>393.0787141050053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9.0309940308834094</v>
      </c>
      <c r="CL179" s="21">
        <f>EXP(-LN(2)/25)*CL178+(1-EXP(-LN(2)/25))/(LN(2)/25)*Calculateur!CG179*Calculateur!CI179*VLOOKUP('Données projet'!$B$12,Paramètres!$A$1:$I$89,3,0)*0.475*44/12</f>
        <v>0.5001194829693193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9.5311135138527288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259.99999999999983</v>
      </c>
      <c r="CU179" s="17">
        <f>CT179*VLOOKUP('Données projet'!$B$13,Paramètres!$A$1:$I$89,3,0)*VLOOKUP('Données projet'!$B$13,Paramètres!$A$1:$I$89,5,0)</f>
        <v>227.13599999999985</v>
      </c>
      <c r="CV179" s="13">
        <f t="shared" si="173"/>
        <v>55.662966886685133</v>
      </c>
      <c r="CW179" s="20">
        <f t="shared" si="174"/>
        <v>492.5415339943097</v>
      </c>
      <c r="CX179" s="59">
        <f t="shared" si="122"/>
        <v>785.87486732764296</v>
      </c>
      <c r="CY179" s="59">
        <f ca="1">AVERAGE(OFFSET($CX$3,0,0,'Données projet'!$E$13+1,1))-AVERAGE(OFFSET($H$3,0,0,'Données projet'!$E$13+1,1))</f>
        <v>381.72225529388083</v>
      </c>
      <c r="CZ179" s="59">
        <f t="shared" si="150"/>
        <v>360.05900046417361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8.3826116790654517</v>
      </c>
      <c r="DG179" s="21">
        <f>EXP(-LN(2)/25)*DG178+(1-EXP(-LN(2)/25))/(LN(2)/25)*Calculateur!DB179*Calculateur!DD179*VLOOKUP('Données projet'!$B$13,Paramètres!$A$1:$I$89,3,0)*0.475*44/12</f>
        <v>1.6341880098105863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10.016799688876038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5.6843418860808015E-13</v>
      </c>
      <c r="DP179" s="17">
        <f>DO179*VLOOKUP('Données projet'!$B$14,Paramètres!$A$1:$I$89,3,0)*VLOOKUP('Données projet'!$B$14,Paramètres!$A$1:$I$89,5,0)</f>
        <v>5.4978954722173515E-13</v>
      </c>
      <c r="DQ179" s="13">
        <f t="shared" si="176"/>
        <v>6.7731340873355904E-12</v>
      </c>
      <c r="DR179" s="20">
        <f t="shared" si="177"/>
        <v>1.2754091996854009E-11</v>
      </c>
      <c r="DS179" s="59">
        <f t="shared" si="125"/>
        <v>293.33333333334605</v>
      </c>
      <c r="DT179" s="59">
        <f ca="1">AVERAGE(OFFSET($DS$3,0,0,'Données projet'!$E$14+1,1))-AVERAGE(OFFSET($H$3,0,0,'Données projet'!$E$14+1,1))</f>
        <v>407.73540492005355</v>
      </c>
      <c r="DU179" s="59">
        <f t="shared" si="152"/>
        <v>296.29416764204774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74.969605576522284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74.969605576522284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328.00000000000017</v>
      </c>
      <c r="EK179" s="17">
        <f>EJ179*VLOOKUP('Données projet'!$B$15,Paramètres!$A$1:$I$89,3,0)*VLOOKUP('Données projet'!$B$15,Paramètres!$A$1:$I$89,5,0)</f>
        <v>255.84000000000015</v>
      </c>
      <c r="EL179" s="13">
        <f t="shared" si="179"/>
        <v>61.834803371075886</v>
      </c>
      <c r="EM179" s="20">
        <f t="shared" si="180"/>
        <v>553.28361587129086</v>
      </c>
      <c r="EN179" s="59">
        <f t="shared" si="128"/>
        <v>846.61694920462423</v>
      </c>
      <c r="EO179" s="59">
        <f ca="1">AVERAGE(OFFSET($EN$3,0,0,'Données projet'!$E$15+1,1))-AVERAGE(OFFSET($H$3,0,0,'Données projet'!$E$15+1,1))</f>
        <v>288.80569134263209</v>
      </c>
      <c r="EP179" s="59">
        <f t="shared" si="154"/>
        <v>283.48738729114024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2.4421519623406787</v>
      </c>
      <c r="EW179" s="21">
        <f>EXP(-LN(2)/25)*EW178+(1-EXP(-LN(2)/25))/(LN(2)/25)*Calculateur!ER179*Calculateur!ET179*VLOOKUP('Données projet'!$B$15,Paramètres!$A$1:$I$89,3,0)*0.475*44/12</f>
        <v>1.0168995547978474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3.4590515171385263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293.33333333334531</v>
      </c>
      <c r="S180" s="59">
        <f ca="1">AVERAGE(OFFSET($R$3,0,0,'Données projet'!$E$9+1,1))-AVERAGE(OFFSET($H$3,0,0,'Données projet'!$E$9+1,1))</f>
        <v>384.05928630855732</v>
      </c>
      <c r="T180" s="59">
        <f t="shared" si="142"/>
        <v>279.93992813630513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-2.4158453015843406E-13</v>
      </c>
      <c r="AJ180" s="13">
        <f>AI180*VLOOKUP('Données projet'!$B$10,Paramètres!$A$1:$I$89,3,0)*VLOOKUP('Données projet'!$B$10,Paramètres!$A$1:$I$89,5,0)</f>
        <v>-2.0351080820546486E-13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312.48716825299158</v>
      </c>
      <c r="AO180" s="59">
        <f t="shared" si="144"/>
        <v>258.68277822755357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39.515615520560978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39.515615520560978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367.99999999999972</v>
      </c>
      <c r="BE180" s="13">
        <f>BD180*VLOOKUP('Données projet'!$B$11,Paramètres!$A$1:$I$89,3,0)*VLOOKUP('Données projet'!$B$11,Paramètres!$A$1:$I$89,5,0)</f>
        <v>269.8175999999998</v>
      </c>
      <c r="BF180" s="13">
        <f t="shared" si="167"/>
        <v>64.810557882019467</v>
      </c>
      <c r="BG180" s="20">
        <f t="shared" si="168"/>
        <v>582.81070831118348</v>
      </c>
      <c r="BH180" s="59">
        <f t="shared" si="116"/>
        <v>876.14404164451685</v>
      </c>
      <c r="BI180" s="59">
        <f ca="1">AVERAGE(OFFSET($BH$3,0,0,'Données projet'!$E$11+1,1))-AVERAGE(OFFSET($H$3,0,0,'Données projet'!$E$11+1,1))</f>
        <v>376.58419691967526</v>
      </c>
      <c r="BJ180" s="59">
        <f t="shared" si="146"/>
        <v>365.76175372075869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6.6199539139004155</v>
      </c>
      <c r="BQ180" s="21">
        <f>EXP(-LN(2)/25)*BQ179+(1-EXP(-LN(2)/25))/(LN(2)/25)*Calculateur!BL180*Calculateur!BN180*VLOOKUP('Données projet'!$B$11,Paramètres!$A$1:$I$89,3,0)*0.475*44/12</f>
        <v>0.36370798974928575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6.9836619036497014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292.78079999999977</v>
      </c>
      <c r="CA180" s="13">
        <f t="shared" si="170"/>
        <v>69.660903052386217</v>
      </c>
      <c r="CB180" s="20">
        <f t="shared" si="171"/>
        <v>631.25263281623893</v>
      </c>
      <c r="CC180" s="59">
        <f t="shared" si="119"/>
        <v>924.58596614957219</v>
      </c>
      <c r="CD180" s="59">
        <f ca="1">AVERAGE(OFFSET($CC$3,0,0,'Données projet'!$E$12+1,1))-AVERAGE(OFFSET($H$3,0,0,'Données projet'!$E$12+1,1))</f>
        <v>405.40026823646758</v>
      </c>
      <c r="CE180" s="59">
        <f t="shared" si="148"/>
        <v>393.0787141050053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8.8539017463002381</v>
      </c>
      <c r="CL180" s="21">
        <f>EXP(-LN(2)/25)*CL179+(1-EXP(-LN(2)/25))/(LN(2)/25)*Calculateur!CG180*Calculateur!CI180*VLOOKUP('Données projet'!$B$12,Paramètres!$A$1:$I$89,3,0)*0.475*44/12</f>
        <v>0.4864436894073827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9.3403454357076203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259.99999999999983</v>
      </c>
      <c r="CU180" s="17">
        <f>CT180*VLOOKUP('Données projet'!$B$13,Paramètres!$A$1:$I$89,3,0)*VLOOKUP('Données projet'!$B$13,Paramètres!$A$1:$I$89,5,0)</f>
        <v>227.13599999999985</v>
      </c>
      <c r="CV180" s="13">
        <f t="shared" si="173"/>
        <v>55.662966886685133</v>
      </c>
      <c r="CW180" s="20">
        <f t="shared" si="174"/>
        <v>492.5415339943097</v>
      </c>
      <c r="CX180" s="59">
        <f t="shared" si="122"/>
        <v>785.87486732764296</v>
      </c>
      <c r="CY180" s="59">
        <f ca="1">AVERAGE(OFFSET($CX$3,0,0,'Données projet'!$E$13+1,1))-AVERAGE(OFFSET($H$3,0,0,'Données projet'!$E$13+1,1))</f>
        <v>381.72225529388083</v>
      </c>
      <c r="CZ180" s="59">
        <f t="shared" si="150"/>
        <v>360.05900046417361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8.2182337769272458</v>
      </c>
      <c r="DG180" s="21">
        <f>EXP(-LN(2)/25)*DG179+(1-EXP(-LN(2)/25))/(LN(2)/25)*Calculateur!DB180*Calculateur!DD180*VLOOKUP('Données projet'!$B$13,Paramètres!$A$1:$I$89,3,0)*0.475*44/12</f>
        <v>1.5895010527441034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9.8077348296713485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5.6843418860808015E-13</v>
      </c>
      <c r="DP180" s="17">
        <f>DO180*VLOOKUP('Données projet'!$B$14,Paramètres!$A$1:$I$89,3,0)*VLOOKUP('Données projet'!$B$14,Paramètres!$A$1:$I$89,5,0)</f>
        <v>5.4978954722173515E-13</v>
      </c>
      <c r="DQ180" s="13">
        <f t="shared" si="176"/>
        <v>6.7731340873355904E-12</v>
      </c>
      <c r="DR180" s="20">
        <f t="shared" si="177"/>
        <v>1.2754091996854009E-11</v>
      </c>
      <c r="DS180" s="59">
        <f t="shared" si="125"/>
        <v>293.33333333334605</v>
      </c>
      <c r="DT180" s="59">
        <f ca="1">AVERAGE(OFFSET($DS$3,0,0,'Données projet'!$E$14+1,1))-AVERAGE(OFFSET($H$3,0,0,'Données projet'!$E$14+1,1))</f>
        <v>407.73540492005355</v>
      </c>
      <c r="DU180" s="59">
        <f t="shared" si="152"/>
        <v>296.29416764204774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73.499497338110928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73.499497338110928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328.00000000000017</v>
      </c>
      <c r="EK180" s="17">
        <f>EJ180*VLOOKUP('Données projet'!$B$15,Paramètres!$A$1:$I$89,3,0)*VLOOKUP('Données projet'!$B$15,Paramètres!$A$1:$I$89,5,0)</f>
        <v>255.84000000000015</v>
      </c>
      <c r="EL180" s="13">
        <f t="shared" si="179"/>
        <v>61.834803371075886</v>
      </c>
      <c r="EM180" s="20">
        <f t="shared" si="180"/>
        <v>553.28361587129086</v>
      </c>
      <c r="EN180" s="59">
        <f t="shared" si="128"/>
        <v>846.61694920462423</v>
      </c>
      <c r="EO180" s="59">
        <f ca="1">AVERAGE(OFFSET($EN$3,0,0,'Données projet'!$E$15+1,1))-AVERAGE(OFFSET($H$3,0,0,'Données projet'!$E$15+1,1))</f>
        <v>288.80569134263209</v>
      </c>
      <c r="EP180" s="59">
        <f t="shared" si="154"/>
        <v>283.48738729114024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2.3942628519247924</v>
      </c>
      <c r="EW180" s="21">
        <f>EXP(-LN(2)/25)*EW179+(1-EXP(-LN(2)/25))/(LN(2)/25)*Calculateur!ER180*Calculateur!ET180*VLOOKUP('Données projet'!$B$15,Paramètres!$A$1:$I$89,3,0)*0.475*44/12</f>
        <v>0.98909238299547686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3.3833552349202693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293.33333333334531</v>
      </c>
      <c r="S181" s="59">
        <f ca="1">AVERAGE(OFFSET($R$3,0,0,'Données projet'!$E$9+1,1))-AVERAGE(OFFSET($H$3,0,0,'Données projet'!$E$9+1,1))</f>
        <v>384.05928630855732</v>
      </c>
      <c r="T181" s="59">
        <f t="shared" si="142"/>
        <v>279.93992813630513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-2.4158453015843406E-13</v>
      </c>
      <c r="AJ181" s="13">
        <f>AI181*VLOOKUP('Données projet'!$B$10,Paramètres!$A$1:$I$89,3,0)*VLOOKUP('Données projet'!$B$10,Paramètres!$A$1:$I$89,5,0)</f>
        <v>-2.0351080820546486E-13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312.48716825299158</v>
      </c>
      <c r="AO181" s="59">
        <f t="shared" si="144"/>
        <v>258.68277822755357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38.740738402348356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38.740738402348356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367.99999999999972</v>
      </c>
      <c r="BE181" s="13">
        <f>BD181*VLOOKUP('Données projet'!$B$11,Paramètres!$A$1:$I$89,3,0)*VLOOKUP('Données projet'!$B$11,Paramètres!$A$1:$I$89,5,0)</f>
        <v>269.8175999999998</v>
      </c>
      <c r="BF181" s="13">
        <f t="shared" si="167"/>
        <v>64.810557882019467</v>
      </c>
      <c r="BG181" s="20">
        <f t="shared" si="168"/>
        <v>582.81070831118348</v>
      </c>
      <c r="BH181" s="59">
        <f t="shared" si="116"/>
        <v>876.14404164451685</v>
      </c>
      <c r="BI181" s="59">
        <f ca="1">AVERAGE(OFFSET($BH$3,0,0,'Données projet'!$E$11+1,1))-AVERAGE(OFFSET($H$3,0,0,'Données projet'!$E$11+1,1))</f>
        <v>376.58419691967526</v>
      </c>
      <c r="BJ181" s="59">
        <f t="shared" si="146"/>
        <v>365.76175372075869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6.4901406554220191</v>
      </c>
      <c r="BQ181" s="21">
        <f>EXP(-LN(2)/25)*BQ180+(1-EXP(-LN(2)/25))/(LN(2)/25)*Calculateur!BL181*Calculateur!BN181*VLOOKUP('Données projet'!$B$11,Paramètres!$A$1:$I$89,3,0)*0.475*44/12</f>
        <v>0.3537623756430196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6.8439030310650386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292.78079999999977</v>
      </c>
      <c r="CA181" s="13">
        <f t="shared" si="170"/>
        <v>69.660903052386217</v>
      </c>
      <c r="CB181" s="20">
        <f t="shared" si="171"/>
        <v>631.25263281623893</v>
      </c>
      <c r="CC181" s="59">
        <f t="shared" si="119"/>
        <v>924.58596614957219</v>
      </c>
      <c r="CD181" s="59">
        <f ca="1">AVERAGE(OFFSET($CC$3,0,0,'Données projet'!$E$12+1,1))-AVERAGE(OFFSET($H$3,0,0,'Données projet'!$E$12+1,1))</f>
        <v>405.40026823646758</v>
      </c>
      <c r="CE181" s="59">
        <f t="shared" si="148"/>
        <v>393.0787141050053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8.6802821334021161</v>
      </c>
      <c r="CL181" s="21">
        <f>EXP(-LN(2)/25)*CL180+(1-EXP(-LN(2)/25))/(LN(2)/25)*Calculateur!CG181*Calculateur!CI181*VLOOKUP('Données projet'!$B$12,Paramètres!$A$1:$I$89,3,0)*0.475*44/12</f>
        <v>0.47314186113957596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9.1534239945416918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259.99999999999983</v>
      </c>
      <c r="CU181" s="17">
        <f>CT181*VLOOKUP('Données projet'!$B$13,Paramètres!$A$1:$I$89,3,0)*VLOOKUP('Données projet'!$B$13,Paramètres!$A$1:$I$89,5,0)</f>
        <v>227.13599999999985</v>
      </c>
      <c r="CV181" s="13">
        <f t="shared" si="173"/>
        <v>55.662966886685133</v>
      </c>
      <c r="CW181" s="20">
        <f t="shared" si="174"/>
        <v>492.5415339943097</v>
      </c>
      <c r="CX181" s="59">
        <f t="shared" si="122"/>
        <v>785.87486732764296</v>
      </c>
      <c r="CY181" s="59">
        <f ca="1">AVERAGE(OFFSET($CX$3,0,0,'Données projet'!$E$13+1,1))-AVERAGE(OFFSET($H$3,0,0,'Données projet'!$E$13+1,1))</f>
        <v>381.72225529388083</v>
      </c>
      <c r="CZ181" s="59">
        <f t="shared" si="150"/>
        <v>360.05900046417361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8.0570792251893497</v>
      </c>
      <c r="DG181" s="21">
        <f>EXP(-LN(2)/25)*DG180+(1-EXP(-LN(2)/25))/(LN(2)/25)*Calculateur!DB181*Calculateur!DD181*VLOOKUP('Données projet'!$B$13,Paramètres!$A$1:$I$89,3,0)*0.475*44/12</f>
        <v>1.5460360628685883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9.6031152880579373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5.6843418860808015E-13</v>
      </c>
      <c r="DP181" s="17">
        <f>DO181*VLOOKUP('Données projet'!$B$14,Paramètres!$A$1:$I$89,3,0)*VLOOKUP('Données projet'!$B$14,Paramètres!$A$1:$I$89,5,0)</f>
        <v>5.4978954722173515E-13</v>
      </c>
      <c r="DQ181" s="13">
        <f t="shared" si="176"/>
        <v>6.7731340873355904E-12</v>
      </c>
      <c r="DR181" s="20">
        <f t="shared" si="177"/>
        <v>1.2754091996854009E-11</v>
      </c>
      <c r="DS181" s="59">
        <f t="shared" si="125"/>
        <v>293.33333333334605</v>
      </c>
      <c r="DT181" s="59">
        <f ca="1">AVERAGE(OFFSET($DS$3,0,0,'Données projet'!$E$14+1,1))-AVERAGE(OFFSET($H$3,0,0,'Données projet'!$E$14+1,1))</f>
        <v>407.73540492005355</v>
      </c>
      <c r="DU181" s="59">
        <f t="shared" si="152"/>
        <v>296.29416764204774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72.058217025577321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72.058217025577321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328.00000000000017</v>
      </c>
      <c r="EK181" s="17">
        <f>EJ181*VLOOKUP('Données projet'!$B$15,Paramètres!$A$1:$I$89,3,0)*VLOOKUP('Données projet'!$B$15,Paramètres!$A$1:$I$89,5,0)</f>
        <v>255.84000000000015</v>
      </c>
      <c r="EL181" s="13">
        <f t="shared" si="179"/>
        <v>61.834803371075886</v>
      </c>
      <c r="EM181" s="20">
        <f t="shared" si="180"/>
        <v>553.28361587129086</v>
      </c>
      <c r="EN181" s="59">
        <f t="shared" si="128"/>
        <v>846.61694920462423</v>
      </c>
      <c r="EO181" s="59">
        <f ca="1">AVERAGE(OFFSET($EN$3,0,0,'Données projet'!$E$15+1,1))-AVERAGE(OFFSET($H$3,0,0,'Données projet'!$E$15+1,1))</f>
        <v>288.80569134263209</v>
      </c>
      <c r="EP181" s="59">
        <f t="shared" si="154"/>
        <v>283.48738729114024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2.3473128177546885</v>
      </c>
      <c r="EW181" s="21">
        <f>EXP(-LN(2)/25)*EW180+(1-EXP(-LN(2)/25))/(LN(2)/25)*Calculateur!ER181*Calculateur!ET181*VLOOKUP('Données projet'!$B$15,Paramètres!$A$1:$I$89,3,0)*0.475*44/12</f>
        <v>0.96204559976835768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3.3093584175230459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293.33333333334531</v>
      </c>
      <c r="S182" s="59">
        <f ca="1">AVERAGE(OFFSET($R$3,0,0,'Données projet'!$E$9+1,1))-AVERAGE(OFFSET($H$3,0,0,'Données projet'!$E$9+1,1))</f>
        <v>384.05928630855732</v>
      </c>
      <c r="T182" s="59">
        <f t="shared" si="142"/>
        <v>279.93992813630513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-2.4158453015843406E-13</v>
      </c>
      <c r="AJ182" s="13">
        <f>AI182*VLOOKUP('Données projet'!$B$10,Paramètres!$A$1:$I$89,3,0)*VLOOKUP('Données projet'!$B$10,Paramètres!$A$1:$I$89,5,0)</f>
        <v>-2.0351080820546486E-13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312.48716825299158</v>
      </c>
      <c r="AO182" s="59">
        <f t="shared" si="144"/>
        <v>258.68277822755357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37.981056151795507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37.981056151795507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367.99999999999972</v>
      </c>
      <c r="BE182" s="13">
        <f>BD182*VLOOKUP('Données projet'!$B$11,Paramètres!$A$1:$I$89,3,0)*VLOOKUP('Données projet'!$B$11,Paramètres!$A$1:$I$89,5,0)</f>
        <v>269.8175999999998</v>
      </c>
      <c r="BF182" s="13">
        <f t="shared" si="167"/>
        <v>64.810557882019467</v>
      </c>
      <c r="BG182" s="20">
        <f t="shared" si="168"/>
        <v>582.81070831118348</v>
      </c>
      <c r="BH182" s="59">
        <f t="shared" si="116"/>
        <v>876.14404164451685</v>
      </c>
      <c r="BI182" s="59">
        <f ca="1">AVERAGE(OFFSET($BH$3,0,0,'Données projet'!$E$11+1,1))-AVERAGE(OFFSET($H$3,0,0,'Données projet'!$E$11+1,1))</f>
        <v>376.58419691967526</v>
      </c>
      <c r="BJ182" s="59">
        <f t="shared" si="146"/>
        <v>365.76175372075869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6.3628729557641144</v>
      </c>
      <c r="BQ182" s="21">
        <f>EXP(-LN(2)/25)*BQ181+(1-EXP(-LN(2)/25))/(LN(2)/25)*Calculateur!BL182*Calculateur!BN182*VLOOKUP('Données projet'!$B$11,Paramètres!$A$1:$I$89,3,0)*0.475*44/12</f>
        <v>0.34408872487750641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6.706961680641621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292.78079999999977</v>
      </c>
      <c r="CA182" s="13">
        <f t="shared" si="170"/>
        <v>69.660903052386217</v>
      </c>
      <c r="CB182" s="20">
        <f t="shared" si="171"/>
        <v>631.25263281623893</v>
      </c>
      <c r="CC182" s="59">
        <f t="shared" si="119"/>
        <v>924.58596614957219</v>
      </c>
      <c r="CD182" s="59">
        <f ca="1">AVERAGE(OFFSET($CC$3,0,0,'Données projet'!$E$12+1,1))-AVERAGE(OFFSET($H$3,0,0,'Données projet'!$E$12+1,1))</f>
        <v>405.40026823646758</v>
      </c>
      <c r="CE182" s="59">
        <f t="shared" si="148"/>
        <v>393.0787141050053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8.5100670952154189</v>
      </c>
      <c r="CL182" s="21">
        <f>EXP(-LN(2)/25)*CL181+(1-EXP(-LN(2)/25))/(LN(2)/25)*Calculateur!CG182*Calculateur!CI182*VLOOKUP('Données projet'!$B$12,Paramètres!$A$1:$I$89,3,0)*0.475*44/12</f>
        <v>0.46020377206526514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8.9702708672806839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259.99999999999983</v>
      </c>
      <c r="CU182" s="17">
        <f>CT182*VLOOKUP('Données projet'!$B$13,Paramètres!$A$1:$I$89,3,0)*VLOOKUP('Données projet'!$B$13,Paramètres!$A$1:$I$89,5,0)</f>
        <v>227.13599999999985</v>
      </c>
      <c r="CV182" s="13">
        <f t="shared" si="173"/>
        <v>55.662966886685133</v>
      </c>
      <c r="CW182" s="20">
        <f t="shared" si="174"/>
        <v>492.5415339943097</v>
      </c>
      <c r="CX182" s="59">
        <f t="shared" si="122"/>
        <v>785.87486732764296</v>
      </c>
      <c r="CY182" s="59">
        <f ca="1">AVERAGE(OFFSET($CX$3,0,0,'Données projet'!$E$13+1,1))-AVERAGE(OFFSET($H$3,0,0,'Données projet'!$E$13+1,1))</f>
        <v>381.72225529388083</v>
      </c>
      <c r="CZ182" s="59">
        <f t="shared" si="150"/>
        <v>360.05900046417361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7.8990848159164635</v>
      </c>
      <c r="DG182" s="21">
        <f>EXP(-LN(2)/25)*DG181+(1-EXP(-LN(2)/25))/(LN(2)/25)*Calculateur!DB182*Calculateur!DD182*VLOOKUP('Données projet'!$B$13,Paramètres!$A$1:$I$89,3,0)*0.475*44/12</f>
        <v>1.5037596254269436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9.402844441343408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5.6843418860808015E-13</v>
      </c>
      <c r="DP182" s="17">
        <f>DO182*VLOOKUP('Données projet'!$B$14,Paramètres!$A$1:$I$89,3,0)*VLOOKUP('Données projet'!$B$14,Paramètres!$A$1:$I$89,5,0)</f>
        <v>5.4978954722173515E-13</v>
      </c>
      <c r="DQ182" s="13">
        <f t="shared" si="176"/>
        <v>6.7731340873355904E-12</v>
      </c>
      <c r="DR182" s="20">
        <f t="shared" si="177"/>
        <v>1.2754091996854009E-11</v>
      </c>
      <c r="DS182" s="59">
        <f t="shared" si="125"/>
        <v>293.33333333334605</v>
      </c>
      <c r="DT182" s="59">
        <f ca="1">AVERAGE(OFFSET($DS$3,0,0,'Données projet'!$E$14+1,1))-AVERAGE(OFFSET($H$3,0,0,'Données projet'!$E$14+1,1))</f>
        <v>407.73540492005355</v>
      </c>
      <c r="DU182" s="59">
        <f t="shared" si="152"/>
        <v>296.29416764204774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70.645199340878321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70.645199340878321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328.00000000000017</v>
      </c>
      <c r="EK182" s="17">
        <f>EJ182*VLOOKUP('Données projet'!$B$15,Paramètres!$A$1:$I$89,3,0)*VLOOKUP('Données projet'!$B$15,Paramètres!$A$1:$I$89,5,0)</f>
        <v>255.84000000000015</v>
      </c>
      <c r="EL182" s="13">
        <f t="shared" si="179"/>
        <v>61.834803371075886</v>
      </c>
      <c r="EM182" s="20">
        <f t="shared" si="180"/>
        <v>553.28361587129086</v>
      </c>
      <c r="EN182" s="59">
        <f t="shared" si="128"/>
        <v>846.61694920462423</v>
      </c>
      <c r="EO182" s="59">
        <f ca="1">AVERAGE(OFFSET($EN$3,0,0,'Données projet'!$E$15+1,1))-AVERAGE(OFFSET($H$3,0,0,'Données projet'!$E$15+1,1))</f>
        <v>288.80569134263209</v>
      </c>
      <c r="EP182" s="59">
        <f t="shared" si="154"/>
        <v>283.48738729114024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2.3012834451179671</v>
      </c>
      <c r="EW182" s="21">
        <f>EXP(-LN(2)/25)*EW181+(1-EXP(-LN(2)/25))/(LN(2)/25)*Calculateur!ER182*Calculateur!ET182*VLOOKUP('Données projet'!$B$15,Paramètres!$A$1:$I$89,3,0)*0.475*44/12</f>
        <v>0.93573841225091259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3.2370218573688798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293.33333333334531</v>
      </c>
      <c r="S183" s="59">
        <f ca="1">AVERAGE(OFFSET($R$3,0,0,'Données projet'!$E$9+1,1))-AVERAGE(OFFSET($H$3,0,0,'Données projet'!$E$9+1,1))</f>
        <v>384.05928630855732</v>
      </c>
      <c r="T183" s="59">
        <f t="shared" si="142"/>
        <v>279.93992813630513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-2.4158453015843406E-13</v>
      </c>
      <c r="AJ183" s="13">
        <f>AI183*VLOOKUP('Données projet'!$B$10,Paramètres!$A$1:$I$89,3,0)*VLOOKUP('Données projet'!$B$10,Paramètres!$A$1:$I$89,5,0)</f>
        <v>-2.0351080820546486E-13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312.48716825299158</v>
      </c>
      <c r="AO183" s="59">
        <f t="shared" si="144"/>
        <v>258.68277822755357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37.236270806815583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37.236270806815583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367.99999999999972</v>
      </c>
      <c r="BE183" s="13">
        <f>BD183*VLOOKUP('Données projet'!$B$11,Paramètres!$A$1:$I$89,3,0)*VLOOKUP('Données projet'!$B$11,Paramètres!$A$1:$I$89,5,0)</f>
        <v>269.8175999999998</v>
      </c>
      <c r="BF183" s="13">
        <f t="shared" si="167"/>
        <v>64.810557882019467</v>
      </c>
      <c r="BG183" s="20">
        <f t="shared" si="168"/>
        <v>582.81070831118348</v>
      </c>
      <c r="BH183" s="59">
        <f t="shared" si="116"/>
        <v>876.14404164451685</v>
      </c>
      <c r="BI183" s="59">
        <f ca="1">AVERAGE(OFFSET($BH$3,0,0,'Données projet'!$E$11+1,1))-AVERAGE(OFFSET($H$3,0,0,'Données projet'!$E$11+1,1))</f>
        <v>376.58419691967526</v>
      </c>
      <c r="BJ183" s="59">
        <f t="shared" si="146"/>
        <v>365.76175372075869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6.2381008980708694</v>
      </c>
      <c r="BQ183" s="21">
        <f>EXP(-LN(2)/25)*BQ182+(1-EXP(-LN(2)/25))/(LN(2)/25)*Calculateur!BL183*Calculateur!BN183*VLOOKUP('Données projet'!$B$11,Paramètres!$A$1:$I$89,3,0)*0.475*44/12</f>
        <v>0.33467960060089136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6.5727804986717606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292.78079999999977</v>
      </c>
      <c r="CA183" s="13">
        <f t="shared" si="170"/>
        <v>69.660903052386217</v>
      </c>
      <c r="CB183" s="20">
        <f t="shared" si="171"/>
        <v>631.25263281623893</v>
      </c>
      <c r="CC183" s="59">
        <f t="shared" si="119"/>
        <v>924.58596614957219</v>
      </c>
      <c r="CD183" s="59">
        <f ca="1">AVERAGE(OFFSET($CC$3,0,0,'Données projet'!$E$12+1,1))-AVERAGE(OFFSET($H$3,0,0,'Données projet'!$E$12+1,1))</f>
        <v>405.40026823646758</v>
      </c>
      <c r="CE183" s="59">
        <f t="shared" si="148"/>
        <v>393.0787141050053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8.3431898701066398</v>
      </c>
      <c r="CL183" s="21">
        <f>EXP(-LN(2)/25)*CL182+(1-EXP(-LN(2)/25))/(LN(2)/25)*Calculateur!CG183*Calculateur!CI183*VLOOKUP('Données projet'!$B$12,Paramètres!$A$1:$I$89,3,0)*0.475*44/12</f>
        <v>0.44761947571707589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8.7908093458237158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259.99999999999983</v>
      </c>
      <c r="CU183" s="17">
        <f>CT183*VLOOKUP('Données projet'!$B$13,Paramètres!$A$1:$I$89,3,0)*VLOOKUP('Données projet'!$B$13,Paramètres!$A$1:$I$89,5,0)</f>
        <v>227.13599999999985</v>
      </c>
      <c r="CV183" s="13">
        <f t="shared" si="173"/>
        <v>55.662966886685133</v>
      </c>
      <c r="CW183" s="20">
        <f t="shared" si="174"/>
        <v>492.5415339943097</v>
      </c>
      <c r="CX183" s="59">
        <f t="shared" si="122"/>
        <v>785.87486732764296</v>
      </c>
      <c r="CY183" s="59">
        <f ca="1">AVERAGE(OFFSET($CX$3,0,0,'Données projet'!$E$13+1,1))-AVERAGE(OFFSET($H$3,0,0,'Données projet'!$E$13+1,1))</f>
        <v>381.72225529388083</v>
      </c>
      <c r="CZ183" s="59">
        <f t="shared" si="150"/>
        <v>360.05900046417361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7.7441885806423452</v>
      </c>
      <c r="DG183" s="21">
        <f>EXP(-LN(2)/25)*DG182+(1-EXP(-LN(2)/25))/(LN(2)/25)*Calculateur!DB183*Calculateur!DD183*VLOOKUP('Données projet'!$B$13,Paramètres!$A$1:$I$89,3,0)*0.475*44/12</f>
        <v>1.462639239390362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9.2068278200327072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5.6843418860808015E-13</v>
      </c>
      <c r="DP183" s="17">
        <f>DO183*VLOOKUP('Données projet'!$B$14,Paramètres!$A$1:$I$89,3,0)*VLOOKUP('Données projet'!$B$14,Paramètres!$A$1:$I$89,5,0)</f>
        <v>5.4978954722173515E-13</v>
      </c>
      <c r="DQ183" s="13">
        <f t="shared" si="176"/>
        <v>6.7731340873355904E-12</v>
      </c>
      <c r="DR183" s="20">
        <f t="shared" si="177"/>
        <v>1.2754091996854009E-11</v>
      </c>
      <c r="DS183" s="59">
        <f t="shared" si="125"/>
        <v>293.33333333334605</v>
      </c>
      <c r="DT183" s="59">
        <f ca="1">AVERAGE(OFFSET($DS$3,0,0,'Données projet'!$E$14+1,1))-AVERAGE(OFFSET($H$3,0,0,'Données projet'!$E$14+1,1))</f>
        <v>407.73540492005355</v>
      </c>
      <c r="DU183" s="59">
        <f t="shared" si="152"/>
        <v>296.29416764204774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69.25989007112058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69.25989007112058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328.00000000000017</v>
      </c>
      <c r="EK183" s="17">
        <f>EJ183*VLOOKUP('Données projet'!$B$15,Paramètres!$A$1:$I$89,3,0)*VLOOKUP('Données projet'!$B$15,Paramètres!$A$1:$I$89,5,0)</f>
        <v>255.84000000000015</v>
      </c>
      <c r="EL183" s="13">
        <f t="shared" si="179"/>
        <v>61.834803371075886</v>
      </c>
      <c r="EM183" s="20">
        <f t="shared" si="180"/>
        <v>553.28361587129086</v>
      </c>
      <c r="EN183" s="59">
        <f t="shared" si="128"/>
        <v>846.61694920462423</v>
      </c>
      <c r="EO183" s="59">
        <f ca="1">AVERAGE(OFFSET($EN$3,0,0,'Données projet'!$E$15+1,1))-AVERAGE(OFFSET($H$3,0,0,'Données projet'!$E$15+1,1))</f>
        <v>288.80569134263209</v>
      </c>
      <c r="EP183" s="59">
        <f t="shared" si="154"/>
        <v>283.48738729114024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2.2561566804035071</v>
      </c>
      <c r="EW183" s="21">
        <f>EXP(-LN(2)/25)*EW182+(1-EXP(-LN(2)/25))/(LN(2)/25)*Calculateur!ER183*Calculateur!ET183*VLOOKUP('Données projet'!$B$15,Paramètres!$A$1:$I$89,3,0)*0.475*44/12</f>
        <v>0.91015059615956695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3.166307276563074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293.33333333334531</v>
      </c>
      <c r="S184" s="59">
        <f ca="1">AVERAGE(OFFSET($R$3,0,0,'Données projet'!$E$9+1,1))-AVERAGE(OFFSET($H$3,0,0,'Données projet'!$E$9+1,1))</f>
        <v>384.05928630855732</v>
      </c>
      <c r="T184" s="59">
        <f t="shared" si="142"/>
        <v>279.93992813630513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-2.4158453015843406E-13</v>
      </c>
      <c r="AJ184" s="13">
        <f>AI184*VLOOKUP('Données projet'!$B$10,Paramètres!$A$1:$I$89,3,0)*VLOOKUP('Données projet'!$B$10,Paramètres!$A$1:$I$89,5,0)</f>
        <v>-2.0351080820546486E-13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312.48716825299158</v>
      </c>
      <c r="AO184" s="59">
        <f t="shared" si="144"/>
        <v>258.68277822755357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36.506090248176505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36.506090248176505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367.99999999999972</v>
      </c>
      <c r="BE184" s="13">
        <f>BD184*VLOOKUP('Données projet'!$B$11,Paramètres!$A$1:$I$89,3,0)*VLOOKUP('Données projet'!$B$11,Paramètres!$A$1:$I$89,5,0)</f>
        <v>269.8175999999998</v>
      </c>
      <c r="BF184" s="13">
        <f t="shared" si="167"/>
        <v>64.810557882019467</v>
      </c>
      <c r="BG184" s="20">
        <f t="shared" si="168"/>
        <v>582.81070831118348</v>
      </c>
      <c r="BH184" s="59">
        <f t="shared" si="116"/>
        <v>876.14404164451685</v>
      </c>
      <c r="BI184" s="59">
        <f ca="1">AVERAGE(OFFSET($BH$3,0,0,'Données projet'!$E$11+1,1))-AVERAGE(OFFSET($H$3,0,0,'Données projet'!$E$11+1,1))</f>
        <v>376.58419691967526</v>
      </c>
      <c r="BJ184" s="59">
        <f t="shared" si="146"/>
        <v>365.76175372075869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6.1157755443255484</v>
      </c>
      <c r="BQ184" s="21">
        <f>EXP(-LN(2)/25)*BQ183+(1-EXP(-LN(2)/25))/(LN(2)/25)*Calculateur!BL184*Calculateur!BN184*VLOOKUP('Données projet'!$B$11,Paramètres!$A$1:$I$89,3,0)*0.475*44/12</f>
        <v>0.32552776932242472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6.4413033136479729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292.78079999999977</v>
      </c>
      <c r="CA184" s="13">
        <f t="shared" si="170"/>
        <v>69.660903052386217</v>
      </c>
      <c r="CB184" s="20">
        <f t="shared" si="171"/>
        <v>631.25263281623893</v>
      </c>
      <c r="CC184" s="59">
        <f t="shared" si="119"/>
        <v>924.58596614957219</v>
      </c>
      <c r="CD184" s="59">
        <f ca="1">AVERAGE(OFFSET($CC$3,0,0,'Données projet'!$E$12+1,1))-AVERAGE(OFFSET($H$3,0,0,'Données projet'!$E$12+1,1))</f>
        <v>405.40026823646758</v>
      </c>
      <c r="CE184" s="59">
        <f t="shared" si="148"/>
        <v>393.0787141050053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8.1795850055971879</v>
      </c>
      <c r="CL184" s="21">
        <f>EXP(-LN(2)/25)*CL183+(1-EXP(-LN(2)/25))/(LN(2)/25)*Calculateur!CG184*Calculateur!CI184*VLOOKUP('Données projet'!$B$12,Paramètres!$A$1:$I$89,3,0)*0.475*44/12</f>
        <v>0.43537929761430727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8.6149643032114955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259.99999999999983</v>
      </c>
      <c r="CU184" s="17">
        <f>CT184*VLOOKUP('Données projet'!$B$13,Paramètres!$A$1:$I$89,3,0)*VLOOKUP('Données projet'!$B$13,Paramètres!$A$1:$I$89,5,0)</f>
        <v>227.13599999999985</v>
      </c>
      <c r="CV184" s="13">
        <f t="shared" si="173"/>
        <v>55.662966886685133</v>
      </c>
      <c r="CW184" s="20">
        <f t="shared" si="174"/>
        <v>492.5415339943097</v>
      </c>
      <c r="CX184" s="59">
        <f t="shared" si="122"/>
        <v>785.87486732764296</v>
      </c>
      <c r="CY184" s="59">
        <f ca="1">AVERAGE(OFFSET($CX$3,0,0,'Données projet'!$E$13+1,1))-AVERAGE(OFFSET($H$3,0,0,'Données projet'!$E$13+1,1))</f>
        <v>381.72225529388083</v>
      </c>
      <c r="CZ184" s="59">
        <f t="shared" si="150"/>
        <v>360.05900046417361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7.5923297660645774</v>
      </c>
      <c r="DG184" s="21">
        <f>EXP(-LN(2)/25)*DG183+(1-EXP(-LN(2)/25))/(LN(2)/25)*Calculateur!DB184*Calculateur!DD184*VLOOKUP('Données projet'!$B$13,Paramètres!$A$1:$I$89,3,0)*0.475*44/12</f>
        <v>1.4226432924723778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9.0149730585369561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5.6843418860808015E-13</v>
      </c>
      <c r="DP184" s="17">
        <f>DO184*VLOOKUP('Données projet'!$B$14,Paramètres!$A$1:$I$89,3,0)*VLOOKUP('Données projet'!$B$14,Paramètres!$A$1:$I$89,5,0)</f>
        <v>5.4978954722173515E-13</v>
      </c>
      <c r="DQ184" s="13">
        <f t="shared" si="176"/>
        <v>6.7731340873355904E-12</v>
      </c>
      <c r="DR184" s="20">
        <f t="shared" si="177"/>
        <v>1.2754091996854009E-11</v>
      </c>
      <c r="DS184" s="59">
        <f t="shared" si="125"/>
        <v>293.33333333334605</v>
      </c>
      <c r="DT184" s="59">
        <f ca="1">AVERAGE(OFFSET($DS$3,0,0,'Données projet'!$E$14+1,1))-AVERAGE(OFFSET($H$3,0,0,'Données projet'!$E$14+1,1))</f>
        <v>407.73540492005355</v>
      </c>
      <c r="DU184" s="59">
        <f t="shared" si="152"/>
        <v>296.29416764204774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67.901745871187558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67.901745871187558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328.00000000000017</v>
      </c>
      <c r="EK184" s="17">
        <f>EJ184*VLOOKUP('Données projet'!$B$15,Paramètres!$A$1:$I$89,3,0)*VLOOKUP('Données projet'!$B$15,Paramètres!$A$1:$I$89,5,0)</f>
        <v>255.84000000000015</v>
      </c>
      <c r="EL184" s="13">
        <f t="shared" si="179"/>
        <v>61.834803371075886</v>
      </c>
      <c r="EM184" s="20">
        <f t="shared" si="180"/>
        <v>553.28361587129086</v>
      </c>
      <c r="EN184" s="59">
        <f t="shared" si="128"/>
        <v>846.61694920462423</v>
      </c>
      <c r="EO184" s="59">
        <f ca="1">AVERAGE(OFFSET($EN$3,0,0,'Données projet'!$E$15+1,1))-AVERAGE(OFFSET($H$3,0,0,'Données projet'!$E$15+1,1))</f>
        <v>288.80569134263209</v>
      </c>
      <c r="EP184" s="59">
        <f t="shared" si="154"/>
        <v>283.48738729114024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2.2119148240204889</v>
      </c>
      <c r="EW184" s="21">
        <f>EXP(-LN(2)/25)*EW183+(1-EXP(-LN(2)/25))/(LN(2)/25)*Calculateur!ER184*Calculateur!ET184*VLOOKUP('Données projet'!$B$15,Paramètres!$A$1:$I$89,3,0)*0.475*44/12</f>
        <v>0.88526248024484389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3.0971773042653328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293.33333333334531</v>
      </c>
      <c r="S185" s="59">
        <f ca="1">AVERAGE(OFFSET($R$3,0,0,'Données projet'!$E$9+1,1))-AVERAGE(OFFSET($H$3,0,0,'Données projet'!$E$9+1,1))</f>
        <v>384.05928630855732</v>
      </c>
      <c r="T185" s="59">
        <f t="shared" si="142"/>
        <v>279.93992813630513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-2.4158453015843406E-13</v>
      </c>
      <c r="AJ185" s="13">
        <f>AI185*VLOOKUP('Données projet'!$B$10,Paramètres!$A$1:$I$89,3,0)*VLOOKUP('Données projet'!$B$10,Paramètres!$A$1:$I$89,5,0)</f>
        <v>-2.0351080820546486E-13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312.48716825299158</v>
      </c>
      <c r="AO185" s="59">
        <f t="shared" si="144"/>
        <v>258.68277822755357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35.790228084926177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35.790228084926177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367.99999999999972</v>
      </c>
      <c r="BE185" s="13">
        <f>BD185*VLOOKUP('Données projet'!$B$11,Paramètres!$A$1:$I$89,3,0)*VLOOKUP('Données projet'!$B$11,Paramètres!$A$1:$I$89,5,0)</f>
        <v>269.8175999999998</v>
      </c>
      <c r="BF185" s="13">
        <f t="shared" si="167"/>
        <v>64.810557882019467</v>
      </c>
      <c r="BG185" s="20">
        <f t="shared" si="168"/>
        <v>582.81070831118348</v>
      </c>
      <c r="BH185" s="59">
        <f t="shared" si="116"/>
        <v>876.14404164451685</v>
      </c>
      <c r="BI185" s="59">
        <f ca="1">AVERAGE(OFFSET($BH$3,0,0,'Données projet'!$E$11+1,1))-AVERAGE(OFFSET($H$3,0,0,'Données projet'!$E$11+1,1))</f>
        <v>376.58419691967526</v>
      </c>
      <c r="BJ185" s="59">
        <f t="shared" si="146"/>
        <v>365.76175372075869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5.9958489161560742</v>
      </c>
      <c r="BQ185" s="21">
        <f>EXP(-LN(2)/25)*BQ184+(1-EXP(-LN(2)/25))/(LN(2)/25)*Calculateur!BL185*Calculateur!BN185*VLOOKUP('Données projet'!$B$11,Paramètres!$A$1:$I$89,3,0)*0.475*44/12</f>
        <v>0.31662619535154163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6.3124751115076156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292.78079999999977</v>
      </c>
      <c r="CA185" s="13">
        <f t="shared" si="170"/>
        <v>69.660903052386217</v>
      </c>
      <c r="CB185" s="20">
        <f t="shared" si="171"/>
        <v>631.25263281623893</v>
      </c>
      <c r="CC185" s="59">
        <f t="shared" si="119"/>
        <v>924.58596614957219</v>
      </c>
      <c r="CD185" s="59">
        <f ca="1">AVERAGE(OFFSET($CC$3,0,0,'Données projet'!$E$12+1,1))-AVERAGE(OFFSET($H$3,0,0,'Données projet'!$E$12+1,1))</f>
        <v>405.40026823646758</v>
      </c>
      <c r="CE185" s="59">
        <f t="shared" si="148"/>
        <v>393.0787141050053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8.0191883326916518</v>
      </c>
      <c r="CL185" s="21">
        <f>EXP(-LN(2)/25)*CL184+(1-EXP(-LN(2)/25))/(LN(2)/25)*Calculateur!CG185*Calculateur!CI185*VLOOKUP('Données projet'!$B$12,Paramètres!$A$1:$I$89,3,0)*0.475*44/12</f>
        <v>0.42347382782544185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8.4426621605170933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259.99999999999983</v>
      </c>
      <c r="CU185" s="17">
        <f>CT185*VLOOKUP('Données projet'!$B$13,Paramètres!$A$1:$I$89,3,0)*VLOOKUP('Données projet'!$B$13,Paramètres!$A$1:$I$89,5,0)</f>
        <v>227.13599999999985</v>
      </c>
      <c r="CV185" s="13">
        <f t="shared" si="173"/>
        <v>55.662966886685133</v>
      </c>
      <c r="CW185" s="20">
        <f t="shared" si="174"/>
        <v>492.5415339943097</v>
      </c>
      <c r="CX185" s="59">
        <f t="shared" si="122"/>
        <v>785.87486732764296</v>
      </c>
      <c r="CY185" s="59">
        <f ca="1">AVERAGE(OFFSET($CX$3,0,0,'Données projet'!$E$13+1,1))-AVERAGE(OFFSET($H$3,0,0,'Données projet'!$E$13+1,1))</f>
        <v>381.72225529388083</v>
      </c>
      <c r="CZ185" s="59">
        <f t="shared" si="150"/>
        <v>360.05900046417361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7.4434488102159486</v>
      </c>
      <c r="DG185" s="21">
        <f>EXP(-LN(2)/25)*DG184+(1-EXP(-LN(2)/25))/(LN(2)/25)*Calculateur!DB185*Calculateur!DD185*VLOOKUP('Données projet'!$B$13,Paramètres!$A$1:$I$89,3,0)*0.475*44/12</f>
        <v>1.3837410368261613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8.82718984704211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5.6843418860808015E-13</v>
      </c>
      <c r="DP185" s="17">
        <f>DO185*VLOOKUP('Données projet'!$B$14,Paramètres!$A$1:$I$89,3,0)*VLOOKUP('Données projet'!$B$14,Paramètres!$A$1:$I$89,5,0)</f>
        <v>5.4978954722173515E-13</v>
      </c>
      <c r="DQ185" s="13">
        <f t="shared" si="176"/>
        <v>6.7731340873355904E-12</v>
      </c>
      <c r="DR185" s="20">
        <f t="shared" si="177"/>
        <v>1.2754091996854009E-11</v>
      </c>
      <c r="DS185" s="59">
        <f t="shared" si="125"/>
        <v>293.33333333334605</v>
      </c>
      <c r="DT185" s="59">
        <f ca="1">AVERAGE(OFFSET($DS$3,0,0,'Données projet'!$E$14+1,1))-AVERAGE(OFFSET($H$3,0,0,'Données projet'!$E$14+1,1))</f>
        <v>407.73540492005355</v>
      </c>
      <c r="DU185" s="59">
        <f t="shared" si="152"/>
        <v>296.29416764204774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66.570234050629068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66.570234050629068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328.00000000000017</v>
      </c>
      <c r="EK185" s="17">
        <f>EJ185*VLOOKUP('Données projet'!$B$15,Paramètres!$A$1:$I$89,3,0)*VLOOKUP('Données projet'!$B$15,Paramètres!$A$1:$I$89,5,0)</f>
        <v>255.84000000000015</v>
      </c>
      <c r="EL185" s="13">
        <f t="shared" si="179"/>
        <v>61.834803371075886</v>
      </c>
      <c r="EM185" s="20">
        <f t="shared" si="180"/>
        <v>553.28361587129086</v>
      </c>
      <c r="EN185" s="59">
        <f t="shared" si="128"/>
        <v>846.61694920462423</v>
      </c>
      <c r="EO185" s="59">
        <f ca="1">AVERAGE(OFFSET($EN$3,0,0,'Données projet'!$E$15+1,1))-AVERAGE(OFFSET($H$3,0,0,'Données projet'!$E$15+1,1))</f>
        <v>288.80569134263209</v>
      </c>
      <c r="EP185" s="59">
        <f t="shared" si="154"/>
        <v>283.48738729114024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2.1685405234562736</v>
      </c>
      <c r="EW185" s="21">
        <f>EXP(-LN(2)/25)*EW184+(1-EXP(-LN(2)/25))/(LN(2)/25)*Calculateur!ER185*Calculateur!ET185*VLOOKUP('Données projet'!$B$15,Paramètres!$A$1:$I$89,3,0)*0.475*44/12</f>
        <v>0.86105493116861809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3.0295954546248915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293.33333333334531</v>
      </c>
      <c r="S186" s="59">
        <f ca="1">AVERAGE(OFFSET($R$3,0,0,'Données projet'!$E$9+1,1))-AVERAGE(OFFSET($H$3,0,0,'Données projet'!$E$9+1,1))</f>
        <v>384.05928630855732</v>
      </c>
      <c r="T186" s="59">
        <f t="shared" si="142"/>
        <v>279.93992813630513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-2.4158453015843406E-13</v>
      </c>
      <c r="AJ186" s="13">
        <f>AI186*VLOOKUP('Données projet'!$B$10,Paramètres!$A$1:$I$89,3,0)*VLOOKUP('Données projet'!$B$10,Paramètres!$A$1:$I$89,5,0)</f>
        <v>-2.0351080820546486E-13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312.48716825299158</v>
      </c>
      <c r="AO186" s="59">
        <f t="shared" si="144"/>
        <v>258.68277822755357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35.088403542064384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35.088403542064384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367.99999999999972</v>
      </c>
      <c r="BE186" s="13">
        <f>BD186*VLOOKUP('Données projet'!$B$11,Paramètres!$A$1:$I$89,3,0)*VLOOKUP('Données projet'!$B$11,Paramètres!$A$1:$I$89,5,0)</f>
        <v>269.8175999999998</v>
      </c>
      <c r="BF186" s="13">
        <f t="shared" si="167"/>
        <v>64.810557882019467</v>
      </c>
      <c r="BG186" s="20">
        <f t="shared" si="168"/>
        <v>582.81070831118348</v>
      </c>
      <c r="BH186" s="59">
        <f t="shared" si="116"/>
        <v>876.14404164451685</v>
      </c>
      <c r="BI186" s="59">
        <f ca="1">AVERAGE(OFFSET($BH$3,0,0,'Données projet'!$E$11+1,1))-AVERAGE(OFFSET($H$3,0,0,'Données projet'!$E$11+1,1))</f>
        <v>376.58419691967526</v>
      </c>
      <c r="BJ186" s="59">
        <f t="shared" si="146"/>
        <v>365.76175372075869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5.8782739760169829</v>
      </c>
      <c r="BQ186" s="21">
        <f>EXP(-LN(2)/25)*BQ185+(1-EXP(-LN(2)/25))/(LN(2)/25)*Calculateur!BL186*Calculateur!BN186*VLOOKUP('Données projet'!$B$11,Paramètres!$A$1:$I$89,3,0)*0.475*44/12</f>
        <v>0.30796803538900575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6.1862420114059891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292.78079999999977</v>
      </c>
      <c r="CA186" s="13">
        <f t="shared" si="170"/>
        <v>69.660903052386217</v>
      </c>
      <c r="CB186" s="20">
        <f t="shared" si="171"/>
        <v>631.25263281623893</v>
      </c>
      <c r="CC186" s="59">
        <f t="shared" si="119"/>
        <v>924.58596614957219</v>
      </c>
      <c r="CD186" s="59">
        <f ca="1">AVERAGE(OFFSET($CC$3,0,0,'Données projet'!$E$12+1,1))-AVERAGE(OFFSET($H$3,0,0,'Données projet'!$E$12+1,1))</f>
        <v>405.40026823646758</v>
      </c>
      <c r="CE186" s="59">
        <f t="shared" si="148"/>
        <v>393.0787141050053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7.8619369407094837</v>
      </c>
      <c r="CL186" s="21">
        <f>EXP(-LN(2)/25)*CL185+(1-EXP(-LN(2)/25))/(LN(2)/25)*Calculateur!CG186*Calculateur!CI186*VLOOKUP('Données projet'!$B$12,Paramètres!$A$1:$I$89,3,0)*0.475*44/12</f>
        <v>0.41189391373403439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8.2738308544435188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259.99999999999983</v>
      </c>
      <c r="CU186" s="17">
        <f>CT186*VLOOKUP('Données projet'!$B$13,Paramètres!$A$1:$I$89,3,0)*VLOOKUP('Données projet'!$B$13,Paramètres!$A$1:$I$89,5,0)</f>
        <v>227.13599999999985</v>
      </c>
      <c r="CV186" s="13">
        <f t="shared" si="173"/>
        <v>55.662966886685133</v>
      </c>
      <c r="CW186" s="20">
        <f t="shared" si="174"/>
        <v>492.5415339943097</v>
      </c>
      <c r="CX186" s="59">
        <f t="shared" si="122"/>
        <v>785.87486732764296</v>
      </c>
      <c r="CY186" s="59">
        <f ca="1">AVERAGE(OFFSET($CX$3,0,0,'Données projet'!$E$13+1,1))-AVERAGE(OFFSET($H$3,0,0,'Données projet'!$E$13+1,1))</f>
        <v>381.72225529388083</v>
      </c>
      <c r="CZ186" s="59">
        <f t="shared" si="150"/>
        <v>360.05900046417361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7.2974873191030944</v>
      </c>
      <c r="DG186" s="21">
        <f>EXP(-LN(2)/25)*DG185+(1-EXP(-LN(2)/25))/(LN(2)/25)*Calculateur!DB186*Calculateur!DD186*VLOOKUP('Données projet'!$B$13,Paramètres!$A$1:$I$89,3,0)*0.475*44/12</f>
        <v>1.3459025654063714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8.6433898845094657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5.6843418860808015E-13</v>
      </c>
      <c r="DP186" s="17">
        <f>DO186*VLOOKUP('Données projet'!$B$14,Paramètres!$A$1:$I$89,3,0)*VLOOKUP('Données projet'!$B$14,Paramètres!$A$1:$I$89,5,0)</f>
        <v>5.4978954722173515E-13</v>
      </c>
      <c r="DQ186" s="13">
        <f t="shared" si="176"/>
        <v>6.7731340873355904E-12</v>
      </c>
      <c r="DR186" s="20">
        <f t="shared" si="177"/>
        <v>1.2754091996854009E-11</v>
      </c>
      <c r="DS186" s="59">
        <f t="shared" si="125"/>
        <v>293.33333333334605</v>
      </c>
      <c r="DT186" s="59">
        <f ca="1">AVERAGE(OFFSET($DS$3,0,0,'Données projet'!$E$14+1,1))-AVERAGE(OFFSET($H$3,0,0,'Données projet'!$E$14+1,1))</f>
        <v>407.73540492005355</v>
      </c>
      <c r="DU186" s="59">
        <f t="shared" si="152"/>
        <v>296.29416764204774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65.264832364729713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65.264832364729713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328.00000000000017</v>
      </c>
      <c r="EK186" s="17">
        <f>EJ186*VLOOKUP('Données projet'!$B$15,Paramètres!$A$1:$I$89,3,0)*VLOOKUP('Données projet'!$B$15,Paramètres!$A$1:$I$89,5,0)</f>
        <v>255.84000000000015</v>
      </c>
      <c r="EL186" s="13">
        <f t="shared" si="179"/>
        <v>61.834803371075886</v>
      </c>
      <c r="EM186" s="20">
        <f t="shared" si="180"/>
        <v>553.28361587129086</v>
      </c>
      <c r="EN186" s="59">
        <f t="shared" si="128"/>
        <v>846.61694920462423</v>
      </c>
      <c r="EO186" s="59">
        <f ca="1">AVERAGE(OFFSET($EN$3,0,0,'Données projet'!$E$15+1,1))-AVERAGE(OFFSET($H$3,0,0,'Données projet'!$E$15+1,1))</f>
        <v>288.80569134263209</v>
      </c>
      <c r="EP186" s="59">
        <f t="shared" si="154"/>
        <v>283.48738729114024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2.1260167664704115</v>
      </c>
      <c r="EW186" s="21">
        <f>EXP(-LN(2)/25)*EW185+(1-EXP(-LN(2)/25))/(LN(2)/25)*Calculateur!ER186*Calculateur!ET186*VLOOKUP('Données projet'!$B$15,Paramètres!$A$1:$I$89,3,0)*0.475*44/12</f>
        <v>0.83750933879490141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2.9635261052653128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293.33333333334531</v>
      </c>
      <c r="S187" s="59">
        <f ca="1">AVERAGE(OFFSET($R$3,0,0,'Données projet'!$E$9+1,1))-AVERAGE(OFFSET($H$3,0,0,'Données projet'!$E$9+1,1))</f>
        <v>384.05928630855732</v>
      </c>
      <c r="T187" s="59">
        <f t="shared" si="142"/>
        <v>279.93992813630513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-2.4158453015843406E-13</v>
      </c>
      <c r="AJ187" s="13">
        <f>AI187*VLOOKUP('Données projet'!$B$10,Paramètres!$A$1:$I$89,3,0)*VLOOKUP('Données projet'!$B$10,Paramètres!$A$1:$I$89,5,0)</f>
        <v>-2.0351080820546486E-13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312.48716825299158</v>
      </c>
      <c r="AO187" s="59">
        <f t="shared" si="144"/>
        <v>258.68277822755357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34.400341350417406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34.400341350417406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367.99999999999972</v>
      </c>
      <c r="BE187" s="13">
        <f>BD187*VLOOKUP('Données projet'!$B$11,Paramètres!$A$1:$I$89,3,0)*VLOOKUP('Données projet'!$B$11,Paramètres!$A$1:$I$89,5,0)</f>
        <v>269.8175999999998</v>
      </c>
      <c r="BF187" s="13">
        <f t="shared" si="167"/>
        <v>64.810557882019467</v>
      </c>
      <c r="BG187" s="20">
        <f t="shared" si="168"/>
        <v>582.81070831118348</v>
      </c>
      <c r="BH187" s="59">
        <f t="shared" si="116"/>
        <v>876.14404164451685</v>
      </c>
      <c r="BI187" s="59">
        <f ca="1">AVERAGE(OFFSET($BH$3,0,0,'Données projet'!$E$11+1,1))-AVERAGE(OFFSET($H$3,0,0,'Données projet'!$E$11+1,1))</f>
        <v>376.58419691967526</v>
      </c>
      <c r="BJ187" s="59">
        <f t="shared" si="146"/>
        <v>365.76175372075869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5.7630046087403874</v>
      </c>
      <c r="BQ187" s="21">
        <f>EXP(-LN(2)/25)*BQ186+(1-EXP(-LN(2)/25))/(LN(2)/25)*Calculateur!BL187*Calculateur!BN187*VLOOKUP('Données projet'!$B$11,Paramètres!$A$1:$I$89,3,0)*0.475*44/12</f>
        <v>0.29954663326595826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6.0625512420063457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292.78079999999977</v>
      </c>
      <c r="CA187" s="13">
        <f t="shared" si="170"/>
        <v>69.660903052386217</v>
      </c>
      <c r="CB187" s="20">
        <f t="shared" si="171"/>
        <v>631.25263281623893</v>
      </c>
      <c r="CC187" s="59">
        <f t="shared" si="119"/>
        <v>924.58596614957219</v>
      </c>
      <c r="CD187" s="59">
        <f ca="1">AVERAGE(OFFSET($CC$3,0,0,'Données projet'!$E$12+1,1))-AVERAGE(OFFSET($H$3,0,0,'Données projet'!$E$12+1,1))</f>
        <v>405.40026823646758</v>
      </c>
      <c r="CE187" s="59">
        <f t="shared" si="148"/>
        <v>393.0787141050053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7.707769152610207</v>
      </c>
      <c r="CL187" s="21">
        <f>EXP(-LN(2)/25)*CL186+(1-EXP(-LN(2)/25))/(LN(2)/25)*Calculateur!CG187*Calculateur!CI187*VLOOKUP('Données projet'!$B$12,Paramètres!$A$1:$I$89,3,0)*0.475*44/12</f>
        <v>0.40063065300241768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8.1083998056126241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259.99999999999983</v>
      </c>
      <c r="CU187" s="17">
        <f>CT187*VLOOKUP('Données projet'!$B$13,Paramètres!$A$1:$I$89,3,0)*VLOOKUP('Données projet'!$B$13,Paramètres!$A$1:$I$89,5,0)</f>
        <v>227.13599999999985</v>
      </c>
      <c r="CV187" s="13">
        <f t="shared" si="173"/>
        <v>55.662966886685133</v>
      </c>
      <c r="CW187" s="20">
        <f t="shared" si="174"/>
        <v>492.5415339943097</v>
      </c>
      <c r="CX187" s="59">
        <f t="shared" si="122"/>
        <v>785.87486732764296</v>
      </c>
      <c r="CY187" s="59">
        <f ca="1">AVERAGE(OFFSET($CX$3,0,0,'Données projet'!$E$13+1,1))-AVERAGE(OFFSET($H$3,0,0,'Données projet'!$E$13+1,1))</f>
        <v>381.72225529388083</v>
      </c>
      <c r="CZ187" s="59">
        <f t="shared" si="150"/>
        <v>360.05900046417361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7.1543880438032446</v>
      </c>
      <c r="DG187" s="21">
        <f>EXP(-LN(2)/25)*DG186+(1-EXP(-LN(2)/25))/(LN(2)/25)*Calculateur!DB187*Calculateur!DD187*VLOOKUP('Données projet'!$B$13,Paramètres!$A$1:$I$89,3,0)*0.475*44/12</f>
        <v>1.3090987889773944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8.4634868327806387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5.6843418860808015E-13</v>
      </c>
      <c r="DP187" s="17">
        <f>DO187*VLOOKUP('Données projet'!$B$14,Paramètres!$A$1:$I$89,3,0)*VLOOKUP('Données projet'!$B$14,Paramètres!$A$1:$I$89,5,0)</f>
        <v>5.4978954722173515E-13</v>
      </c>
      <c r="DQ187" s="13">
        <f t="shared" si="176"/>
        <v>6.7731340873355904E-12</v>
      </c>
      <c r="DR187" s="20">
        <f t="shared" si="177"/>
        <v>1.2754091996854009E-11</v>
      </c>
      <c r="DS187" s="59">
        <f t="shared" si="125"/>
        <v>293.33333333334605</v>
      </c>
      <c r="DT187" s="59">
        <f ca="1">AVERAGE(OFFSET($DS$3,0,0,'Données projet'!$E$14+1,1))-AVERAGE(OFFSET($H$3,0,0,'Données projet'!$E$14+1,1))</f>
        <v>407.73540492005355</v>
      </c>
      <c r="DU187" s="59">
        <f t="shared" si="152"/>
        <v>296.29416764204774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63.985028809674432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63.985028809674432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328.00000000000017</v>
      </c>
      <c r="EK187" s="17">
        <f>EJ187*VLOOKUP('Données projet'!$B$15,Paramètres!$A$1:$I$89,3,0)*VLOOKUP('Données projet'!$B$15,Paramètres!$A$1:$I$89,5,0)</f>
        <v>255.84000000000015</v>
      </c>
      <c r="EL187" s="13">
        <f t="shared" si="179"/>
        <v>61.834803371075886</v>
      </c>
      <c r="EM187" s="20">
        <f t="shared" si="180"/>
        <v>553.28361587129086</v>
      </c>
      <c r="EN187" s="59">
        <f t="shared" si="128"/>
        <v>846.61694920462423</v>
      </c>
      <c r="EO187" s="59">
        <f ca="1">AVERAGE(OFFSET($EN$3,0,0,'Données projet'!$E$15+1,1))-AVERAGE(OFFSET($H$3,0,0,'Données projet'!$E$15+1,1))</f>
        <v>288.80569134263209</v>
      </c>
      <c r="EP187" s="59">
        <f t="shared" si="154"/>
        <v>283.48738729114024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2.0843268744221115</v>
      </c>
      <c r="EW187" s="21">
        <f>EXP(-LN(2)/25)*EW186+(1-EXP(-LN(2)/25))/(LN(2)/25)*Calculateur!ER187*Calculateur!ET187*VLOOKUP('Données projet'!$B$15,Paramètres!$A$1:$I$89,3,0)*0.475*44/12</f>
        <v>0.81460760188285286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2.8989344763049645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293.33333333334531</v>
      </c>
      <c r="S188" s="59">
        <f ca="1">AVERAGE(OFFSET($R$3,0,0,'Données projet'!$E$9+1,1))-AVERAGE(OFFSET($H$3,0,0,'Données projet'!$E$9+1,1))</f>
        <v>384.05928630855732</v>
      </c>
      <c r="T188" s="59">
        <f t="shared" si="142"/>
        <v>279.93992813630513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-2.4158453015843406E-13</v>
      </c>
      <c r="AJ188" s="13">
        <f>AI188*VLOOKUP('Données projet'!$B$10,Paramètres!$A$1:$I$89,3,0)*VLOOKUP('Données projet'!$B$10,Paramètres!$A$1:$I$89,5,0)</f>
        <v>-2.0351080820546486E-13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312.48716825299158</v>
      </c>
      <c r="AO188" s="59">
        <f t="shared" si="144"/>
        <v>258.68277822755357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33.725771638672128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33.725771638672128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367.99999999999972</v>
      </c>
      <c r="BE188" s="13">
        <f>BD188*VLOOKUP('Données projet'!$B$11,Paramètres!$A$1:$I$89,3,0)*VLOOKUP('Données projet'!$B$11,Paramètres!$A$1:$I$89,5,0)</f>
        <v>269.8175999999998</v>
      </c>
      <c r="BF188" s="13">
        <f t="shared" si="167"/>
        <v>64.810557882019467</v>
      </c>
      <c r="BG188" s="20">
        <f t="shared" si="168"/>
        <v>582.81070831118348</v>
      </c>
      <c r="BH188" s="59">
        <f t="shared" si="116"/>
        <v>876.14404164451685</v>
      </c>
      <c r="BI188" s="59">
        <f ca="1">AVERAGE(OFFSET($BH$3,0,0,'Données projet'!$E$11+1,1))-AVERAGE(OFFSET($H$3,0,0,'Données projet'!$E$11+1,1))</f>
        <v>376.58419691967526</v>
      </c>
      <c r="BJ188" s="59">
        <f t="shared" si="146"/>
        <v>365.76175372075869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5.6499956034487138</v>
      </c>
      <c r="BQ188" s="21">
        <f>EXP(-LN(2)/25)*BQ187+(1-EXP(-LN(2)/25))/(LN(2)/25)*Calculateur!BL188*Calculateur!BN188*VLOOKUP('Données projet'!$B$11,Paramètres!$A$1:$I$89,3,0)*0.475*44/12</f>
        <v>0.29135551482682781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5.9413511182755414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292.78079999999977</v>
      </c>
      <c r="CA188" s="13">
        <f t="shared" si="170"/>
        <v>69.660903052386217</v>
      </c>
      <c r="CB188" s="20">
        <f t="shared" si="171"/>
        <v>631.25263281623893</v>
      </c>
      <c r="CC188" s="59">
        <f t="shared" si="119"/>
        <v>924.58596614957219</v>
      </c>
      <c r="CD188" s="59">
        <f ca="1">AVERAGE(OFFSET($CC$3,0,0,'Données projet'!$E$12+1,1))-AVERAGE(OFFSET($H$3,0,0,'Données projet'!$E$12+1,1))</f>
        <v>405.40026823646758</v>
      </c>
      <c r="CE188" s="59">
        <f t="shared" si="148"/>
        <v>393.0787141050053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7.5566245008024913</v>
      </c>
      <c r="CL188" s="21">
        <f>EXP(-LN(2)/25)*CL187+(1-EXP(-LN(2)/25))/(LN(2)/25)*Calculateur!CG188*Calculateur!CI188*VLOOKUP('Données projet'!$B$12,Paramètres!$A$1:$I$89,3,0)*0.475*44/12</f>
        <v>0.38967538672781621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7.9462998875303077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259.99999999999983</v>
      </c>
      <c r="CU188" s="17">
        <f>CT188*VLOOKUP('Données projet'!$B$13,Paramètres!$A$1:$I$89,3,0)*VLOOKUP('Données projet'!$B$13,Paramètres!$A$1:$I$89,5,0)</f>
        <v>227.13599999999985</v>
      </c>
      <c r="CV188" s="13">
        <f t="shared" si="173"/>
        <v>55.662966886685133</v>
      </c>
      <c r="CW188" s="20">
        <f t="shared" si="174"/>
        <v>492.5415339943097</v>
      </c>
      <c r="CX188" s="59">
        <f t="shared" si="122"/>
        <v>785.87486732764296</v>
      </c>
      <c r="CY188" s="59">
        <f ca="1">AVERAGE(OFFSET($CX$3,0,0,'Données projet'!$E$13+1,1))-AVERAGE(OFFSET($H$3,0,0,'Données projet'!$E$13+1,1))</f>
        <v>381.72225529388083</v>
      </c>
      <c r="CZ188" s="59">
        <f t="shared" si="150"/>
        <v>360.05900046417361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7.0140948580100853</v>
      </c>
      <c r="DG188" s="21">
        <f>EXP(-LN(2)/25)*DG187+(1-EXP(-LN(2)/25))/(LN(2)/25)*Calculateur!DB188*Calculateur!DD188*VLOOKUP('Données projet'!$B$13,Paramètres!$A$1:$I$89,3,0)*0.475*44/12</f>
        <v>1.2733014137502943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8.2873962717603789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5.6843418860808015E-13</v>
      </c>
      <c r="DP188" s="17">
        <f>DO188*VLOOKUP('Données projet'!$B$14,Paramètres!$A$1:$I$89,3,0)*VLOOKUP('Données projet'!$B$14,Paramètres!$A$1:$I$89,5,0)</f>
        <v>5.4978954722173515E-13</v>
      </c>
      <c r="DQ188" s="13">
        <f t="shared" si="176"/>
        <v>6.7731340873355904E-12</v>
      </c>
      <c r="DR188" s="20">
        <f t="shared" si="177"/>
        <v>1.2754091996854009E-11</v>
      </c>
      <c r="DS188" s="59">
        <f t="shared" si="125"/>
        <v>293.33333333334605</v>
      </c>
      <c r="DT188" s="59">
        <f ca="1">AVERAGE(OFFSET($DS$3,0,0,'Données projet'!$E$14+1,1))-AVERAGE(OFFSET($H$3,0,0,'Données projet'!$E$14+1,1))</f>
        <v>407.73540492005355</v>
      </c>
      <c r="DU188" s="59">
        <f t="shared" si="152"/>
        <v>296.29416764204774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62.730321421730693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62.730321421730693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328.00000000000017</v>
      </c>
      <c r="EK188" s="17">
        <f>EJ188*VLOOKUP('Données projet'!$B$15,Paramètres!$A$1:$I$89,3,0)*VLOOKUP('Données projet'!$B$15,Paramètres!$A$1:$I$89,5,0)</f>
        <v>255.84000000000015</v>
      </c>
      <c r="EL188" s="13">
        <f t="shared" si="179"/>
        <v>61.834803371075886</v>
      </c>
      <c r="EM188" s="20">
        <f t="shared" si="180"/>
        <v>553.28361587129086</v>
      </c>
      <c r="EN188" s="59">
        <f t="shared" si="128"/>
        <v>846.61694920462423</v>
      </c>
      <c r="EO188" s="59">
        <f ca="1">AVERAGE(OFFSET($EN$3,0,0,'Données projet'!$E$15+1,1))-AVERAGE(OFFSET($H$3,0,0,'Données projet'!$E$15+1,1))</f>
        <v>288.80569134263209</v>
      </c>
      <c r="EP188" s="59">
        <f t="shared" si="154"/>
        <v>283.48738729114024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2.0434544957285556</v>
      </c>
      <c r="EW188" s="21">
        <f>EXP(-LN(2)/25)*EW187+(1-EXP(-LN(2)/25))/(LN(2)/25)*Calculateur!ER188*Calculateur!ET188*VLOOKUP('Données projet'!$B$15,Paramètres!$A$1:$I$89,3,0)*0.475*44/12</f>
        <v>0.79233211417101423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2.8357866098995697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293.33333333334531</v>
      </c>
      <c r="S189" s="59">
        <f ca="1">AVERAGE(OFFSET($R$3,0,0,'Données projet'!$E$9+1,1))-AVERAGE(OFFSET($H$3,0,0,'Données projet'!$E$9+1,1))</f>
        <v>384.05928630855732</v>
      </c>
      <c r="T189" s="59">
        <f t="shared" si="142"/>
        <v>279.93992813630513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-2.4158453015843406E-13</v>
      </c>
      <c r="AJ189" s="13">
        <f>AI189*VLOOKUP('Données projet'!$B$10,Paramètres!$A$1:$I$89,3,0)*VLOOKUP('Données projet'!$B$10,Paramètres!$A$1:$I$89,5,0)</f>
        <v>-2.0351080820546486E-13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312.48716825299158</v>
      </c>
      <c r="AO189" s="59">
        <f t="shared" si="144"/>
        <v>258.68277822755357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33.064429827527277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33.064429827527277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367.99999999999972</v>
      </c>
      <c r="BE189" s="13">
        <f>BD189*VLOOKUP('Données projet'!$B$11,Paramètres!$A$1:$I$89,3,0)*VLOOKUP('Données projet'!$B$11,Paramètres!$A$1:$I$89,5,0)</f>
        <v>269.8175999999998</v>
      </c>
      <c r="BF189" s="13">
        <f t="shared" si="167"/>
        <v>64.810557882019467</v>
      </c>
      <c r="BG189" s="20">
        <f t="shared" si="168"/>
        <v>582.81070831118348</v>
      </c>
      <c r="BH189" s="59">
        <f t="shared" si="116"/>
        <v>876.14404164451685</v>
      </c>
      <c r="BI189" s="59">
        <f ca="1">AVERAGE(OFFSET($BH$3,0,0,'Données projet'!$E$11+1,1))-AVERAGE(OFFSET($H$3,0,0,'Données projet'!$E$11+1,1))</f>
        <v>376.58419691967526</v>
      </c>
      <c r="BJ189" s="59">
        <f t="shared" si="146"/>
        <v>365.76175372075869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5.5392026358221225</v>
      </c>
      <c r="BQ189" s="21">
        <f>EXP(-LN(2)/25)*BQ188+(1-EXP(-LN(2)/25))/(LN(2)/25)*Calculateur!BL189*Calculateur!BN189*VLOOKUP('Données projet'!$B$11,Paramètres!$A$1:$I$89,3,0)*0.475*44/12</f>
        <v>0.28338838295216756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5.8225910187742898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292.78079999999977</v>
      </c>
      <c r="CA189" s="13">
        <f t="shared" si="170"/>
        <v>69.660903052386217</v>
      </c>
      <c r="CB189" s="20">
        <f t="shared" si="171"/>
        <v>631.25263281623893</v>
      </c>
      <c r="CC189" s="59">
        <f t="shared" si="119"/>
        <v>924.58596614957219</v>
      </c>
      <c r="CD189" s="59">
        <f ca="1">AVERAGE(OFFSET($CC$3,0,0,'Données projet'!$E$12+1,1))-AVERAGE(OFFSET($H$3,0,0,'Données projet'!$E$12+1,1))</f>
        <v>405.40026823646758</v>
      </c>
      <c r="CE189" s="59">
        <f t="shared" si="148"/>
        <v>393.0787141050053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7.4084437034275901</v>
      </c>
      <c r="CL189" s="21">
        <f>EXP(-LN(2)/25)*CL188+(1-EXP(-LN(2)/25))/(LN(2)/25)*Calculateur!CG189*Calculateur!CI189*VLOOKUP('Données projet'!$B$12,Paramètres!$A$1:$I$89,3,0)*0.475*44/12</f>
        <v>0.3790196927856061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7.7874633962131963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259.99999999999983</v>
      </c>
      <c r="CU189" s="17">
        <f>CT189*VLOOKUP('Données projet'!$B$13,Paramètres!$A$1:$I$89,3,0)*VLOOKUP('Données projet'!$B$13,Paramètres!$A$1:$I$89,5,0)</f>
        <v>227.13599999999985</v>
      </c>
      <c r="CV189" s="13">
        <f t="shared" si="173"/>
        <v>55.662966886685133</v>
      </c>
      <c r="CW189" s="20">
        <f t="shared" si="174"/>
        <v>492.5415339943097</v>
      </c>
      <c r="CX189" s="59">
        <f t="shared" si="122"/>
        <v>785.87486732764296</v>
      </c>
      <c r="CY189" s="59">
        <f ca="1">AVERAGE(OFFSET($CX$3,0,0,'Données projet'!$E$13+1,1))-AVERAGE(OFFSET($H$3,0,0,'Données projet'!$E$13+1,1))</f>
        <v>381.72225529388083</v>
      </c>
      <c r="CZ189" s="59">
        <f t="shared" si="150"/>
        <v>360.05900046417361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6.8765527360199359</v>
      </c>
      <c r="DG189" s="21">
        <f>EXP(-LN(2)/25)*DG188+(1-EXP(-LN(2)/25))/(LN(2)/25)*Calculateur!DB189*Calculateur!DD189*VLOOKUP('Données projet'!$B$13,Paramètres!$A$1:$I$89,3,0)*0.475*44/12</f>
        <v>1.2384829196312812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8.1150356556512175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5.6843418860808015E-13</v>
      </c>
      <c r="DP189" s="17">
        <f>DO189*VLOOKUP('Données projet'!$B$14,Paramètres!$A$1:$I$89,3,0)*VLOOKUP('Données projet'!$B$14,Paramètres!$A$1:$I$89,5,0)</f>
        <v>5.4978954722173515E-13</v>
      </c>
      <c r="DQ189" s="13">
        <f t="shared" si="176"/>
        <v>6.7731340873355904E-12</v>
      </c>
      <c r="DR189" s="20">
        <f t="shared" si="177"/>
        <v>1.2754091996854009E-11</v>
      </c>
      <c r="DS189" s="59">
        <f t="shared" si="125"/>
        <v>293.33333333334605</v>
      </c>
      <c r="DT189" s="59">
        <f ca="1">AVERAGE(OFFSET($DS$3,0,0,'Données projet'!$E$14+1,1))-AVERAGE(OFFSET($H$3,0,0,'Données projet'!$E$14+1,1))</f>
        <v>407.73540492005355</v>
      </c>
      <c r="DU189" s="59">
        <f t="shared" si="152"/>
        <v>296.29416764204774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61.50021808036859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61.50021808036859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328.00000000000017</v>
      </c>
      <c r="EK189" s="17">
        <f>EJ189*VLOOKUP('Données projet'!$B$15,Paramètres!$A$1:$I$89,3,0)*VLOOKUP('Données projet'!$B$15,Paramètres!$A$1:$I$89,5,0)</f>
        <v>255.84000000000015</v>
      </c>
      <c r="EL189" s="13">
        <f t="shared" si="179"/>
        <v>61.834803371075886</v>
      </c>
      <c r="EM189" s="20">
        <f t="shared" si="180"/>
        <v>553.28361587129086</v>
      </c>
      <c r="EN189" s="59">
        <f t="shared" si="128"/>
        <v>846.61694920462423</v>
      </c>
      <c r="EO189" s="59">
        <f ca="1">AVERAGE(OFFSET($EN$3,0,0,'Données projet'!$E$15+1,1))-AVERAGE(OFFSET($H$3,0,0,'Données projet'!$E$15+1,1))</f>
        <v>288.80569134263209</v>
      </c>
      <c r="EP189" s="59">
        <f t="shared" si="154"/>
        <v>283.48738729114024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2.003383599451491</v>
      </c>
      <c r="EW189" s="21">
        <f>EXP(-LN(2)/25)*EW188+(1-EXP(-LN(2)/25))/(LN(2)/25)*Calculateur!ER189*Calculateur!ET189*VLOOKUP('Données projet'!$B$15,Paramètres!$A$1:$I$89,3,0)*0.475*44/12</f>
        <v>0.77066575084207289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2.7740493502935637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293.33333333334531</v>
      </c>
      <c r="S190" s="59">
        <f ca="1">AVERAGE(OFFSET($R$3,0,0,'Données projet'!$E$9+1,1))-AVERAGE(OFFSET($H$3,0,0,'Données projet'!$E$9+1,1))</f>
        <v>384.05928630855732</v>
      </c>
      <c r="T190" s="59">
        <f t="shared" si="142"/>
        <v>279.93992813630513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-2.4158453015843406E-13</v>
      </c>
      <c r="AJ190" s="13">
        <f>AI190*VLOOKUP('Données projet'!$B$10,Paramètres!$A$1:$I$89,3,0)*VLOOKUP('Données projet'!$B$10,Paramètres!$A$1:$I$89,5,0)</f>
        <v>-2.0351080820546486E-13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312.48716825299158</v>
      </c>
      <c r="AO190" s="59">
        <f t="shared" si="144"/>
        <v>258.68277822755357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32.416056525920304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32.416056525920304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367.99999999999972</v>
      </c>
      <c r="BE190" s="13">
        <f>BD190*VLOOKUP('Données projet'!$B$11,Paramètres!$A$1:$I$89,3,0)*VLOOKUP('Données projet'!$B$11,Paramètres!$A$1:$I$89,5,0)</f>
        <v>269.8175999999998</v>
      </c>
      <c r="BF190" s="13">
        <f t="shared" si="167"/>
        <v>64.810557882019467</v>
      </c>
      <c r="BG190" s="20">
        <f t="shared" si="168"/>
        <v>582.81070831118348</v>
      </c>
      <c r="BH190" s="59">
        <f t="shared" si="116"/>
        <v>876.14404164451685</v>
      </c>
      <c r="BI190" s="59">
        <f ca="1">AVERAGE(OFFSET($BH$3,0,0,'Données projet'!$E$11+1,1))-AVERAGE(OFFSET($H$3,0,0,'Données projet'!$E$11+1,1))</f>
        <v>376.58419691967526</v>
      </c>
      <c r="BJ190" s="59">
        <f t="shared" si="146"/>
        <v>365.76175372075869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5.4305822507136519</v>
      </c>
      <c r="BQ190" s="21">
        <f>EXP(-LN(2)/25)*BQ189+(1-EXP(-LN(2)/25))/(LN(2)/25)*Calculateur!BL190*Calculateur!BN190*VLOOKUP('Données projet'!$B$11,Paramètres!$A$1:$I$89,3,0)*0.475*44/12</f>
        <v>0.27563911271759317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5.7062213634312453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292.78079999999977</v>
      </c>
      <c r="CA190" s="13">
        <f t="shared" si="170"/>
        <v>69.660903052386217</v>
      </c>
      <c r="CB190" s="20">
        <f t="shared" si="171"/>
        <v>631.25263281623893</v>
      </c>
      <c r="CC190" s="59">
        <f t="shared" si="119"/>
        <v>924.58596614957219</v>
      </c>
      <c r="CD190" s="59">
        <f ca="1">AVERAGE(OFFSET($CC$3,0,0,'Données projet'!$E$12+1,1))-AVERAGE(OFFSET($H$3,0,0,'Données projet'!$E$12+1,1))</f>
        <v>405.40026823646758</v>
      </c>
      <c r="CE190" s="59">
        <f t="shared" si="148"/>
        <v>393.0787141050053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7.2631686411078489</v>
      </c>
      <c r="CL190" s="21">
        <f>EXP(-LN(2)/25)*CL189+(1-EXP(-LN(2)/25))/(LN(2)/25)*Calculateur!CG190*Calculateur!CI190*VLOOKUP('Données projet'!$B$12,Paramètres!$A$1:$I$89,3,0)*0.475*44/12</f>
        <v>0.3686553793546043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7.631824020462453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259.99999999999983</v>
      </c>
      <c r="CU190" s="17">
        <f>CT190*VLOOKUP('Données projet'!$B$13,Paramètres!$A$1:$I$89,3,0)*VLOOKUP('Données projet'!$B$13,Paramètres!$A$1:$I$89,5,0)</f>
        <v>227.13599999999985</v>
      </c>
      <c r="CV190" s="13">
        <f t="shared" si="173"/>
        <v>55.662966886685133</v>
      </c>
      <c r="CW190" s="20">
        <f t="shared" si="174"/>
        <v>492.5415339943097</v>
      </c>
      <c r="CX190" s="59">
        <f t="shared" si="122"/>
        <v>785.87486732764296</v>
      </c>
      <c r="CY190" s="59">
        <f ca="1">AVERAGE(OFFSET($CX$3,0,0,'Données projet'!$E$13+1,1))-AVERAGE(OFFSET($H$3,0,0,'Données projet'!$E$13+1,1))</f>
        <v>381.72225529388083</v>
      </c>
      <c r="CZ190" s="59">
        <f t="shared" si="150"/>
        <v>360.05900046417361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6.741707731149603</v>
      </c>
      <c r="DG190" s="21">
        <f>EXP(-LN(2)/25)*DG189+(1-EXP(-LN(2)/25))/(LN(2)/25)*Calculateur!DB190*Calculateur!DD190*VLOOKUP('Données projet'!$B$13,Paramètres!$A$1:$I$89,3,0)*0.475*44/12</f>
        <v>1.2046165390649777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7.9463242702145802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5.6843418860808015E-13</v>
      </c>
      <c r="DP190" s="17">
        <f>DO190*VLOOKUP('Données projet'!$B$14,Paramètres!$A$1:$I$89,3,0)*VLOOKUP('Données projet'!$B$14,Paramètres!$A$1:$I$89,5,0)</f>
        <v>5.4978954722173515E-13</v>
      </c>
      <c r="DQ190" s="13">
        <f t="shared" si="176"/>
        <v>6.7731340873355904E-12</v>
      </c>
      <c r="DR190" s="20">
        <f t="shared" si="177"/>
        <v>1.2754091996854009E-11</v>
      </c>
      <c r="DS190" s="59">
        <f t="shared" si="125"/>
        <v>293.33333333334605</v>
      </c>
      <c r="DT190" s="59">
        <f ca="1">AVERAGE(OFFSET($DS$3,0,0,'Données projet'!$E$14+1,1))-AVERAGE(OFFSET($H$3,0,0,'Données projet'!$E$14+1,1))</f>
        <v>407.73540492005355</v>
      </c>
      <c r="DU190" s="59">
        <f t="shared" si="152"/>
        <v>296.29416764204774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60.294236315241648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60.294236315241648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328.00000000000017</v>
      </c>
      <c r="EK190" s="17">
        <f>EJ190*VLOOKUP('Données projet'!$B$15,Paramètres!$A$1:$I$89,3,0)*VLOOKUP('Données projet'!$B$15,Paramètres!$A$1:$I$89,5,0)</f>
        <v>255.84000000000015</v>
      </c>
      <c r="EL190" s="13">
        <f t="shared" si="179"/>
        <v>61.834803371075886</v>
      </c>
      <c r="EM190" s="20">
        <f t="shared" si="180"/>
        <v>553.28361587129086</v>
      </c>
      <c r="EN190" s="59">
        <f t="shared" si="128"/>
        <v>846.61694920462423</v>
      </c>
      <c r="EO190" s="59">
        <f ca="1">AVERAGE(OFFSET($EN$3,0,0,'Données projet'!$E$15+1,1))-AVERAGE(OFFSET($H$3,0,0,'Données projet'!$E$15+1,1))</f>
        <v>288.80569134263209</v>
      </c>
      <c r="EP190" s="59">
        <f t="shared" si="154"/>
        <v>283.48738729114024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1.9640984690095862</v>
      </c>
      <c r="EW190" s="21">
        <f>EXP(-LN(2)/25)*EW189+(1-EXP(-LN(2)/25))/(LN(2)/25)*Calculateur!ER190*Calculateur!ET190*VLOOKUP('Données projet'!$B$15,Paramètres!$A$1:$I$89,3,0)*0.475*44/12</f>
        <v>0.74959185535774597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2.7136903243673323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293.33333333334531</v>
      </c>
      <c r="S191" s="59">
        <f ca="1">AVERAGE(OFFSET($R$3,0,0,'Données projet'!$E$9+1,1))-AVERAGE(OFFSET($H$3,0,0,'Données projet'!$E$9+1,1))</f>
        <v>384.05928630855732</v>
      </c>
      <c r="T191" s="59">
        <f t="shared" si="142"/>
        <v>279.93992813630513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-2.4158453015843406E-13</v>
      </c>
      <c r="AJ191" s="13">
        <f>AI191*VLOOKUP('Données projet'!$B$10,Paramètres!$A$1:$I$89,3,0)*VLOOKUP('Données projet'!$B$10,Paramètres!$A$1:$I$89,5,0)</f>
        <v>-2.0351080820546486E-13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312.48716825299158</v>
      </c>
      <c r="AO191" s="59">
        <f t="shared" si="144"/>
        <v>258.68277822755357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31.780397429289181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31.780397429289181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367.99999999999972</v>
      </c>
      <c r="BE191" s="13">
        <f>BD191*VLOOKUP('Données projet'!$B$11,Paramètres!$A$1:$I$89,3,0)*VLOOKUP('Données projet'!$B$11,Paramètres!$A$1:$I$89,5,0)</f>
        <v>269.8175999999998</v>
      </c>
      <c r="BF191" s="13">
        <f t="shared" si="167"/>
        <v>64.810557882019467</v>
      </c>
      <c r="BG191" s="20">
        <f t="shared" si="168"/>
        <v>582.81070831118348</v>
      </c>
      <c r="BH191" s="59">
        <f t="shared" si="116"/>
        <v>876.14404164451685</v>
      </c>
      <c r="BI191" s="59">
        <f ca="1">AVERAGE(OFFSET($BH$3,0,0,'Données projet'!$E$11+1,1))-AVERAGE(OFFSET($H$3,0,0,'Données projet'!$E$11+1,1))</f>
        <v>376.58419691967526</v>
      </c>
      <c r="BJ191" s="59">
        <f t="shared" si="146"/>
        <v>365.76175372075869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5.324091845105265</v>
      </c>
      <c r="BQ191" s="21">
        <f>EXP(-LN(2)/25)*BQ190+(1-EXP(-LN(2)/25))/(LN(2)/25)*Calculateur!BL191*Calculateur!BN191*VLOOKUP('Données projet'!$B$11,Paramètres!$A$1:$I$89,3,0)*0.475*44/12</f>
        <v>0.26810174668509962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5.5921935917903642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292.78079999999977</v>
      </c>
      <c r="CA191" s="13">
        <f t="shared" si="170"/>
        <v>69.660903052386217</v>
      </c>
      <c r="CB191" s="20">
        <f t="shared" si="171"/>
        <v>631.25263281623893</v>
      </c>
      <c r="CC191" s="59">
        <f t="shared" si="119"/>
        <v>924.58596614957219</v>
      </c>
      <c r="CD191" s="59">
        <f ca="1">AVERAGE(OFFSET($CC$3,0,0,'Données projet'!$E$12+1,1))-AVERAGE(OFFSET($H$3,0,0,'Données projet'!$E$12+1,1))</f>
        <v>405.40026823646758</v>
      </c>
      <c r="CE191" s="59">
        <f t="shared" si="148"/>
        <v>393.0787141050053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7.1207423341511591</v>
      </c>
      <c r="CL191" s="21">
        <f>EXP(-LN(2)/25)*CL190+(1-EXP(-LN(2)/25))/(LN(2)/25)*Calculateur!CG191*Calculateur!CI191*VLOOKUP('Données projet'!$B$12,Paramètres!$A$1:$I$89,3,0)*0.475*44/12</f>
        <v>0.35857447861940883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7.479316812770568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259.99999999999983</v>
      </c>
      <c r="CU191" s="17">
        <f>CT191*VLOOKUP('Données projet'!$B$13,Paramètres!$A$1:$I$89,3,0)*VLOOKUP('Données projet'!$B$13,Paramètres!$A$1:$I$89,5,0)</f>
        <v>227.13599999999985</v>
      </c>
      <c r="CV191" s="13">
        <f t="shared" si="173"/>
        <v>55.662966886685133</v>
      </c>
      <c r="CW191" s="20">
        <f t="shared" si="174"/>
        <v>492.5415339943097</v>
      </c>
      <c r="CX191" s="59">
        <f t="shared" si="122"/>
        <v>785.87486732764296</v>
      </c>
      <c r="CY191" s="59">
        <f ca="1">AVERAGE(OFFSET($CX$3,0,0,'Données projet'!$E$13+1,1))-AVERAGE(OFFSET($H$3,0,0,'Données projet'!$E$13+1,1))</f>
        <v>381.72225529388083</v>
      </c>
      <c r="CZ191" s="59">
        <f t="shared" si="150"/>
        <v>360.05900046417361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6.6095069545774452</v>
      </c>
      <c r="DG191" s="21">
        <f>EXP(-LN(2)/25)*DG190+(1-EXP(-LN(2)/25))/(LN(2)/25)*Calculateur!DB191*Calculateur!DD191*VLOOKUP('Données projet'!$B$13,Paramètres!$A$1:$I$89,3,0)*0.475*44/12</f>
        <v>1.1716762364562152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7.7811831910336604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5.6843418860808015E-13</v>
      </c>
      <c r="DP191" s="17">
        <f>DO191*VLOOKUP('Données projet'!$B$14,Paramètres!$A$1:$I$89,3,0)*VLOOKUP('Données projet'!$B$14,Paramètres!$A$1:$I$89,5,0)</f>
        <v>5.4978954722173515E-13</v>
      </c>
      <c r="DQ191" s="13">
        <f t="shared" si="176"/>
        <v>6.7731340873355904E-12</v>
      </c>
      <c r="DR191" s="20">
        <f t="shared" si="177"/>
        <v>1.2754091996854009E-11</v>
      </c>
      <c r="DS191" s="59">
        <f t="shared" si="125"/>
        <v>293.33333333334605</v>
      </c>
      <c r="DT191" s="59">
        <f ca="1">AVERAGE(OFFSET($DS$3,0,0,'Données projet'!$E$14+1,1))-AVERAGE(OFFSET($H$3,0,0,'Données projet'!$E$14+1,1))</f>
        <v>407.73540492005355</v>
      </c>
      <c r="DU191" s="59">
        <f t="shared" si="152"/>
        <v>296.29416764204774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59.111903116952597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59.111903116952597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328.00000000000017</v>
      </c>
      <c r="EK191" s="17">
        <f>EJ191*VLOOKUP('Données projet'!$B$15,Paramètres!$A$1:$I$89,3,0)*VLOOKUP('Données projet'!$B$15,Paramètres!$A$1:$I$89,5,0)</f>
        <v>255.84000000000015</v>
      </c>
      <c r="EL191" s="13">
        <f t="shared" si="179"/>
        <v>61.834803371075886</v>
      </c>
      <c r="EM191" s="20">
        <f t="shared" si="180"/>
        <v>553.28361587129086</v>
      </c>
      <c r="EN191" s="59">
        <f t="shared" si="128"/>
        <v>846.61694920462423</v>
      </c>
      <c r="EO191" s="59">
        <f ca="1">AVERAGE(OFFSET($EN$3,0,0,'Données projet'!$E$15+1,1))-AVERAGE(OFFSET($H$3,0,0,'Données projet'!$E$15+1,1))</f>
        <v>288.80569134263209</v>
      </c>
      <c r="EP191" s="59">
        <f t="shared" si="154"/>
        <v>283.48738729114024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1.9255836960140835</v>
      </c>
      <c r="EW191" s="21">
        <f>EXP(-LN(2)/25)*EW190+(1-EXP(-LN(2)/25))/(LN(2)/25)*Calculateur!ER191*Calculateur!ET191*VLOOKUP('Données projet'!$B$15,Paramètres!$A$1:$I$89,3,0)*0.475*44/12</f>
        <v>0.72909422665366597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2.6546779226677497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293.33333333334531</v>
      </c>
      <c r="S192" s="59">
        <f ca="1">AVERAGE(OFFSET($R$3,0,0,'Données projet'!$E$9+1,1))-AVERAGE(OFFSET($H$3,0,0,'Données projet'!$E$9+1,1))</f>
        <v>384.05928630855732</v>
      </c>
      <c r="T192" s="59">
        <f t="shared" si="142"/>
        <v>279.93992813630513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-2.4158453015843406E-13</v>
      </c>
      <c r="AJ192" s="13">
        <f>AI192*VLOOKUP('Données projet'!$B$10,Paramètres!$A$1:$I$89,3,0)*VLOOKUP('Données projet'!$B$10,Paramètres!$A$1:$I$89,5,0)</f>
        <v>-2.0351080820546486E-13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312.48716825299158</v>
      </c>
      <c r="AO192" s="59">
        <f t="shared" si="144"/>
        <v>258.68277822755357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31.157203219829228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31.157203219829228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367.99999999999972</v>
      </c>
      <c r="BE192" s="13">
        <f>BD192*VLOOKUP('Données projet'!$B$11,Paramètres!$A$1:$I$89,3,0)*VLOOKUP('Données projet'!$B$11,Paramètres!$A$1:$I$89,5,0)</f>
        <v>269.8175999999998</v>
      </c>
      <c r="BF192" s="13">
        <f t="shared" si="167"/>
        <v>64.810557882019467</v>
      </c>
      <c r="BG192" s="20">
        <f t="shared" si="168"/>
        <v>582.81070831118348</v>
      </c>
      <c r="BH192" s="59">
        <f t="shared" si="116"/>
        <v>876.14404164451685</v>
      </c>
      <c r="BI192" s="59">
        <f ca="1">AVERAGE(OFFSET($BH$3,0,0,'Données projet'!$E$11+1,1))-AVERAGE(OFFSET($H$3,0,0,'Données projet'!$E$11+1,1))</f>
        <v>376.58419691967526</v>
      </c>
      <c r="BJ192" s="59">
        <f t="shared" si="146"/>
        <v>365.76175372075869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5.2196896513981246</v>
      </c>
      <c r="BQ192" s="21">
        <f>EXP(-LN(2)/25)*BQ191+(1-EXP(-LN(2)/25))/(LN(2)/25)*Calculateur!BL192*Calculateur!BN192*VLOOKUP('Données projet'!$B$11,Paramètres!$A$1:$I$89,3,0)*0.475*44/12</f>
        <v>0.26077049032313748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5.4804601417212622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292.78079999999977</v>
      </c>
      <c r="CA192" s="13">
        <f t="shared" si="170"/>
        <v>69.660903052386217</v>
      </c>
      <c r="CB192" s="20">
        <f t="shared" si="171"/>
        <v>631.25263281623893</v>
      </c>
      <c r="CC192" s="59">
        <f t="shared" si="119"/>
        <v>924.58596614957219</v>
      </c>
      <c r="CD192" s="59">
        <f ca="1">AVERAGE(OFFSET($CC$3,0,0,'Données projet'!$E$12+1,1))-AVERAGE(OFFSET($H$3,0,0,'Données projet'!$E$12+1,1))</f>
        <v>405.40026823646758</v>
      </c>
      <c r="CE192" s="59">
        <f t="shared" si="148"/>
        <v>393.0787141050053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6.9811089202024208</v>
      </c>
      <c r="CL192" s="21">
        <f>EXP(-LN(2)/25)*CL191+(1-EXP(-LN(2)/25))/(LN(2)/25)*Calculateur!CG192*Calculateur!CI192*VLOOKUP('Données projet'!$B$12,Paramètres!$A$1:$I$89,3,0)*0.475*44/12</f>
        <v>0.3487692406449488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7.32987816084737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259.99999999999983</v>
      </c>
      <c r="CU192" s="17">
        <f>CT192*VLOOKUP('Données projet'!$B$13,Paramètres!$A$1:$I$89,3,0)*VLOOKUP('Données projet'!$B$13,Paramètres!$A$1:$I$89,5,0)</f>
        <v>227.13599999999985</v>
      </c>
      <c r="CV192" s="13">
        <f t="shared" si="173"/>
        <v>55.662966886685133</v>
      </c>
      <c r="CW192" s="20">
        <f t="shared" si="174"/>
        <v>492.5415339943097</v>
      </c>
      <c r="CX192" s="59">
        <f t="shared" si="122"/>
        <v>785.87486732764296</v>
      </c>
      <c r="CY192" s="59">
        <f ca="1">AVERAGE(OFFSET($CX$3,0,0,'Données projet'!$E$13+1,1))-AVERAGE(OFFSET($H$3,0,0,'Données projet'!$E$13+1,1))</f>
        <v>381.72225529388083</v>
      </c>
      <c r="CZ192" s="59">
        <f t="shared" si="150"/>
        <v>360.05900046417361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6.4798985545993562</v>
      </c>
      <c r="DG192" s="21">
        <f>EXP(-LN(2)/25)*DG191+(1-EXP(-LN(2)/25))/(LN(2)/25)*Calculateur!DB192*Calculateur!DD192*VLOOKUP('Données projet'!$B$13,Paramètres!$A$1:$I$89,3,0)*0.475*44/12</f>
        <v>1.1396366881545446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7.6195352427539005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5.6843418860808015E-13</v>
      </c>
      <c r="DP192" s="17">
        <f>DO192*VLOOKUP('Données projet'!$B$14,Paramètres!$A$1:$I$89,3,0)*VLOOKUP('Données projet'!$B$14,Paramètres!$A$1:$I$89,5,0)</f>
        <v>5.4978954722173515E-13</v>
      </c>
      <c r="DQ192" s="13">
        <f t="shared" si="176"/>
        <v>6.7731340873355904E-12</v>
      </c>
      <c r="DR192" s="20">
        <f t="shared" si="177"/>
        <v>1.2754091996854009E-11</v>
      </c>
      <c r="DS192" s="59">
        <f t="shared" si="125"/>
        <v>293.33333333334605</v>
      </c>
      <c r="DT192" s="59">
        <f ca="1">AVERAGE(OFFSET($DS$3,0,0,'Données projet'!$E$14+1,1))-AVERAGE(OFFSET($H$3,0,0,'Données projet'!$E$14+1,1))</f>
        <v>407.73540492005355</v>
      </c>
      <c r="DU192" s="59">
        <f t="shared" si="152"/>
        <v>296.29416764204774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57.952754751529952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57.952754751529952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328.00000000000017</v>
      </c>
      <c r="EK192" s="17">
        <f>EJ192*VLOOKUP('Données projet'!$B$15,Paramètres!$A$1:$I$89,3,0)*VLOOKUP('Données projet'!$B$15,Paramètres!$A$1:$I$89,5,0)</f>
        <v>255.84000000000015</v>
      </c>
      <c r="EL192" s="13">
        <f t="shared" si="179"/>
        <v>61.834803371075886</v>
      </c>
      <c r="EM192" s="20">
        <f t="shared" si="180"/>
        <v>553.28361587129086</v>
      </c>
      <c r="EN192" s="59">
        <f t="shared" si="128"/>
        <v>846.61694920462423</v>
      </c>
      <c r="EO192" s="59">
        <f ca="1">AVERAGE(OFFSET($EN$3,0,0,'Données projet'!$E$15+1,1))-AVERAGE(OFFSET($H$3,0,0,'Données projet'!$E$15+1,1))</f>
        <v>288.80569134263209</v>
      </c>
      <c r="EP192" s="59">
        <f t="shared" si="154"/>
        <v>283.48738729114024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1.8878241742253306</v>
      </c>
      <c r="EW192" s="21">
        <f>EXP(-LN(2)/25)*EW191+(1-EXP(-LN(2)/25))/(LN(2)/25)*Calculateur!ER192*Calculateur!ET192*VLOOKUP('Données projet'!$B$15,Paramètres!$A$1:$I$89,3,0)*0.475*44/12</f>
        <v>0.70915710668442244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2.5969812809097528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293.33333333334531</v>
      </c>
      <c r="S193" s="59">
        <f ca="1">AVERAGE(OFFSET($R$3,0,0,'Données projet'!$E$9+1,1))-AVERAGE(OFFSET($H$3,0,0,'Données projet'!$E$9+1,1))</f>
        <v>384.05928630855732</v>
      </c>
      <c r="T193" s="59">
        <f t="shared" si="142"/>
        <v>279.93992813630513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-2.4158453015843406E-13</v>
      </c>
      <c r="AJ193" s="13">
        <f>AI193*VLOOKUP('Données projet'!$B$10,Paramètres!$A$1:$I$89,3,0)*VLOOKUP('Données projet'!$B$10,Paramètres!$A$1:$I$89,5,0)</f>
        <v>-2.0351080820546486E-13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312.48716825299158</v>
      </c>
      <c r="AO193" s="59">
        <f t="shared" si="144"/>
        <v>258.68277822755357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30.54622946870585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30.54622946870585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367.99999999999972</v>
      </c>
      <c r="BE193" s="13">
        <f>BD193*VLOOKUP('Données projet'!$B$11,Paramètres!$A$1:$I$89,3,0)*VLOOKUP('Données projet'!$B$11,Paramètres!$A$1:$I$89,5,0)</f>
        <v>269.8175999999998</v>
      </c>
      <c r="BF193" s="13">
        <f t="shared" si="167"/>
        <v>64.810557882019467</v>
      </c>
      <c r="BG193" s="20">
        <f t="shared" si="168"/>
        <v>582.81070831118348</v>
      </c>
      <c r="BH193" s="59">
        <f t="shared" si="116"/>
        <v>876.14404164451685</v>
      </c>
      <c r="BI193" s="59">
        <f ca="1">AVERAGE(OFFSET($BH$3,0,0,'Données projet'!$E$11+1,1))-AVERAGE(OFFSET($H$3,0,0,'Données projet'!$E$11+1,1))</f>
        <v>376.58419691967526</v>
      </c>
      <c r="BJ193" s="59">
        <f t="shared" si="146"/>
        <v>365.76175372075869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5.1173347210305309</v>
      </c>
      <c r="BQ193" s="21">
        <f>EXP(-LN(2)/25)*BQ192+(1-EXP(-LN(2)/25))/(LN(2)/25)*Calculateur!BL193*Calculateur!BN193*VLOOKUP('Données projet'!$B$11,Paramètres!$A$1:$I$89,3,0)*0.475*44/12</f>
        <v>0.25363970755192722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5.3709744285824579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292.78079999999977</v>
      </c>
      <c r="CA193" s="13">
        <f t="shared" si="170"/>
        <v>69.660903052386217</v>
      </c>
      <c r="CB193" s="20">
        <f t="shared" si="171"/>
        <v>631.25263281623893</v>
      </c>
      <c r="CC193" s="59">
        <f t="shared" si="119"/>
        <v>924.58596614957219</v>
      </c>
      <c r="CD193" s="59">
        <f ca="1">AVERAGE(OFFSET($CC$3,0,0,'Données projet'!$E$12+1,1))-AVERAGE(OFFSET($H$3,0,0,'Données projet'!$E$12+1,1))</f>
        <v>405.40026823646758</v>
      </c>
      <c r="CE193" s="59">
        <f t="shared" si="148"/>
        <v>393.0787141050053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6.8442136323332443</v>
      </c>
      <c r="CL193" s="21">
        <f>EXP(-LN(2)/25)*CL192+(1-EXP(-LN(2)/25))/(LN(2)/25)*Calculateur!CG193*Calculateur!CI193*VLOOKUP('Données projet'!$B$12,Paramètres!$A$1:$I$89,3,0)*0.475*44/12</f>
        <v>0.33923212741853542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7.1834457597517796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259.99999999999983</v>
      </c>
      <c r="CU193" s="17">
        <f>CT193*VLOOKUP('Données projet'!$B$13,Paramètres!$A$1:$I$89,3,0)*VLOOKUP('Données projet'!$B$13,Paramètres!$A$1:$I$89,5,0)</f>
        <v>227.13599999999985</v>
      </c>
      <c r="CV193" s="13">
        <f t="shared" si="173"/>
        <v>55.662966886685133</v>
      </c>
      <c r="CW193" s="20">
        <f t="shared" si="174"/>
        <v>492.5415339943097</v>
      </c>
      <c r="CX193" s="59">
        <f t="shared" si="122"/>
        <v>785.87486732764296</v>
      </c>
      <c r="CY193" s="59">
        <f ca="1">AVERAGE(OFFSET($CX$3,0,0,'Données projet'!$E$13+1,1))-AVERAGE(OFFSET($H$3,0,0,'Données projet'!$E$13+1,1))</f>
        <v>381.72225529388083</v>
      </c>
      <c r="CZ193" s="59">
        <f t="shared" si="150"/>
        <v>360.05900046417361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6.3528316962915188</v>
      </c>
      <c r="DG193" s="21">
        <f>EXP(-LN(2)/25)*DG192+(1-EXP(-LN(2)/25))/(LN(2)/25)*Calculateur!DB193*Calculateur!DD193*VLOOKUP('Données projet'!$B$13,Paramètres!$A$1:$I$89,3,0)*0.475*44/12</f>
        <v>1.1084732629860699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7.4613049592775891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5.6843418860808015E-13</v>
      </c>
      <c r="DP193" s="17">
        <f>DO193*VLOOKUP('Données projet'!$B$14,Paramètres!$A$1:$I$89,3,0)*VLOOKUP('Données projet'!$B$14,Paramètres!$A$1:$I$89,5,0)</f>
        <v>5.4978954722173515E-13</v>
      </c>
      <c r="DQ193" s="13">
        <f t="shared" si="176"/>
        <v>6.7731340873355904E-12</v>
      </c>
      <c r="DR193" s="20">
        <f t="shared" si="177"/>
        <v>1.2754091996854009E-11</v>
      </c>
      <c r="DS193" s="59">
        <f t="shared" si="125"/>
        <v>293.33333333334605</v>
      </c>
      <c r="DT193" s="59">
        <f ca="1">AVERAGE(OFFSET($DS$3,0,0,'Données projet'!$E$14+1,1))-AVERAGE(OFFSET($H$3,0,0,'Données projet'!$E$14+1,1))</f>
        <v>407.73540492005355</v>
      </c>
      <c r="DU193" s="59">
        <f t="shared" si="152"/>
        <v>296.29416764204774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56.816336578542554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56.816336578542554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328.00000000000017</v>
      </c>
      <c r="EK193" s="17">
        <f>EJ193*VLOOKUP('Données projet'!$B$15,Paramètres!$A$1:$I$89,3,0)*VLOOKUP('Données projet'!$B$15,Paramètres!$A$1:$I$89,5,0)</f>
        <v>255.84000000000015</v>
      </c>
      <c r="EL193" s="13">
        <f t="shared" si="179"/>
        <v>61.834803371075886</v>
      </c>
      <c r="EM193" s="20">
        <f t="shared" si="180"/>
        <v>553.28361587129086</v>
      </c>
      <c r="EN193" s="59">
        <f t="shared" si="128"/>
        <v>846.61694920462423</v>
      </c>
      <c r="EO193" s="59">
        <f ca="1">AVERAGE(OFFSET($EN$3,0,0,'Données projet'!$E$15+1,1))-AVERAGE(OFFSET($H$3,0,0,'Données projet'!$E$15+1,1))</f>
        <v>288.80569134263209</v>
      </c>
      <c r="EP193" s="59">
        <f t="shared" si="154"/>
        <v>283.48738729114024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1.8508050936278209</v>
      </c>
      <c r="EW193" s="21">
        <f>EXP(-LN(2)/25)*EW192+(1-EXP(-LN(2)/25))/(LN(2)/25)*Calculateur!ER193*Calculateur!ET193*VLOOKUP('Données projet'!$B$15,Paramètres!$A$1:$I$89,3,0)*0.475*44/12</f>
        <v>0.68976516830918544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2.5405702619370061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293.33333333334531</v>
      </c>
      <c r="S194" s="59">
        <f ca="1">AVERAGE(OFFSET($R$3,0,0,'Données projet'!$E$9+1,1))-AVERAGE(OFFSET($H$3,0,0,'Données projet'!$E$9+1,1))</f>
        <v>384.05928630855732</v>
      </c>
      <c r="T194" s="59">
        <f t="shared" si="142"/>
        <v>279.93992813630513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-2.4158453015843406E-13</v>
      </c>
      <c r="AJ194" s="13">
        <f>AI194*VLOOKUP('Données projet'!$B$10,Paramètres!$A$1:$I$89,3,0)*VLOOKUP('Données projet'!$B$10,Paramètres!$A$1:$I$89,5,0)</f>
        <v>-2.0351080820546486E-13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312.48716825299158</v>
      </c>
      <c r="AO194" s="59">
        <f t="shared" si="144"/>
        <v>258.68277822755357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29.947236540184811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29.947236540184811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367.99999999999972</v>
      </c>
      <c r="BE194" s="13">
        <f>BD194*VLOOKUP('Données projet'!$B$11,Paramètres!$A$1:$I$89,3,0)*VLOOKUP('Données projet'!$B$11,Paramètres!$A$1:$I$89,5,0)</f>
        <v>269.8175999999998</v>
      </c>
      <c r="BF194" s="13">
        <f t="shared" si="167"/>
        <v>64.810557882019467</v>
      </c>
      <c r="BG194" s="20">
        <f t="shared" si="168"/>
        <v>582.81070831118348</v>
      </c>
      <c r="BH194" s="59">
        <f t="shared" si="116"/>
        <v>876.14404164451685</v>
      </c>
      <c r="BI194" s="59">
        <f ca="1">AVERAGE(OFFSET($BH$3,0,0,'Données projet'!$E$11+1,1))-AVERAGE(OFFSET($H$3,0,0,'Données projet'!$E$11+1,1))</f>
        <v>376.58419691967526</v>
      </c>
      <c r="BJ194" s="59">
        <f t="shared" si="146"/>
        <v>365.76175372075869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5.0169869084171026</v>
      </c>
      <c r="BQ194" s="21">
        <f>EXP(-LN(2)/25)*BQ193+(1-EXP(-LN(2)/25))/(LN(2)/25)*Calculateur!BL194*Calculateur!BN194*VLOOKUP('Données projet'!$B$11,Paramètres!$A$1:$I$89,3,0)*0.475*44/12</f>
        <v>0.24670391641058725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5.2636908248276901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292.78079999999977</v>
      </c>
      <c r="CA194" s="13">
        <f t="shared" si="170"/>
        <v>69.660903052386217</v>
      </c>
      <c r="CB194" s="20">
        <f t="shared" si="171"/>
        <v>631.25263281623893</v>
      </c>
      <c r="CC194" s="59">
        <f t="shared" si="119"/>
        <v>924.58596614957219</v>
      </c>
      <c r="CD194" s="59">
        <f ca="1">AVERAGE(OFFSET($CC$3,0,0,'Données projet'!$E$12+1,1))-AVERAGE(OFFSET($H$3,0,0,'Données projet'!$E$12+1,1))</f>
        <v>405.40026823646758</v>
      </c>
      <c r="CE194" s="59">
        <f t="shared" si="148"/>
        <v>393.0787141050053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6.7100027775613018</v>
      </c>
      <c r="CL194" s="21">
        <f>EXP(-LN(2)/25)*CL193+(1-EXP(-LN(2)/25))/(LN(2)/25)*Calculateur!CG194*Calculateur!CI194*VLOOKUP('Données projet'!$B$12,Paramètres!$A$1:$I$89,3,0)*0.475*44/12</f>
        <v>0.32995580705483329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7.0399585846161354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259.99999999999983</v>
      </c>
      <c r="CU194" s="17">
        <f>CT194*VLOOKUP('Données projet'!$B$13,Paramètres!$A$1:$I$89,3,0)*VLOOKUP('Données projet'!$B$13,Paramètres!$A$1:$I$89,5,0)</f>
        <v>227.13599999999985</v>
      </c>
      <c r="CV194" s="13">
        <f t="shared" si="173"/>
        <v>55.662966886685133</v>
      </c>
      <c r="CW194" s="20">
        <f t="shared" si="174"/>
        <v>492.5415339943097</v>
      </c>
      <c r="CX194" s="59">
        <f t="shared" si="122"/>
        <v>785.87486732764296</v>
      </c>
      <c r="CY194" s="59">
        <f ca="1">AVERAGE(OFFSET($CX$3,0,0,'Données projet'!$E$13+1,1))-AVERAGE(OFFSET($H$3,0,0,'Données projet'!$E$13+1,1))</f>
        <v>381.72225529388083</v>
      </c>
      <c r="CZ194" s="59">
        <f t="shared" si="150"/>
        <v>360.05900046417361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6.2282565415719677</v>
      </c>
      <c r="DG194" s="21">
        <f>EXP(-LN(2)/25)*DG193+(1-EXP(-LN(2)/25))/(LN(2)/25)*Calculateur!DB194*Calculateur!DD194*VLOOKUP('Données projet'!$B$13,Paramètres!$A$1:$I$89,3,0)*0.475*44/12</f>
        <v>1.0781620033176402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7.306418544889608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5.6843418860808015E-13</v>
      </c>
      <c r="DP194" s="17">
        <f>DO194*VLOOKUP('Données projet'!$B$14,Paramètres!$A$1:$I$89,3,0)*VLOOKUP('Données projet'!$B$14,Paramètres!$A$1:$I$89,5,0)</f>
        <v>5.4978954722173515E-13</v>
      </c>
      <c r="DQ194" s="13">
        <f t="shared" si="176"/>
        <v>6.7731340873355904E-12</v>
      </c>
      <c r="DR194" s="20">
        <f t="shared" si="177"/>
        <v>1.2754091996854009E-11</v>
      </c>
      <c r="DS194" s="59">
        <f t="shared" si="125"/>
        <v>293.33333333334605</v>
      </c>
      <c r="DT194" s="59">
        <f ca="1">AVERAGE(OFFSET($DS$3,0,0,'Données projet'!$E$14+1,1))-AVERAGE(OFFSET($H$3,0,0,'Données projet'!$E$14+1,1))</f>
        <v>407.73540492005355</v>
      </c>
      <c r="DU194" s="59">
        <f t="shared" si="152"/>
        <v>296.29416764204774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55.702202872780795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55.702202872780795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328.00000000000017</v>
      </c>
      <c r="EK194" s="17">
        <f>EJ194*VLOOKUP('Données projet'!$B$15,Paramètres!$A$1:$I$89,3,0)*VLOOKUP('Données projet'!$B$15,Paramètres!$A$1:$I$89,5,0)</f>
        <v>255.84000000000015</v>
      </c>
      <c r="EL194" s="13">
        <f t="shared" si="179"/>
        <v>61.834803371075886</v>
      </c>
      <c r="EM194" s="20">
        <f t="shared" si="180"/>
        <v>553.28361587129086</v>
      </c>
      <c r="EN194" s="59">
        <f t="shared" si="128"/>
        <v>846.61694920462423</v>
      </c>
      <c r="EO194" s="59">
        <f ca="1">AVERAGE(OFFSET($EN$3,0,0,'Données projet'!$E$15+1,1))-AVERAGE(OFFSET($H$3,0,0,'Données projet'!$E$15+1,1))</f>
        <v>288.80569134263209</v>
      </c>
      <c r="EP194" s="59">
        <f t="shared" si="154"/>
        <v>283.48738729114024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1.8145119346214189</v>
      </c>
      <c r="EW194" s="21">
        <f>EXP(-LN(2)/25)*EW193+(1-EXP(-LN(2)/25))/(LN(2)/25)*Calculateur!ER194*Calculateur!ET194*VLOOKUP('Données projet'!$B$15,Paramètres!$A$1:$I$89,3,0)*0.475*44/12</f>
        <v>0.67090350350859707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2.485415438130016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293.33333333334531</v>
      </c>
      <c r="S195" s="59">
        <f ca="1">AVERAGE(OFFSET($R$3,0,0,'Données projet'!$E$9+1,1))-AVERAGE(OFFSET($H$3,0,0,'Données projet'!$E$9+1,1))</f>
        <v>384.05928630855732</v>
      </c>
      <c r="T195" s="59">
        <f t="shared" si="142"/>
        <v>279.93992813630513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-2.4158453015843406E-13</v>
      </c>
      <c r="AJ195" s="13">
        <f>AI195*VLOOKUP('Données projet'!$B$10,Paramètres!$A$1:$I$89,3,0)*VLOOKUP('Données projet'!$B$10,Paramètres!$A$1:$I$89,5,0)</f>
        <v>-2.0351080820546486E-13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312.48716825299158</v>
      </c>
      <c r="AO195" s="59">
        <f t="shared" si="144"/>
        <v>258.68277822755357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29.359989497642456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29.359989497642456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367.99999999999972</v>
      </c>
      <c r="BE195" s="13">
        <f>BD195*VLOOKUP('Données projet'!$B$11,Paramètres!$A$1:$I$89,3,0)*VLOOKUP('Données projet'!$B$11,Paramètres!$A$1:$I$89,5,0)</f>
        <v>269.8175999999998</v>
      </c>
      <c r="BF195" s="13">
        <f t="shared" si="167"/>
        <v>64.810557882019467</v>
      </c>
      <c r="BG195" s="20">
        <f t="shared" si="168"/>
        <v>582.81070831118348</v>
      </c>
      <c r="BH195" s="59">
        <f t="shared" si="116"/>
        <v>876.14404164451685</v>
      </c>
      <c r="BI195" s="59">
        <f ca="1">AVERAGE(OFFSET($BH$3,0,0,'Données projet'!$E$11+1,1))-AVERAGE(OFFSET($H$3,0,0,'Données projet'!$E$11+1,1))</f>
        <v>376.58419691967526</v>
      </c>
      <c r="BJ195" s="59">
        <f t="shared" si="146"/>
        <v>365.76175372075869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4.9186068552029019</v>
      </c>
      <c r="BQ195" s="21">
        <f>EXP(-LN(2)/25)*BQ194+(1-EXP(-LN(2)/25))/(LN(2)/25)*Calculateur!BL195*Calculateur!BN195*VLOOKUP('Données projet'!$B$11,Paramètres!$A$1:$I$89,3,0)*0.475*44/12</f>
        <v>0.23995778484274463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5.1585646400456469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292.78079999999977</v>
      </c>
      <c r="CA195" s="13">
        <f t="shared" si="170"/>
        <v>69.660903052386217</v>
      </c>
      <c r="CB195" s="20">
        <f t="shared" si="171"/>
        <v>631.25263281623893</v>
      </c>
      <c r="CC195" s="59">
        <f t="shared" si="119"/>
        <v>924.58596614957219</v>
      </c>
      <c r="CD195" s="59">
        <f ca="1">AVERAGE(OFFSET($CC$3,0,0,'Données projet'!$E$12+1,1))-AVERAGE(OFFSET($H$3,0,0,'Données projet'!$E$12+1,1))</f>
        <v>405.40026823646758</v>
      </c>
      <c r="CE195" s="59">
        <f t="shared" si="148"/>
        <v>393.0787141050053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6.5784237157908985</v>
      </c>
      <c r="CL195" s="21">
        <f>EXP(-LN(2)/25)*CL194+(1-EXP(-LN(2)/25))/(LN(2)/25)*Calculateur!CG195*Calculateur!CI195*VLOOKUP('Données projet'!$B$12,Paramètres!$A$1:$I$89,3,0)*0.475*44/12</f>
        <v>0.32093314815929713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6.8993568639501959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259.99999999999983</v>
      </c>
      <c r="CU195" s="17">
        <f>CT195*VLOOKUP('Données projet'!$B$13,Paramètres!$A$1:$I$89,3,0)*VLOOKUP('Données projet'!$B$13,Paramètres!$A$1:$I$89,5,0)</f>
        <v>227.13599999999985</v>
      </c>
      <c r="CV195" s="13">
        <f t="shared" si="173"/>
        <v>55.662966886685133</v>
      </c>
      <c r="CW195" s="20">
        <f t="shared" si="174"/>
        <v>492.5415339943097</v>
      </c>
      <c r="CX195" s="59">
        <f t="shared" si="122"/>
        <v>785.87486732764296</v>
      </c>
      <c r="CY195" s="59">
        <f ca="1">AVERAGE(OFFSET($CX$3,0,0,'Données projet'!$E$13+1,1))-AVERAGE(OFFSET($H$3,0,0,'Données projet'!$E$13+1,1))</f>
        <v>381.72225529388083</v>
      </c>
      <c r="CZ195" s="59">
        <f t="shared" si="150"/>
        <v>360.05900046417361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6.1061242296531253</v>
      </c>
      <c r="DG195" s="21">
        <f>EXP(-LN(2)/25)*DG194+(1-EXP(-LN(2)/25))/(LN(2)/25)*Calculateur!DB195*Calculateur!DD195*VLOOKUP('Données projet'!$B$13,Paramètres!$A$1:$I$89,3,0)*0.475*44/12</f>
        <v>1.0486796066388437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7.1548038362919693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5.6843418860808015E-13</v>
      </c>
      <c r="DP195" s="17">
        <f>DO195*VLOOKUP('Données projet'!$B$14,Paramètres!$A$1:$I$89,3,0)*VLOOKUP('Données projet'!$B$14,Paramètres!$A$1:$I$89,5,0)</f>
        <v>5.4978954722173515E-13</v>
      </c>
      <c r="DQ195" s="13">
        <f t="shared" si="176"/>
        <v>6.7731340873355904E-12</v>
      </c>
      <c r="DR195" s="20">
        <f t="shared" si="177"/>
        <v>1.2754091996854009E-11</v>
      </c>
      <c r="DS195" s="59">
        <f t="shared" si="125"/>
        <v>293.33333333334605</v>
      </c>
      <c r="DT195" s="59">
        <f ca="1">AVERAGE(OFFSET($DS$3,0,0,'Données projet'!$E$14+1,1))-AVERAGE(OFFSET($H$3,0,0,'Données projet'!$E$14+1,1))</f>
        <v>407.73540492005355</v>
      </c>
      <c r="DU195" s="59">
        <f t="shared" si="152"/>
        <v>296.29416764204774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54.609916649434567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54.609916649434567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328.00000000000017</v>
      </c>
      <c r="EK195" s="17">
        <f>EJ195*VLOOKUP('Données projet'!$B$15,Paramètres!$A$1:$I$89,3,0)*VLOOKUP('Données projet'!$B$15,Paramètres!$A$1:$I$89,5,0)</f>
        <v>255.84000000000015</v>
      </c>
      <c r="EL195" s="13">
        <f t="shared" si="179"/>
        <v>61.834803371075886</v>
      </c>
      <c r="EM195" s="20">
        <f t="shared" si="180"/>
        <v>553.28361587129086</v>
      </c>
      <c r="EN195" s="59">
        <f t="shared" si="128"/>
        <v>846.61694920462423</v>
      </c>
      <c r="EO195" s="59">
        <f ca="1">AVERAGE(OFFSET($EN$3,0,0,'Données projet'!$E$15+1,1))-AVERAGE(OFFSET($H$3,0,0,'Données projet'!$E$15+1,1))</f>
        <v>288.80569134263209</v>
      </c>
      <c r="EP195" s="59">
        <f t="shared" si="154"/>
        <v>283.48738729114024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1.7789304623264912</v>
      </c>
      <c r="EW195" s="21">
        <f>EXP(-LN(2)/25)*EW194+(1-EXP(-LN(2)/25))/(LN(2)/25)*Calculateur!ER195*Calculateur!ET195*VLOOKUP('Données projet'!$B$15,Paramètres!$A$1:$I$89,3,0)*0.475*44/12</f>
        <v>0.65255761192387263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2.431488074250364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293.33333333334531</v>
      </c>
      <c r="S196" s="59">
        <f ca="1">AVERAGE(OFFSET($R$3,0,0,'Données projet'!$E$9+1,1))-AVERAGE(OFFSET($H$3,0,0,'Données projet'!$E$9+1,1))</f>
        <v>384.05928630855732</v>
      </c>
      <c r="T196" s="59">
        <f t="shared" si="142"/>
        <v>279.93992813630513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-2.4158453015843406E-13</v>
      </c>
      <c r="AJ196" s="13">
        <f>AI196*VLOOKUP('Données projet'!$B$10,Paramètres!$A$1:$I$89,3,0)*VLOOKUP('Données projet'!$B$10,Paramètres!$A$1:$I$89,5,0)</f>
        <v>-2.0351080820546486E-13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312.48716825299158</v>
      </c>
      <c r="AO196" s="59">
        <f t="shared" si="144"/>
        <v>258.68277822755357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28.784258011419031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28.784258011419031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367.99999999999972</v>
      </c>
      <c r="BE196" s="13">
        <f>BD196*VLOOKUP('Données projet'!$B$11,Paramètres!$A$1:$I$89,3,0)*VLOOKUP('Données projet'!$B$11,Paramètres!$A$1:$I$89,5,0)</f>
        <v>269.8175999999998</v>
      </c>
      <c r="BF196" s="13">
        <f t="shared" si="167"/>
        <v>64.810557882019467</v>
      </c>
      <c r="BG196" s="20">
        <f t="shared" si="168"/>
        <v>582.81070831118348</v>
      </c>
      <c r="BH196" s="59">
        <f t="shared" ref="BH196:BH203" si="194">BG196+(AY196+AZ196)*44/12</f>
        <v>876.14404164451685</v>
      </c>
      <c r="BI196" s="59">
        <f ca="1">AVERAGE(OFFSET($BH$3,0,0,'Données projet'!$E$11+1,1))-AVERAGE(OFFSET($H$3,0,0,'Données projet'!$E$11+1,1))</f>
        <v>376.58419691967526</v>
      </c>
      <c r="BJ196" s="59">
        <f t="shared" si="146"/>
        <v>365.76175372075869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4.8221559748263241</v>
      </c>
      <c r="BQ196" s="21">
        <f>EXP(-LN(2)/25)*BQ195+(1-EXP(-LN(2)/25))/(LN(2)/25)*Calculateur!BL196*Calculateur!BN196*VLOOKUP('Données projet'!$B$11,Paramètres!$A$1:$I$89,3,0)*0.475*44/12</f>
        <v>0.23339612659738831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5.0555521014237126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292.78079999999977</v>
      </c>
      <c r="CA196" s="13">
        <f t="shared" si="170"/>
        <v>69.660903052386217</v>
      </c>
      <c r="CB196" s="20">
        <f t="shared" si="171"/>
        <v>631.25263281623893</v>
      </c>
      <c r="CC196" s="59">
        <f t="shared" ref="CC196:CC203" si="195">CB196+(BT196+BU196)*44/12</f>
        <v>924.58596614957219</v>
      </c>
      <c r="CD196" s="59">
        <f ca="1">AVERAGE(OFFSET($CC$3,0,0,'Données projet'!$E$12+1,1))-AVERAGE(OFFSET($H$3,0,0,'Données projet'!$E$12+1,1))</f>
        <v>405.40026823646758</v>
      </c>
      <c r="CE196" s="59">
        <f t="shared" si="148"/>
        <v>393.0787141050053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6.4494248391665101</v>
      </c>
      <c r="CL196" s="21">
        <f>EXP(-LN(2)/25)*CL195+(1-EXP(-LN(2)/25))/(LN(2)/25)*Calculateur!CG196*Calculateur!CI196*VLOOKUP('Données projet'!$B$12,Paramètres!$A$1:$I$89,3,0)*0.475*44/12</f>
        <v>0.3121572143457404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6.7615820535122504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259.99999999999983</v>
      </c>
      <c r="CU196" s="17">
        <f>CT196*VLOOKUP('Données projet'!$B$13,Paramètres!$A$1:$I$89,3,0)*VLOOKUP('Données projet'!$B$13,Paramètres!$A$1:$I$89,5,0)</f>
        <v>227.13599999999985</v>
      </c>
      <c r="CV196" s="13">
        <f t="shared" si="173"/>
        <v>55.662966886685133</v>
      </c>
      <c r="CW196" s="20">
        <f t="shared" si="174"/>
        <v>492.5415339943097</v>
      </c>
      <c r="CX196" s="59">
        <f t="shared" ref="CX196:CX203" si="196">CW196+(CO196+CP196)*44/12</f>
        <v>785.87486732764296</v>
      </c>
      <c r="CY196" s="59">
        <f ca="1">AVERAGE(OFFSET($CX$3,0,0,'Données projet'!$E$13+1,1))-AVERAGE(OFFSET($H$3,0,0,'Données projet'!$E$13+1,1))</f>
        <v>381.72225529388083</v>
      </c>
      <c r="CZ196" s="59">
        <f t="shared" si="150"/>
        <v>360.05900046417361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5.9863868578776565</v>
      </c>
      <c r="DG196" s="21">
        <f>EXP(-LN(2)/25)*DG195+(1-EXP(-LN(2)/25))/(LN(2)/25)*Calculateur!DB196*Calculateur!DD196*VLOOKUP('Données projet'!$B$13,Paramètres!$A$1:$I$89,3,0)*0.475*44/12</f>
        <v>1.0200034076476407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7.0063902655252974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5.6843418860808015E-13</v>
      </c>
      <c r="DP196" s="17">
        <f>DO196*VLOOKUP('Données projet'!$B$14,Paramètres!$A$1:$I$89,3,0)*VLOOKUP('Données projet'!$B$14,Paramètres!$A$1:$I$89,5,0)</f>
        <v>5.4978954722173515E-13</v>
      </c>
      <c r="DQ196" s="13">
        <f t="shared" si="176"/>
        <v>6.7731340873355904E-12</v>
      </c>
      <c r="DR196" s="20">
        <f t="shared" si="177"/>
        <v>1.2754091996854009E-11</v>
      </c>
      <c r="DS196" s="59">
        <f t="shared" ref="DS196:DS203" si="197">DR196+(DJ196+DK196)*44/12</f>
        <v>293.33333333334605</v>
      </c>
      <c r="DT196" s="59">
        <f ca="1">AVERAGE(OFFSET($DS$3,0,0,'Données projet'!$E$14+1,1))-AVERAGE(OFFSET($H$3,0,0,'Données projet'!$E$14+1,1))</f>
        <v>407.73540492005355</v>
      </c>
      <c r="DU196" s="59">
        <f t="shared" si="152"/>
        <v>296.29416764204774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53.539049492699341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53.539049492699341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328.00000000000017</v>
      </c>
      <c r="EK196" s="17">
        <f>EJ196*VLOOKUP('Données projet'!$B$15,Paramètres!$A$1:$I$89,3,0)*VLOOKUP('Données projet'!$B$15,Paramètres!$A$1:$I$89,5,0)</f>
        <v>255.84000000000015</v>
      </c>
      <c r="EL196" s="13">
        <f t="shared" si="179"/>
        <v>61.834803371075886</v>
      </c>
      <c r="EM196" s="20">
        <f t="shared" si="180"/>
        <v>553.28361587129086</v>
      </c>
      <c r="EN196" s="59">
        <f t="shared" ref="EN196:EN203" si="198">EM196+(EE196+EF196)*44/12</f>
        <v>846.61694920462423</v>
      </c>
      <c r="EO196" s="59">
        <f ca="1">AVERAGE(OFFSET($EN$3,0,0,'Données projet'!$E$15+1,1))-AVERAGE(OFFSET($H$3,0,0,'Données projet'!$E$15+1,1))</f>
        <v>288.80569134263209</v>
      </c>
      <c r="EP196" s="59">
        <f t="shared" si="154"/>
        <v>283.48738729114024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1.7440467210007118</v>
      </c>
      <c r="EW196" s="21">
        <f>EXP(-LN(2)/25)*EW195+(1-EXP(-LN(2)/25))/(LN(2)/25)*Calculateur!ER196*Calculateur!ET196*VLOOKUP('Données projet'!$B$15,Paramètres!$A$1:$I$89,3,0)*0.475*44/12</f>
        <v>0.63471338970930091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2.3787601107100125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293.33333333334531</v>
      </c>
      <c r="S197" s="59">
        <f ca="1">AVERAGE(OFFSET($R$3,0,0,'Données projet'!$E$9+1,1))-AVERAGE(OFFSET($H$3,0,0,'Données projet'!$E$9+1,1))</f>
        <v>384.05928630855732</v>
      </c>
      <c r="T197" s="59">
        <f t="shared" ref="T197:T203" si="204">$T$3</f>
        <v>279.93992813630513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-2.4158453015843406E-13</v>
      </c>
      <c r="AJ197" s="13">
        <f>AI197*VLOOKUP('Données projet'!$B$10,Paramètres!$A$1:$I$89,3,0)*VLOOKUP('Données projet'!$B$10,Paramètres!$A$1:$I$89,5,0)</f>
        <v>-2.0351080820546486E-13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312.48716825299158</v>
      </c>
      <c r="AO197" s="59">
        <f t="shared" ref="AO197:AO203" si="205">$AO$3</f>
        <v>258.68277822755357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28.219816268478915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28.219816268478915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367.99999999999972</v>
      </c>
      <c r="BE197" s="13">
        <f>BD197*VLOOKUP('Données projet'!$B$11,Paramètres!$A$1:$I$89,3,0)*VLOOKUP('Données projet'!$B$11,Paramètres!$A$1:$I$89,5,0)</f>
        <v>269.8175999999998</v>
      </c>
      <c r="BF197" s="13">
        <f t="shared" si="167"/>
        <v>64.810557882019467</v>
      </c>
      <c r="BG197" s="20">
        <f t="shared" si="168"/>
        <v>582.81070831118348</v>
      </c>
      <c r="BH197" s="59">
        <f t="shared" si="194"/>
        <v>876.14404164451685</v>
      </c>
      <c r="BI197" s="59">
        <f ca="1">AVERAGE(OFFSET($BH$3,0,0,'Données projet'!$E$11+1,1))-AVERAGE(OFFSET($H$3,0,0,'Données projet'!$E$11+1,1))</f>
        <v>376.58419691967526</v>
      </c>
      <c r="BJ197" s="59">
        <f t="shared" ref="BJ197:BJ203" si="206">$BJ$3</f>
        <v>365.76175372075869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4.7275964373847028</v>
      </c>
      <c r="BQ197" s="21">
        <f>EXP(-LN(2)/25)*BQ196+(1-EXP(-LN(2)/25))/(LN(2)/25)*Calculateur!BL197*Calculateur!BN197*VLOOKUP('Données projet'!$B$11,Paramètres!$A$1:$I$89,3,0)*0.475*44/12</f>
        <v>0.22701389724181387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4.9546103346265165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292.78079999999977</v>
      </c>
      <c r="CA197" s="13">
        <f t="shared" si="170"/>
        <v>69.660903052386217</v>
      </c>
      <c r="CB197" s="20">
        <f t="shared" si="171"/>
        <v>631.25263281623893</v>
      </c>
      <c r="CC197" s="59">
        <f t="shared" si="195"/>
        <v>924.58596614957219</v>
      </c>
      <c r="CD197" s="59">
        <f ca="1">AVERAGE(OFFSET($CC$3,0,0,'Données projet'!$E$12+1,1))-AVERAGE(OFFSET($H$3,0,0,'Données projet'!$E$12+1,1))</f>
        <v>405.40026823646758</v>
      </c>
      <c r="CE197" s="59">
        <f t="shared" ref="CE197:CE203" si="207">$CE$3</f>
        <v>393.0787141050053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6.3229555518311802</v>
      </c>
      <c r="CL197" s="21">
        <f>EXP(-LN(2)/25)*CL196+(1-EXP(-LN(2)/25))/(LN(2)/25)*Calculateur!CG197*Calculateur!CI197*VLOOKUP('Données projet'!$B$12,Paramètres!$A$1:$I$89,3,0)*0.475*44/12</f>
        <v>0.30362125890382169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6.6265768107350018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259.99999999999983</v>
      </c>
      <c r="CU197" s="17">
        <f>CT197*VLOOKUP('Données projet'!$B$13,Paramètres!$A$1:$I$89,3,0)*VLOOKUP('Données projet'!$B$13,Paramètres!$A$1:$I$89,5,0)</f>
        <v>227.13599999999985</v>
      </c>
      <c r="CV197" s="13">
        <f t="shared" si="173"/>
        <v>55.662966886685133</v>
      </c>
      <c r="CW197" s="20">
        <f t="shared" si="174"/>
        <v>492.5415339943097</v>
      </c>
      <c r="CX197" s="59">
        <f t="shared" si="196"/>
        <v>785.87486732764296</v>
      </c>
      <c r="CY197" s="59">
        <f ca="1">AVERAGE(OFFSET($CX$3,0,0,'Données projet'!$E$13+1,1))-AVERAGE(OFFSET($H$3,0,0,'Données projet'!$E$13+1,1))</f>
        <v>381.72225529388083</v>
      </c>
      <c r="CZ197" s="59">
        <f t="shared" ref="CZ197:CZ203" si="208">$CZ$3</f>
        <v>360.05900046417361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5.8689974629301194</v>
      </c>
      <c r="DG197" s="21">
        <f>EXP(-LN(2)/25)*DG196+(1-EXP(-LN(2)/25))/(LN(2)/25)*Calculateur!DB197*Calculateur!DD197*VLOOKUP('Données projet'!$B$13,Paramètres!$A$1:$I$89,3,0)*0.475*44/12</f>
        <v>0.99211136082586804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6.8611088237559876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5.6843418860808015E-13</v>
      </c>
      <c r="DP197" s="17">
        <f>DO197*VLOOKUP('Données projet'!$B$14,Paramètres!$A$1:$I$89,3,0)*VLOOKUP('Données projet'!$B$14,Paramètres!$A$1:$I$89,5,0)</f>
        <v>5.4978954722173515E-13</v>
      </c>
      <c r="DQ197" s="13">
        <f t="shared" si="176"/>
        <v>6.7731340873355904E-12</v>
      </c>
      <c r="DR197" s="20">
        <f t="shared" si="177"/>
        <v>1.2754091996854009E-11</v>
      </c>
      <c r="DS197" s="59">
        <f t="shared" si="197"/>
        <v>293.33333333334605</v>
      </c>
      <c r="DT197" s="59">
        <f ca="1">AVERAGE(OFFSET($DS$3,0,0,'Données projet'!$E$14+1,1))-AVERAGE(OFFSET($H$3,0,0,'Données projet'!$E$14+1,1))</f>
        <v>407.73540492005355</v>
      </c>
      <c r="DU197" s="59">
        <f t="shared" ref="DU197:DU203" si="209">$DU$3</f>
        <v>296.29416764204774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52.489181387743223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52.489181387743223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328.00000000000017</v>
      </c>
      <c r="EK197" s="17">
        <f>EJ197*VLOOKUP('Données projet'!$B$15,Paramètres!$A$1:$I$89,3,0)*VLOOKUP('Données projet'!$B$15,Paramètres!$A$1:$I$89,5,0)</f>
        <v>255.84000000000015</v>
      </c>
      <c r="EL197" s="13">
        <f t="shared" si="179"/>
        <v>61.834803371075886</v>
      </c>
      <c r="EM197" s="20">
        <f t="shared" si="180"/>
        <v>553.28361587129086</v>
      </c>
      <c r="EN197" s="59">
        <f t="shared" si="198"/>
        <v>846.61694920462423</v>
      </c>
      <c r="EO197" s="59">
        <f ca="1">AVERAGE(OFFSET($EN$3,0,0,'Données projet'!$E$15+1,1))-AVERAGE(OFFSET($H$3,0,0,'Données projet'!$E$15+1,1))</f>
        <v>288.80569134263209</v>
      </c>
      <c r="EP197" s="59">
        <f t="shared" ref="EP197:EP203" si="210">$EP$3</f>
        <v>283.48738729114024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1.7098470285653498</v>
      </c>
      <c r="EW197" s="21">
        <f>EXP(-LN(2)/25)*EW196+(1-EXP(-LN(2)/25))/(LN(2)/25)*Calculateur!ER197*Calculateur!ET197*VLOOKUP('Données projet'!$B$15,Paramètres!$A$1:$I$89,3,0)*0.475*44/12</f>
        <v>0.61735711868957355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2.3272041472549234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293.33333333334531</v>
      </c>
      <c r="S198" s="59">
        <f ca="1">AVERAGE(OFFSET($R$3,0,0,'Données projet'!$E$9+1,1))-AVERAGE(OFFSET($H$3,0,0,'Données projet'!$E$9+1,1))</f>
        <v>384.05928630855732</v>
      </c>
      <c r="T198" s="59">
        <f t="shared" si="204"/>
        <v>279.93992813630513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-2.4158453015843406E-13</v>
      </c>
      <c r="AJ198" s="13">
        <f>AI198*VLOOKUP('Données projet'!$B$10,Paramètres!$A$1:$I$89,3,0)*VLOOKUP('Données projet'!$B$10,Paramètres!$A$1:$I$89,5,0)</f>
        <v>-2.0351080820546486E-13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312.48716825299158</v>
      </c>
      <c r="AO198" s="59">
        <f t="shared" si="205"/>
        <v>258.68277822755357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27.666442883842386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27.666442883842386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367.99999999999972</v>
      </c>
      <c r="BE198" s="13">
        <f>BD198*VLOOKUP('Données projet'!$B$11,Paramètres!$A$1:$I$89,3,0)*VLOOKUP('Données projet'!$B$11,Paramètres!$A$1:$I$89,5,0)</f>
        <v>269.8175999999998</v>
      </c>
      <c r="BF198" s="13">
        <f t="shared" si="167"/>
        <v>64.810557882019467</v>
      </c>
      <c r="BG198" s="20">
        <f t="shared" si="168"/>
        <v>582.81070831118348</v>
      </c>
      <c r="BH198" s="59">
        <f t="shared" si="194"/>
        <v>876.14404164451685</v>
      </c>
      <c r="BI198" s="59">
        <f ca="1">AVERAGE(OFFSET($BH$3,0,0,'Données projet'!$E$11+1,1))-AVERAGE(OFFSET($H$3,0,0,'Données projet'!$E$11+1,1))</f>
        <v>376.58419691967526</v>
      </c>
      <c r="BJ198" s="59">
        <f t="shared" si="206"/>
        <v>365.76175372075869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4.6348911547966889</v>
      </c>
      <c r="BQ198" s="21">
        <f>EXP(-LN(2)/25)*BQ197+(1-EXP(-LN(2)/25))/(LN(2)/25)*Calculateur!BL198*Calculateur!BN198*VLOOKUP('Données projet'!$B$11,Paramètres!$A$1:$I$89,3,0)*0.475*44/12</f>
        <v>0.22080619028359447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4.8556973450802836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292.78079999999977</v>
      </c>
      <c r="CA198" s="13">
        <f t="shared" si="170"/>
        <v>69.660903052386217</v>
      </c>
      <c r="CB198" s="20">
        <f t="shared" si="171"/>
        <v>631.25263281623893</v>
      </c>
      <c r="CC198" s="59">
        <f t="shared" si="195"/>
        <v>924.58596614957219</v>
      </c>
      <c r="CD198" s="59">
        <f ca="1">AVERAGE(OFFSET($CC$3,0,0,'Données projet'!$E$12+1,1))-AVERAGE(OFFSET($H$3,0,0,'Données projet'!$E$12+1,1))</f>
        <v>405.40026823646758</v>
      </c>
      <c r="CE198" s="59">
        <f t="shared" si="207"/>
        <v>393.0787141050053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6.1989662500818472</v>
      </c>
      <c r="CL198" s="21">
        <f>EXP(-LN(2)/25)*CL197+(1-EXP(-LN(2)/25))/(LN(2)/25)*Calculateur!CG198*Calculateur!CI198*VLOOKUP('Données projet'!$B$12,Paramètres!$A$1:$I$89,3,0)*0.475*44/12</f>
        <v>0.29531871961234862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6.4942849696941956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259.99999999999983</v>
      </c>
      <c r="CU198" s="17">
        <f>CT198*VLOOKUP('Données projet'!$B$13,Paramètres!$A$1:$I$89,3,0)*VLOOKUP('Données projet'!$B$13,Paramètres!$A$1:$I$89,5,0)</f>
        <v>227.13599999999985</v>
      </c>
      <c r="CV198" s="13">
        <f t="shared" si="173"/>
        <v>55.662966886685133</v>
      </c>
      <c r="CW198" s="20">
        <f t="shared" si="174"/>
        <v>492.5415339943097</v>
      </c>
      <c r="CX198" s="59">
        <f t="shared" si="196"/>
        <v>785.87486732764296</v>
      </c>
      <c r="CY198" s="59">
        <f ca="1">AVERAGE(OFFSET($CX$3,0,0,'Données projet'!$E$13+1,1))-AVERAGE(OFFSET($H$3,0,0,'Données projet'!$E$13+1,1))</f>
        <v>381.72225529388083</v>
      </c>
      <c r="CZ198" s="59">
        <f t="shared" si="208"/>
        <v>360.05900046417361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5.7539100024170429</v>
      </c>
      <c r="DG198" s="21">
        <f>EXP(-LN(2)/25)*DG197+(1-EXP(-LN(2)/25))/(LN(2)/25)*Calculateur!DB198*Calculateur!DD198*VLOOKUP('Données projet'!$B$13,Paramètres!$A$1:$I$89,3,0)*0.475*44/12</f>
        <v>0.96498202349121576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6.718892025908259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5.6843418860808015E-13</v>
      </c>
      <c r="DP198" s="17">
        <f>DO198*VLOOKUP('Données projet'!$B$14,Paramètres!$A$1:$I$89,3,0)*VLOOKUP('Données projet'!$B$14,Paramètres!$A$1:$I$89,5,0)</f>
        <v>5.4978954722173515E-13</v>
      </c>
      <c r="DQ198" s="13">
        <f t="shared" si="176"/>
        <v>6.7731340873355904E-12</v>
      </c>
      <c r="DR198" s="20">
        <f t="shared" si="177"/>
        <v>1.2754091996854009E-11</v>
      </c>
      <c r="DS198" s="59">
        <f t="shared" si="197"/>
        <v>293.33333333334605</v>
      </c>
      <c r="DT198" s="59">
        <f ca="1">AVERAGE(OFFSET($DS$3,0,0,'Données projet'!$E$14+1,1))-AVERAGE(OFFSET($H$3,0,0,'Données projet'!$E$14+1,1))</f>
        <v>407.73540492005355</v>
      </c>
      <c r="DU198" s="59">
        <f t="shared" si="209"/>
        <v>296.29416764204774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51.459900555968986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51.459900555968986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328.00000000000017</v>
      </c>
      <c r="EK198" s="17">
        <f>EJ198*VLOOKUP('Données projet'!$B$15,Paramètres!$A$1:$I$89,3,0)*VLOOKUP('Données projet'!$B$15,Paramètres!$A$1:$I$89,5,0)</f>
        <v>255.84000000000015</v>
      </c>
      <c r="EL198" s="13">
        <f t="shared" si="179"/>
        <v>61.834803371075886</v>
      </c>
      <c r="EM198" s="20">
        <f t="shared" si="180"/>
        <v>553.28361587129086</v>
      </c>
      <c r="EN198" s="59">
        <f t="shared" si="198"/>
        <v>846.61694920462423</v>
      </c>
      <c r="EO198" s="59">
        <f ca="1">AVERAGE(OFFSET($EN$3,0,0,'Données projet'!$E$15+1,1))-AVERAGE(OFFSET($H$3,0,0,'Données projet'!$E$15+1,1))</f>
        <v>288.80569134263209</v>
      </c>
      <c r="EP198" s="59">
        <f t="shared" si="210"/>
        <v>283.48738729114024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1.6763179712388925</v>
      </c>
      <c r="EW198" s="21">
        <f>EXP(-LN(2)/25)*EW197+(1-EXP(-LN(2)/25))/(LN(2)/25)*Calculateur!ER198*Calculateur!ET198*VLOOKUP('Données projet'!$B$15,Paramètres!$A$1:$I$89,3,0)*0.475*44/12</f>
        <v>0.60047545581360728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2.2767934270524997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293.33333333334531</v>
      </c>
      <c r="S199" s="59">
        <f ca="1">AVERAGE(OFFSET($R$3,0,0,'Données projet'!$E$9+1,1))-AVERAGE(OFFSET($H$3,0,0,'Données projet'!$E$9+1,1))</f>
        <v>384.05928630855732</v>
      </c>
      <c r="T199" s="59">
        <f t="shared" si="204"/>
        <v>279.93992813630513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-2.4158453015843406E-13</v>
      </c>
      <c r="AJ199" s="13">
        <f>AI199*VLOOKUP('Données projet'!$B$10,Paramètres!$A$1:$I$89,3,0)*VLOOKUP('Données projet'!$B$10,Paramètres!$A$1:$I$89,5,0)</f>
        <v>-2.0351080820546486E-13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312.48716825299158</v>
      </c>
      <c r="AO199" s="59">
        <f t="shared" si="205"/>
        <v>258.68277822755357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27.123920813754143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27.123920813754143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367.99999999999972</v>
      </c>
      <c r="BE199" s="13">
        <f>BD199*VLOOKUP('Données projet'!$B$11,Paramètres!$A$1:$I$89,3,0)*VLOOKUP('Données projet'!$B$11,Paramètres!$A$1:$I$89,5,0)</f>
        <v>269.8175999999998</v>
      </c>
      <c r="BF199" s="13">
        <f t="shared" si="167"/>
        <v>64.810557882019467</v>
      </c>
      <c r="BG199" s="20">
        <f t="shared" si="168"/>
        <v>582.81070831118348</v>
      </c>
      <c r="BH199" s="59">
        <f t="shared" si="194"/>
        <v>876.14404164451685</v>
      </c>
      <c r="BI199" s="59">
        <f ca="1">AVERAGE(OFFSET($BH$3,0,0,'Données projet'!$E$11+1,1))-AVERAGE(OFFSET($H$3,0,0,'Données projet'!$E$11+1,1))</f>
        <v>376.58419691967526</v>
      </c>
      <c r="BJ199" s="59">
        <f t="shared" si="206"/>
        <v>365.76175372075869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4.544003766255587</v>
      </c>
      <c r="BQ199" s="21">
        <f>EXP(-LN(2)/25)*BQ198+(1-EXP(-LN(2)/25))/(LN(2)/25)*Calculateur!BL199*Calculateur!BN199*VLOOKUP('Données projet'!$B$11,Paramètres!$A$1:$I$89,3,0)*0.475*44/12</f>
        <v>0.21476823339859669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4.7587719996541837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292.78079999999977</v>
      </c>
      <c r="CA199" s="13">
        <f t="shared" si="170"/>
        <v>69.660903052386217</v>
      </c>
      <c r="CB199" s="20">
        <f t="shared" si="171"/>
        <v>631.25263281623893</v>
      </c>
      <c r="CC199" s="59">
        <f t="shared" si="195"/>
        <v>924.58596614957219</v>
      </c>
      <c r="CD199" s="59">
        <f ca="1">AVERAGE(OFFSET($CC$3,0,0,'Données projet'!$E$12+1,1))-AVERAGE(OFFSET($H$3,0,0,'Données projet'!$E$12+1,1))</f>
        <v>405.40026823646758</v>
      </c>
      <c r="CE199" s="59">
        <f t="shared" si="207"/>
        <v>393.0787141050053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6.0774083029138124</v>
      </c>
      <c r="CL199" s="21">
        <f>EXP(-LN(2)/25)*CL198+(1-EXP(-LN(2)/25))/(LN(2)/25)*Calculateur!CG199*Calculateur!CI199*VLOOKUP('Données projet'!$B$12,Paramètres!$A$1:$I$89,3,0)*0.475*44/12</f>
        <v>0.28724321369441247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6.3646515166082249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259.99999999999983</v>
      </c>
      <c r="CU199" s="17">
        <f>CT199*VLOOKUP('Données projet'!$B$13,Paramètres!$A$1:$I$89,3,0)*VLOOKUP('Données projet'!$B$13,Paramètres!$A$1:$I$89,5,0)</f>
        <v>227.13599999999985</v>
      </c>
      <c r="CV199" s="13">
        <f t="shared" si="173"/>
        <v>55.662966886685133</v>
      </c>
      <c r="CW199" s="20">
        <f t="shared" si="174"/>
        <v>492.5415339943097</v>
      </c>
      <c r="CX199" s="59">
        <f t="shared" si="196"/>
        <v>785.87486732764296</v>
      </c>
      <c r="CY199" s="59">
        <f ca="1">AVERAGE(OFFSET($CX$3,0,0,'Données projet'!$E$13+1,1))-AVERAGE(OFFSET($H$3,0,0,'Données projet'!$E$13+1,1))</f>
        <v>381.72225529388083</v>
      </c>
      <c r="CZ199" s="59">
        <f t="shared" si="208"/>
        <v>360.05900046417361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5.6410793368082084</v>
      </c>
      <c r="DG199" s="21">
        <f>EXP(-LN(2)/25)*DG198+(1-EXP(-LN(2)/25))/(LN(2)/25)*Calculateur!DB199*Calculateur!DD199*VLOOKUP('Données projet'!$B$13,Paramètres!$A$1:$I$89,3,0)*0.475*44/12</f>
        <v>0.93859453931264936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6.5796738761208573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5.6843418860808015E-13</v>
      </c>
      <c r="DP199" s="17">
        <f>DO199*VLOOKUP('Données projet'!$B$14,Paramètres!$A$1:$I$89,3,0)*VLOOKUP('Données projet'!$B$14,Paramètres!$A$1:$I$89,5,0)</f>
        <v>5.4978954722173515E-13</v>
      </c>
      <c r="DQ199" s="13">
        <f t="shared" si="176"/>
        <v>6.7731340873355904E-12</v>
      </c>
      <c r="DR199" s="20">
        <f t="shared" si="177"/>
        <v>1.2754091996854009E-11</v>
      </c>
      <c r="DS199" s="59">
        <f t="shared" si="197"/>
        <v>293.33333333334605</v>
      </c>
      <c r="DT199" s="59">
        <f ca="1">AVERAGE(OFFSET($DS$3,0,0,'Données projet'!$E$14+1,1))-AVERAGE(OFFSET($H$3,0,0,'Données projet'!$E$14+1,1))</f>
        <v>407.73540492005355</v>
      </c>
      <c r="DU199" s="59">
        <f t="shared" si="209"/>
        <v>296.29416764204774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50.450803293506517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50.450803293506517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328.00000000000017</v>
      </c>
      <c r="EK199" s="17">
        <f>EJ199*VLOOKUP('Données projet'!$B$15,Paramètres!$A$1:$I$89,3,0)*VLOOKUP('Données projet'!$B$15,Paramètres!$A$1:$I$89,5,0)</f>
        <v>255.84000000000015</v>
      </c>
      <c r="EL199" s="13">
        <f t="shared" si="179"/>
        <v>61.834803371075886</v>
      </c>
      <c r="EM199" s="20">
        <f t="shared" si="180"/>
        <v>553.28361587129086</v>
      </c>
      <c r="EN199" s="59">
        <f t="shared" si="198"/>
        <v>846.61694920462423</v>
      </c>
      <c r="EO199" s="59">
        <f ca="1">AVERAGE(OFFSET($EN$3,0,0,'Données projet'!$E$15+1,1))-AVERAGE(OFFSET($H$3,0,0,'Données projet'!$E$15+1,1))</f>
        <v>288.80569134263209</v>
      </c>
      <c r="EP199" s="59">
        <f t="shared" si="210"/>
        <v>283.48738729114024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1.6434463982759013</v>
      </c>
      <c r="EW199" s="21">
        <f>EXP(-LN(2)/25)*EW198+(1-EXP(-LN(2)/25))/(LN(2)/25)*Calculateur!ER199*Calculateur!ET199*VLOOKUP('Données projet'!$B$15,Paramètres!$A$1:$I$89,3,0)*0.475*44/12</f>
        <v>0.58405542289675239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2.2275018211726536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293.33333333334531</v>
      </c>
      <c r="S200" s="59">
        <f ca="1">AVERAGE(OFFSET($R$3,0,0,'Données projet'!$E$9+1,1))-AVERAGE(OFFSET($H$3,0,0,'Données projet'!$E$9+1,1))</f>
        <v>384.05928630855732</v>
      </c>
      <c r="T200" s="59">
        <f t="shared" si="204"/>
        <v>279.93992813630513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-2.4158453015843406E-13</v>
      </c>
      <c r="AJ200" s="13">
        <f>AI200*VLOOKUP('Données projet'!$B$10,Paramètres!$A$1:$I$89,3,0)*VLOOKUP('Données projet'!$B$10,Paramètres!$A$1:$I$89,5,0)</f>
        <v>-2.0351080820546486E-13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312.48716825299158</v>
      </c>
      <c r="AO200" s="59">
        <f t="shared" si="205"/>
        <v>258.68277822755357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26.592037270554542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26.592037270554542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367.99999999999972</v>
      </c>
      <c r="BE200" s="13">
        <f>BD200*VLOOKUP('Données projet'!$B$11,Paramètres!$A$1:$I$89,3,0)*VLOOKUP('Données projet'!$B$11,Paramètres!$A$1:$I$89,5,0)</f>
        <v>269.8175999999998</v>
      </c>
      <c r="BF200" s="13">
        <f t="shared" si="167"/>
        <v>64.810557882019467</v>
      </c>
      <c r="BG200" s="20">
        <f t="shared" si="168"/>
        <v>582.81070831118348</v>
      </c>
      <c r="BH200" s="59">
        <f t="shared" si="194"/>
        <v>876.14404164451685</v>
      </c>
      <c r="BI200" s="59">
        <f ca="1">AVERAGE(OFFSET($BH$3,0,0,'Données projet'!$E$11+1,1))-AVERAGE(OFFSET($H$3,0,0,'Données projet'!$E$11+1,1))</f>
        <v>376.58419691967526</v>
      </c>
      <c r="BJ200" s="59">
        <f t="shared" si="206"/>
        <v>365.76175372075869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4.4548986239679431</v>
      </c>
      <c r="BQ200" s="21">
        <f>EXP(-LN(2)/25)*BQ199+(1-EXP(-LN(2)/25))/(LN(2)/25)*Calculateur!BL200*Calculateur!BN200*VLOOKUP('Données projet'!$B$11,Paramètres!$A$1:$I$89,3,0)*0.475*44/12</f>
        <v>0.20889538476214153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4.6637940087300844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292.78079999999977</v>
      </c>
      <c r="CA200" s="13">
        <f t="shared" si="170"/>
        <v>69.660903052386217</v>
      </c>
      <c r="CB200" s="20">
        <f t="shared" si="171"/>
        <v>631.25263281623893</v>
      </c>
      <c r="CC200" s="59">
        <f t="shared" si="195"/>
        <v>924.58596614957219</v>
      </c>
      <c r="CD200" s="59">
        <f ca="1">AVERAGE(OFFSET($CC$3,0,0,'Données projet'!$E$12+1,1))-AVERAGE(OFFSET($H$3,0,0,'Données projet'!$E$12+1,1))</f>
        <v>405.40026823646758</v>
      </c>
      <c r="CE200" s="59">
        <f t="shared" si="207"/>
        <v>393.0787141050053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5.9582340329467156</v>
      </c>
      <c r="CL200" s="21">
        <f>EXP(-LN(2)/25)*CL199+(1-EXP(-LN(2)/25))/(LN(2)/25)*Calculateur!CG200*Calculateur!CI200*VLOOKUP('Données projet'!$B$12,Paramètres!$A$1:$I$89,3,0)*0.475*44/12</f>
        <v>0.27938853291047466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6.2376225658571904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259.99999999999983</v>
      </c>
      <c r="CU200" s="17">
        <f>CT200*VLOOKUP('Données projet'!$B$13,Paramètres!$A$1:$I$89,3,0)*VLOOKUP('Données projet'!$B$13,Paramètres!$A$1:$I$89,5,0)</f>
        <v>227.13599999999985</v>
      </c>
      <c r="CV200" s="13">
        <f t="shared" si="173"/>
        <v>55.662966886685133</v>
      </c>
      <c r="CW200" s="20">
        <f t="shared" si="174"/>
        <v>492.5415339943097</v>
      </c>
      <c r="CX200" s="59">
        <f t="shared" si="196"/>
        <v>785.87486732764296</v>
      </c>
      <c r="CY200" s="59">
        <f ca="1">AVERAGE(OFFSET($CX$3,0,0,'Données projet'!$E$13+1,1))-AVERAGE(OFFSET($H$3,0,0,'Données projet'!$E$13+1,1))</f>
        <v>381.72225529388083</v>
      </c>
      <c r="CZ200" s="59">
        <f t="shared" si="208"/>
        <v>360.05900046417361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5.5304612117320522</v>
      </c>
      <c r="DG200" s="21">
        <f>EXP(-LN(2)/25)*DG199+(1-EXP(-LN(2)/25))/(LN(2)/25)*Calculateur!DB200*Calculateur!DD200*VLOOKUP('Données projet'!$B$13,Paramètres!$A$1:$I$89,3,0)*0.475*44/12</f>
        <v>0.91292862227660332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6.4433898340086557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5.6843418860808015E-13</v>
      </c>
      <c r="DP200" s="17">
        <f>DO200*VLOOKUP('Données projet'!$B$14,Paramètres!$A$1:$I$89,3,0)*VLOOKUP('Données projet'!$B$14,Paramètres!$A$1:$I$89,5,0)</f>
        <v>5.4978954722173515E-13</v>
      </c>
      <c r="DQ200" s="13">
        <f t="shared" si="176"/>
        <v>6.7731340873355904E-12</v>
      </c>
      <c r="DR200" s="20">
        <f t="shared" si="177"/>
        <v>1.2754091996854009E-11</v>
      </c>
      <c r="DS200" s="59">
        <f t="shared" si="197"/>
        <v>293.33333333334605</v>
      </c>
      <c r="DT200" s="59">
        <f ca="1">AVERAGE(OFFSET($DS$3,0,0,'Données projet'!$E$14+1,1))-AVERAGE(OFFSET($H$3,0,0,'Données projet'!$E$14+1,1))</f>
        <v>407.73540492005355</v>
      </c>
      <c r="DU200" s="59">
        <f t="shared" si="209"/>
        <v>296.29416764204774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49.461493812872384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49.461493812872384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328.00000000000017</v>
      </c>
      <c r="EK200" s="17">
        <f>EJ200*VLOOKUP('Données projet'!$B$15,Paramètres!$A$1:$I$89,3,0)*VLOOKUP('Données projet'!$B$15,Paramètres!$A$1:$I$89,5,0)</f>
        <v>255.84000000000015</v>
      </c>
      <c r="EL200" s="13">
        <f t="shared" si="179"/>
        <v>61.834803371075886</v>
      </c>
      <c r="EM200" s="20">
        <f t="shared" si="180"/>
        <v>553.28361587129086</v>
      </c>
      <c r="EN200" s="59">
        <f t="shared" si="198"/>
        <v>846.61694920462423</v>
      </c>
      <c r="EO200" s="59">
        <f ca="1">AVERAGE(OFFSET($EN$3,0,0,'Données projet'!$E$15+1,1))-AVERAGE(OFFSET($H$3,0,0,'Données projet'!$E$15+1,1))</f>
        <v>288.80569134263209</v>
      </c>
      <c r="EP200" s="59">
        <f t="shared" si="210"/>
        <v>283.48738729114024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1.6112194168090348</v>
      </c>
      <c r="EW200" s="21">
        <f>EXP(-LN(2)/25)*EW199+(1-EXP(-LN(2)/25))/(LN(2)/25)*Calculateur!ER200*Calculateur!ET200*VLOOKUP('Données projet'!$B$15,Paramètres!$A$1:$I$89,3,0)*0.475*44/12</f>
        <v>0.56808439664350086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2.1793038134525355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293.33333333334531</v>
      </c>
      <c r="S201" s="59">
        <f ca="1">AVERAGE(OFFSET($R$3,0,0,'Données projet'!$E$9+1,1))-AVERAGE(OFFSET($H$3,0,0,'Données projet'!$E$9+1,1))</f>
        <v>384.05928630855732</v>
      </c>
      <c r="T201" s="59">
        <f t="shared" si="204"/>
        <v>279.93992813630513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-2.4158453015843406E-13</v>
      </c>
      <c r="AJ201" s="13">
        <f>AI201*VLOOKUP('Données projet'!$B$10,Paramètres!$A$1:$I$89,3,0)*VLOOKUP('Données projet'!$B$10,Paramètres!$A$1:$I$89,5,0)</f>
        <v>-2.0351080820546486E-13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312.48716825299158</v>
      </c>
      <c r="AO201" s="59">
        <f t="shared" si="205"/>
        <v>258.68277822755357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26.070583639220157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26.070583639220157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367.99999999999972</v>
      </c>
      <c r="BE201" s="13">
        <f>BD201*VLOOKUP('Données projet'!$B$11,Paramètres!$A$1:$I$89,3,0)*VLOOKUP('Données projet'!$B$11,Paramètres!$A$1:$I$89,5,0)</f>
        <v>269.8175999999998</v>
      </c>
      <c r="BF201" s="13">
        <f t="shared" si="167"/>
        <v>64.810557882019467</v>
      </c>
      <c r="BG201" s="20">
        <f t="shared" si="168"/>
        <v>582.81070831118348</v>
      </c>
      <c r="BH201" s="59">
        <f t="shared" si="194"/>
        <v>876.14404164451685</v>
      </c>
      <c r="BI201" s="59">
        <f ca="1">AVERAGE(OFFSET($BH$3,0,0,'Données projet'!$E$11+1,1))-AVERAGE(OFFSET($H$3,0,0,'Données projet'!$E$11+1,1))</f>
        <v>376.58419691967526</v>
      </c>
      <c r="BJ201" s="59">
        <f t="shared" si="206"/>
        <v>365.76175372075869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4.3675407791717893</v>
      </c>
      <c r="BQ201" s="21">
        <f>EXP(-LN(2)/25)*BQ200+(1-EXP(-LN(2)/25))/(LN(2)/25)*Calculateur!BL201*Calculateur!BN201*VLOOKUP('Données projet'!$B$11,Paramètres!$A$1:$I$89,3,0)*0.475*44/12</f>
        <v>0.20318312948048992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4.5707239086522788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292.78079999999977</v>
      </c>
      <c r="CA201" s="13">
        <f t="shared" si="170"/>
        <v>69.660903052386217</v>
      </c>
      <c r="CB201" s="20">
        <f t="shared" si="171"/>
        <v>631.25263281623893</v>
      </c>
      <c r="CC201" s="59">
        <f t="shared" si="195"/>
        <v>924.58596614957219</v>
      </c>
      <c r="CD201" s="59">
        <f ca="1">AVERAGE(OFFSET($CC$3,0,0,'Données projet'!$E$12+1,1))-AVERAGE(OFFSET($H$3,0,0,'Données projet'!$E$12+1,1))</f>
        <v>405.40026823646758</v>
      </c>
      <c r="CE201" s="59">
        <f t="shared" si="207"/>
        <v>393.0787141050053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5.8413966977245471</v>
      </c>
      <c r="CL201" s="21">
        <f>EXP(-LN(2)/25)*CL200+(1-EXP(-LN(2)/25))/(LN(2)/25)*Calculateur!CG201*Calculateur!CI201*VLOOKUP('Données projet'!$B$12,Paramètres!$A$1:$I$89,3,0)*0.475*44/12</f>
        <v>0.27174863878563332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6.11314533651018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259.99999999999983</v>
      </c>
      <c r="CU201" s="17">
        <f>CT201*VLOOKUP('Données projet'!$B$13,Paramètres!$A$1:$I$89,3,0)*VLOOKUP('Données projet'!$B$13,Paramètres!$A$1:$I$89,5,0)</f>
        <v>227.13599999999985</v>
      </c>
      <c r="CV201" s="13">
        <f t="shared" si="173"/>
        <v>55.662966886685133</v>
      </c>
      <c r="CW201" s="20">
        <f t="shared" si="174"/>
        <v>492.5415339943097</v>
      </c>
      <c r="CX201" s="59">
        <f t="shared" si="196"/>
        <v>785.87486732764296</v>
      </c>
      <c r="CY201" s="59">
        <f ca="1">AVERAGE(OFFSET($CX$3,0,0,'Données projet'!$E$13+1,1))-AVERAGE(OFFSET($H$3,0,0,'Données projet'!$E$13+1,1))</f>
        <v>381.72225529388083</v>
      </c>
      <c r="CZ201" s="59">
        <f t="shared" si="208"/>
        <v>360.05900046417361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5.4220122406182449</v>
      </c>
      <c r="DG201" s="21">
        <f>EXP(-LN(2)/25)*DG200+(1-EXP(-LN(2)/25))/(LN(2)/25)*Calculateur!DB201*Calculateur!DD201*VLOOKUP('Données projet'!$B$13,Paramètres!$A$1:$I$89,3,0)*0.475*44/12</f>
        <v>0.88796454109161993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6.3099767817098646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5.6843418860808015E-13</v>
      </c>
      <c r="DP201" s="17">
        <f>DO201*VLOOKUP('Données projet'!$B$14,Paramètres!$A$1:$I$89,3,0)*VLOOKUP('Données projet'!$B$14,Paramètres!$A$1:$I$89,5,0)</f>
        <v>5.4978954722173515E-13</v>
      </c>
      <c r="DQ201" s="13">
        <f t="shared" si="176"/>
        <v>6.7731340873355904E-12</v>
      </c>
      <c r="DR201" s="20">
        <f t="shared" si="177"/>
        <v>1.2754091996854009E-11</v>
      </c>
      <c r="DS201" s="59">
        <f t="shared" si="197"/>
        <v>293.33333333334605</v>
      </c>
      <c r="DT201" s="59">
        <f ca="1">AVERAGE(OFFSET($DS$3,0,0,'Données projet'!$E$14+1,1))-AVERAGE(OFFSET($H$3,0,0,'Données projet'!$E$14+1,1))</f>
        <v>407.73540492005355</v>
      </c>
      <c r="DU201" s="59">
        <f t="shared" si="209"/>
        <v>296.29416764204774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48.491584087734289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48.491584087734289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328.00000000000017</v>
      </c>
      <c r="EK201" s="17">
        <f>EJ201*VLOOKUP('Données projet'!$B$15,Paramètres!$A$1:$I$89,3,0)*VLOOKUP('Données projet'!$B$15,Paramètres!$A$1:$I$89,5,0)</f>
        <v>255.84000000000015</v>
      </c>
      <c r="EL201" s="13">
        <f t="shared" si="179"/>
        <v>61.834803371075886</v>
      </c>
      <c r="EM201" s="20">
        <f t="shared" si="180"/>
        <v>553.28361587129086</v>
      </c>
      <c r="EN201" s="59">
        <f t="shared" si="198"/>
        <v>846.61694920462423</v>
      </c>
      <c r="EO201" s="59">
        <f ca="1">AVERAGE(OFFSET($EN$3,0,0,'Données projet'!$E$15+1,1))-AVERAGE(OFFSET($H$3,0,0,'Données projet'!$E$15+1,1))</f>
        <v>288.80569134263209</v>
      </c>
      <c r="EP201" s="59">
        <f t="shared" si="210"/>
        <v>283.48738729114024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1.5796243867922157</v>
      </c>
      <c r="EW201" s="21">
        <f>EXP(-LN(2)/25)*EW200+(1-EXP(-LN(2)/25))/(LN(2)/25)*Calculateur!ER201*Calculateur!ET201*VLOOKUP('Données projet'!$B$15,Paramètres!$A$1:$I$89,3,0)*0.475*44/12</f>
        <v>0.55255009894302431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2.13217448573524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293.33333333334531</v>
      </c>
      <c r="S202" s="59">
        <f ca="1">AVERAGE(OFFSET($R$3,0,0,'Données projet'!$E$9+1,1))-AVERAGE(OFFSET($H$3,0,0,'Données projet'!$E$9+1,1))</f>
        <v>384.05928630855732</v>
      </c>
      <c r="T202" s="59">
        <f t="shared" si="204"/>
        <v>279.93992813630513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-2.4158453015843406E-13</v>
      </c>
      <c r="AJ202" s="13">
        <f>AI202*VLOOKUP('Données projet'!$B$10,Paramètres!$A$1:$I$89,3,0)*VLOOKUP('Données projet'!$B$10,Paramètres!$A$1:$I$89,5,0)</f>
        <v>-2.0351080820546486E-13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312.48716825299158</v>
      </c>
      <c r="AO202" s="59">
        <f t="shared" si="205"/>
        <v>258.68277822755357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25.55935539554093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25.55935539554093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367.99999999999972</v>
      </c>
      <c r="BE202" s="13">
        <f>BD202*VLOOKUP('Données projet'!$B$11,Paramètres!$A$1:$I$89,3,0)*VLOOKUP('Données projet'!$B$11,Paramètres!$A$1:$I$89,5,0)</f>
        <v>269.8175999999998</v>
      </c>
      <c r="BF202" s="13">
        <f t="shared" si="167"/>
        <v>64.810557882019467</v>
      </c>
      <c r="BG202" s="20">
        <f t="shared" si="168"/>
        <v>582.81070831118348</v>
      </c>
      <c r="BH202" s="59">
        <f t="shared" si="194"/>
        <v>876.14404164451685</v>
      </c>
      <c r="BI202" s="59">
        <f ca="1">AVERAGE(OFFSET($BH$3,0,0,'Données projet'!$E$11+1,1))-AVERAGE(OFFSET($H$3,0,0,'Données projet'!$E$11+1,1))</f>
        <v>376.58419691967526</v>
      </c>
      <c r="BJ202" s="59">
        <f t="shared" si="206"/>
        <v>365.76175372075869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4.2818959684290636</v>
      </c>
      <c r="BQ202" s="21">
        <f>EXP(-LN(2)/25)*BQ201+(1-EXP(-LN(2)/25))/(LN(2)/25)*Calculateur!BL202*Calculateur!BN202*VLOOKUP('Données projet'!$B$11,Paramètres!$A$1:$I$89,3,0)*0.475*44/12</f>
        <v>0.19762707611990951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4.4795230445489729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292.78079999999977</v>
      </c>
      <c r="CA202" s="13">
        <f t="shared" si="170"/>
        <v>69.660903052386217</v>
      </c>
      <c r="CB202" s="20">
        <f t="shared" si="171"/>
        <v>631.25263281623893</v>
      </c>
      <c r="CC202" s="59">
        <f t="shared" si="195"/>
        <v>924.58596614957219</v>
      </c>
      <c r="CD202" s="59">
        <f ca="1">AVERAGE(OFFSET($CC$3,0,0,'Données projet'!$E$12+1,1))-AVERAGE(OFFSET($H$3,0,0,'Données projet'!$E$12+1,1))</f>
        <v>405.40026823646758</v>
      </c>
      <c r="CE202" s="59">
        <f t="shared" si="207"/>
        <v>393.0787141050053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5.7268504713823472</v>
      </c>
      <c r="CL202" s="21">
        <f>EXP(-LN(2)/25)*CL201+(1-EXP(-LN(2)/25))/(LN(2)/25)*Calculateur!CG202*Calculateur!CI202*VLOOKUP('Données projet'!$B$12,Paramètres!$A$1:$I$89,3,0)*0.475*44/12</f>
        <v>0.26431765796740037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5.9911681293497479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259.99999999999983</v>
      </c>
      <c r="CU202" s="17">
        <f>CT202*VLOOKUP('Données projet'!$B$13,Paramètres!$A$1:$I$89,3,0)*VLOOKUP('Données projet'!$B$13,Paramètres!$A$1:$I$89,5,0)</f>
        <v>227.13599999999985</v>
      </c>
      <c r="CV202" s="13">
        <f t="shared" si="173"/>
        <v>55.662966886685133</v>
      </c>
      <c r="CW202" s="20">
        <f t="shared" si="174"/>
        <v>492.5415339943097</v>
      </c>
      <c r="CX202" s="59">
        <f t="shared" si="196"/>
        <v>785.87486732764296</v>
      </c>
      <c r="CY202" s="59">
        <f ca="1">AVERAGE(OFFSET($CX$3,0,0,'Données projet'!$E$13+1,1))-AVERAGE(OFFSET($H$3,0,0,'Données projet'!$E$13+1,1))</f>
        <v>381.72225529388083</v>
      </c>
      <c r="CZ202" s="59">
        <f t="shared" si="208"/>
        <v>360.05900046417361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5.3156898876806391</v>
      </c>
      <c r="DG202" s="21">
        <f>EXP(-LN(2)/25)*DG201+(1-EXP(-LN(2)/25))/(LN(2)/25)*Calculateur!DB202*Calculateur!DD202*VLOOKUP('Données projet'!$B$13,Paramètres!$A$1:$I$89,3,0)*0.475*44/12</f>
        <v>0.86368310401944381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6.1793729917000828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5.6843418860808015E-13</v>
      </c>
      <c r="DP202" s="17">
        <f>DO202*VLOOKUP('Données projet'!$B$14,Paramètres!$A$1:$I$89,3,0)*VLOOKUP('Données projet'!$B$14,Paramètres!$A$1:$I$89,5,0)</f>
        <v>5.4978954722173515E-13</v>
      </c>
      <c r="DQ202" s="13">
        <f t="shared" si="176"/>
        <v>6.7731340873355904E-12</v>
      </c>
      <c r="DR202" s="20">
        <f t="shared" si="177"/>
        <v>1.2754091996854009E-11</v>
      </c>
      <c r="DS202" s="59">
        <f t="shared" si="197"/>
        <v>293.33333333334605</v>
      </c>
      <c r="DT202" s="59">
        <f ca="1">AVERAGE(OFFSET($DS$3,0,0,'Données projet'!$E$14+1,1))-AVERAGE(OFFSET($H$3,0,0,'Données projet'!$E$14+1,1))</f>
        <v>407.73540492005355</v>
      </c>
      <c r="DU202" s="59">
        <f t="shared" si="209"/>
        <v>296.29416764204774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47.540693700719629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47.540693700719629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328.00000000000017</v>
      </c>
      <c r="EK202" s="17">
        <f>EJ202*VLOOKUP('Données projet'!$B$15,Paramètres!$A$1:$I$89,3,0)*VLOOKUP('Données projet'!$B$15,Paramètres!$A$1:$I$89,5,0)</f>
        <v>255.84000000000015</v>
      </c>
      <c r="EL202" s="13">
        <f t="shared" si="179"/>
        <v>61.834803371075886</v>
      </c>
      <c r="EM202" s="20">
        <f t="shared" si="180"/>
        <v>553.28361587129086</v>
      </c>
      <c r="EN202" s="59">
        <f t="shared" si="198"/>
        <v>846.61694920462423</v>
      </c>
      <c r="EO202" s="59">
        <f ca="1">AVERAGE(OFFSET($EN$3,0,0,'Données projet'!$E$15+1,1))-AVERAGE(OFFSET($H$3,0,0,'Données projet'!$E$15+1,1))</f>
        <v>288.80569134263209</v>
      </c>
      <c r="EP202" s="59">
        <f t="shared" si="210"/>
        <v>283.48738729114024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1.5486489160429611</v>
      </c>
      <c r="EW202" s="21">
        <f>EXP(-LN(2)/25)*EW201+(1-EXP(-LN(2)/25))/(LN(2)/25)*Calculateur!ER202*Calculateur!ET202*VLOOKUP('Données projet'!$B$15,Paramètres!$A$1:$I$89,3,0)*0.475*44/12</f>
        <v>0.5374405874300805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2.0860895034730413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293.33333333334531</v>
      </c>
      <c r="S203" s="59">
        <f ca="1">AVERAGE(OFFSET($R$3,0,0,'Données projet'!$E$9+1,1))-AVERAGE(OFFSET($H$3,0,0,'Données projet'!$E$9+1,1))</f>
        <v>384.05928630855732</v>
      </c>
      <c r="T203" s="59">
        <f t="shared" si="204"/>
        <v>279.93992813630513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-2.4158453015843406E-13</v>
      </c>
      <c r="AJ203" s="13">
        <f>AI203*VLOOKUP('Données projet'!$B$10,Paramètres!$A$1:$I$89,3,0)*VLOOKUP('Données projet'!$B$10,Paramètres!$A$1:$I$89,5,0)</f>
        <v>-2.0351080820546486E-13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312.48716825299158</v>
      </c>
      <c r="AO203" s="59">
        <f t="shared" si="205"/>
        <v>258.68277822755357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25.058152025901812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25.058152025901812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367.99999999999972</v>
      </c>
      <c r="BE203" s="13">
        <f>BD203*VLOOKUP('Données projet'!$B$11,Paramètres!$A$1:$I$89,3,0)*VLOOKUP('Données projet'!$B$11,Paramètres!$A$1:$I$89,5,0)</f>
        <v>269.8175999999998</v>
      </c>
      <c r="BF203" s="13">
        <f t="shared" si="167"/>
        <v>64.810557882019467</v>
      </c>
      <c r="BG203" s="20">
        <f t="shared" si="168"/>
        <v>582.81070831118348</v>
      </c>
      <c r="BH203" s="59">
        <f t="shared" si="194"/>
        <v>876.14404164451685</v>
      </c>
      <c r="BI203" s="59">
        <f ca="1">AVERAGE(OFFSET($BH$3,0,0,'Données projet'!$E$11+1,1))-AVERAGE(OFFSET($H$3,0,0,'Données projet'!$E$11+1,1))</f>
        <v>376.58419691967526</v>
      </c>
      <c r="BJ203" s="59">
        <f t="shared" si="206"/>
        <v>365.76175372075869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4.1979306001868268</v>
      </c>
      <c r="BQ203" s="21">
        <f>EXP(-LN(2)/25)*BQ202+(1-EXP(-LN(2)/25))/(LN(2)/25)*Calculateur!BL203*Calculateur!BN203*VLOOKUP('Données projet'!$B$11,Paramètres!$A$1:$I$89,3,0)*0.475*44/12</f>
        <v>0.19222295333065434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4.3901535535174814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292.78079999999977</v>
      </c>
      <c r="CA203" s="13">
        <f t="shared" si="170"/>
        <v>69.660903052386217</v>
      </c>
      <c r="CB203" s="20">
        <f t="shared" si="171"/>
        <v>631.25263281623893</v>
      </c>
      <c r="CC203" s="59">
        <f t="shared" si="195"/>
        <v>924.58596614957219</v>
      </c>
      <c r="CD203" s="59">
        <f ca="1">AVERAGE(OFFSET($CC$3,0,0,'Données projet'!$E$12+1,1))-AVERAGE(OFFSET($H$3,0,0,'Données projet'!$E$12+1,1))</f>
        <v>405.40026823646758</v>
      </c>
      <c r="CE203" s="59">
        <f t="shared" si="207"/>
        <v>393.0787141050053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5.6145504266724187</v>
      </c>
      <c r="CL203" s="21">
        <f>EXP(-LN(2)/25)*CL202+(1-EXP(-LN(2)/25))/(LN(2)/25)*Calculateur!CG203*Calculateur!CI203*VLOOKUP('Données projet'!$B$12,Paramètres!$A$1:$I$89,3,0)*0.475*44/12</f>
        <v>0.2570898777104203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5.8716403043828391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259.99999999999983</v>
      </c>
      <c r="CU203" s="17">
        <f>CT203*VLOOKUP('Données projet'!$B$13,Paramètres!$A$1:$I$89,3,0)*VLOOKUP('Données projet'!$B$13,Paramètres!$A$1:$I$89,5,0)</f>
        <v>227.13599999999985</v>
      </c>
      <c r="CV203" s="13">
        <f t="shared" si="173"/>
        <v>55.662966886685133</v>
      </c>
      <c r="CW203" s="20">
        <f t="shared" si="174"/>
        <v>492.5415339943097</v>
      </c>
      <c r="CX203" s="59">
        <f t="shared" si="196"/>
        <v>785.87486732764296</v>
      </c>
      <c r="CY203" s="59">
        <f ca="1">AVERAGE(OFFSET($CX$3,0,0,'Données projet'!$E$13+1,1))-AVERAGE(OFFSET($H$3,0,0,'Données projet'!$E$13+1,1))</f>
        <v>381.72225529388083</v>
      </c>
      <c r="CZ203" s="59">
        <f t="shared" si="208"/>
        <v>360.05900046417361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5.2114524512339075</v>
      </c>
      <c r="DG203" s="21">
        <f>EXP(-LN(2)/25)*DG202+(1-EXP(-LN(2)/25))/(LN(2)/25)*Calculateur!DB203*Calculateur!DD203*VLOOKUP('Données projet'!$B$13,Paramètres!$A$1:$I$89,3,0)*0.475*44/12</f>
        <v>0.84006564412091167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6.0515180953548189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5.6843418860808015E-13</v>
      </c>
      <c r="DP203" s="17">
        <f>DO203*VLOOKUP('Données projet'!$B$14,Paramètres!$A$1:$I$89,3,0)*VLOOKUP('Données projet'!$B$14,Paramètres!$A$1:$I$89,5,0)</f>
        <v>5.4978954722173515E-13</v>
      </c>
      <c r="DQ203" s="13">
        <f t="shared" si="176"/>
        <v>6.7731340873355904E-12</v>
      </c>
      <c r="DR203" s="20">
        <f t="shared" si="177"/>
        <v>1.2754091996854009E-11</v>
      </c>
      <c r="DS203" s="59">
        <f t="shared" si="197"/>
        <v>293.33333333334605</v>
      </c>
      <c r="DT203" s="59">
        <f ca="1">AVERAGE(OFFSET($DS$3,0,0,'Données projet'!$E$14+1,1))-AVERAGE(OFFSET($H$3,0,0,'Données projet'!$E$14+1,1))</f>
        <v>407.73540492005355</v>
      </c>
      <c r="DU203" s="59">
        <f t="shared" si="209"/>
        <v>296.29416764204774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46.60844969420846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46.60844969420846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328.00000000000017</v>
      </c>
      <c r="EK203" s="17">
        <f>EJ203*VLOOKUP('Données projet'!$B$15,Paramètres!$A$1:$I$89,3,0)*VLOOKUP('Données projet'!$B$15,Paramètres!$A$1:$I$89,5,0)</f>
        <v>255.84000000000015</v>
      </c>
      <c r="EL203" s="13">
        <f t="shared" si="179"/>
        <v>61.834803371075886</v>
      </c>
      <c r="EM203" s="20">
        <f t="shared" si="180"/>
        <v>553.28361587129086</v>
      </c>
      <c r="EN203" s="59">
        <f t="shared" si="198"/>
        <v>846.61694920462423</v>
      </c>
      <c r="EO203" s="59">
        <f ca="1">AVERAGE(OFFSET($EN$3,0,0,'Données projet'!$E$15+1,1))-AVERAGE(OFFSET($H$3,0,0,'Données projet'!$E$15+1,1))</f>
        <v>288.80569134263209</v>
      </c>
      <c r="EP203" s="59">
        <f t="shared" si="210"/>
        <v>283.48738729114024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1.5182808553819276</v>
      </c>
      <c r="EW203" s="21">
        <f>EXP(-LN(2)/25)*EW202+(1-EXP(-LN(2)/25))/(LN(2)/25)*Calculateur!ER203*Calculateur!ET203*VLOOKUP('Données projet'!$B$15,Paramètres!$A$1:$I$89,3,0)*0.475*44/12</f>
        <v>0.52274424630403282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2.0410251016859604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1.1727597515473569</v>
      </c>
      <c r="BA205" s="82">
        <f>EXP(LN('Données projet'!B88)/'Données projet'!A88)</f>
        <v>1.3423796509621049</v>
      </c>
      <c r="BV205" s="82">
        <f>EXP(LN('Données projet'!B114)/'Données projet'!A114)</f>
        <v>1.3423796509621049</v>
      </c>
      <c r="CQ205" s="82">
        <f>EXP(LN('Données projet'!B140)/'Données projet'!A140)</f>
        <v>1.4269435884576509</v>
      </c>
      <c r="DL205" s="82">
        <f>EXP(LN('Données projet'!B166)/'Données projet'!A166)</f>
        <v>1.1736311550444201</v>
      </c>
      <c r="EG205" s="82">
        <f>EXP(LN('Données projet'!B192)/'Données projet'!A192)</f>
        <v>1.2788040393997409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0.6</v>
      </c>
      <c r="C6" s="147">
        <f ca="1">IF(OR('Données projet'!B9="",'Données projet'!C9="",'Données projet'!C9=0%),0,Calculateur!S3)</f>
        <v>384.05928630855732</v>
      </c>
      <c r="D6" s="147">
        <f>IF(OR('Données projet'!B9="",'Données projet'!C9="",'Données projet'!C9=0%),0,Calculateur!T3)</f>
        <v>279.93992813630513</v>
      </c>
      <c r="E6" s="147">
        <f ca="1">MIN(C6,D6)</f>
        <v>279.93992813630513</v>
      </c>
      <c r="F6" s="147">
        <f ca="1">E6*B6</f>
        <v>167.96395688178308</v>
      </c>
      <c r="G6" s="147">
        <f ca="1">F6*(100%-'Données projet'!$C$24)*(100%-'Données projet'!$C$25)*(100%-'Données projet'!$C$26)*(100%-'Données projet'!$C$27)</f>
        <v>151.16756119360477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151.16756119360477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pédonculé</v>
      </c>
      <c r="B7" s="154">
        <f>'Données projet'!D10</f>
        <v>0.24</v>
      </c>
      <c r="C7" s="147">
        <f ca="1">IF(OR('Données projet'!B10="",'Données projet'!C10="",'Données projet'!C10=0%),0,Calculateur!AN3)</f>
        <v>312.48716825299158</v>
      </c>
      <c r="D7" s="147">
        <f>IF(OR('Données projet'!B10="",'Données projet'!C10="",'Données projet'!C10=0%),0,Calculateur!AO3)</f>
        <v>258.68277822755357</v>
      </c>
      <c r="E7" s="147">
        <f t="shared" ref="E7:E15" ca="1" si="0">MIN(C7,D7)</f>
        <v>258.68277822755357</v>
      </c>
      <c r="F7" s="147">
        <f t="shared" ref="F7:F15" ca="1" si="1">E7*B7</f>
        <v>62.083866774612858</v>
      </c>
      <c r="G7" s="147">
        <f ca="1">F7*(100%-'Données projet'!$C$24)*(100%-'Données projet'!$C$25)*(100%-'Données projet'!$C$26)*(100%-'Données projet'!$C$27)</f>
        <v>55.875480097151573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55.875480097151573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Châtaignier</v>
      </c>
      <c r="B8" s="154">
        <f>'Données projet'!D11</f>
        <v>0.38</v>
      </c>
      <c r="C8" s="147">
        <f ca="1">IF(OR('Données projet'!B11="",'Données projet'!C11="",'Données projet'!C11=0%),0,Calculateur!BI3)</f>
        <v>376.58419691967526</v>
      </c>
      <c r="D8" s="147">
        <f>IF(OR('Données projet'!B11="",'Données projet'!C11="",'Données projet'!C11=0%),0,Calculateur!BJ3)</f>
        <v>365.76175372075869</v>
      </c>
      <c r="E8" s="147">
        <f t="shared" ca="1" si="0"/>
        <v>365.76175372075869</v>
      </c>
      <c r="F8" s="147">
        <f t="shared" ca="1" si="1"/>
        <v>138.98946641388829</v>
      </c>
      <c r="G8" s="147">
        <f ca="1">F8*(100%-'Données projet'!$C$24)*(100%-'Données projet'!$C$25)*(100%-'Données projet'!$C$26)*(100%-'Données projet'!$C$27)</f>
        <v>125.09051977249946</v>
      </c>
      <c r="H8" s="155">
        <f>IF(OR('Données projet'!B11="",'Données projet'!C11="",'Données projet'!C11=0%),0,AVERAGE(Calculateur!$BS$3:$BS$33)*B8)</f>
        <v>0.92913733478245464</v>
      </c>
      <c r="I8" s="149">
        <f>H8*(100%-'Données projet'!$C$24)*(100%-'Données projet'!$C$25)*(100%-'Données projet'!$C$26)*(100%-'Données projet'!$C$27)</f>
        <v>0.83622360130420914</v>
      </c>
      <c r="J8" s="150">
        <f>IF(OR('Données projet'!B11="",'Données projet'!C11="",'Données projet'!C11=0%),0,SUM(Calculateur!$BL$3:$BL$33)*VLOOKUP('Données projet'!$B$11,Paramètres!$A$1:$I$89,9,0)*B8)</f>
        <v>16.625</v>
      </c>
      <c r="K8" s="151">
        <f>J8*(100%-'Données projet'!$C$24)*(100%-'Données projet'!$C$25)*(100%-'Données projet'!$C$26)*(100%-'Données projet'!$C$27)</f>
        <v>14.9625</v>
      </c>
      <c r="L8" s="152">
        <f t="shared" ca="1" si="2"/>
        <v>140.88924337380368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Erable sycomore</v>
      </c>
      <c r="B9" s="154">
        <f>'Données projet'!D12</f>
        <v>0.38</v>
      </c>
      <c r="C9" s="147">
        <f ca="1">IF(OR('Données projet'!B12="",'Données projet'!C12="",'Données projet'!C12=0%),0,Calculateur!CD3)</f>
        <v>405.40026823646758</v>
      </c>
      <c r="D9" s="147">
        <f>IF(OR('Données projet'!B12="",'Données projet'!C12="",'Données projet'!C12=0%),0,Calculateur!CE3)</f>
        <v>393.0787141050053</v>
      </c>
      <c r="E9" s="147">
        <f t="shared" ca="1" si="0"/>
        <v>393.0787141050053</v>
      </c>
      <c r="F9" s="147">
        <f t="shared" ca="1" si="1"/>
        <v>149.36991135990201</v>
      </c>
      <c r="G9" s="147">
        <f ca="1">F9*(100%-'Données projet'!$C$24)*(100%-'Données projet'!$C$25)*(100%-'Données projet'!$C$26)*(100%-'Données projet'!$C$27)</f>
        <v>134.43292022391182</v>
      </c>
      <c r="H9" s="155">
        <f>IF(OR('Données projet'!B12="",'Données projet'!C12="",'Données projet'!C12=0%),0,AVERAGE(Calculateur!$CN$3:$CN$33)*B9)</f>
        <v>1.2426809579005322</v>
      </c>
      <c r="I9" s="149">
        <f>H9*(100%-'Données projet'!$C$24)*(100%-'Données projet'!$C$25)*(100%-'Données projet'!$C$26)*(100%-'Données projet'!$C$27)</f>
        <v>1.118412862110479</v>
      </c>
      <c r="J9" s="150">
        <f>IF(OR('Données projet'!B12="",'Données projet'!C12="",'Données projet'!C12=0%),0,SUM(Calculateur!$CG$3:$CG$33)*VLOOKUP('Données projet'!$B$12,Paramètres!$A$1:$I$89,9,0)*B9)</f>
        <v>16.625</v>
      </c>
      <c r="K9" s="151">
        <f>J9*(100%-'Données projet'!$C$24)*(100%-'Données projet'!$C$25)*(100%-'Données projet'!$C$26)*(100%-'Données projet'!$C$27)</f>
        <v>14.9625</v>
      </c>
      <c r="L9" s="152">
        <f t="shared" ca="1" si="2"/>
        <v>150.51383308602232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rouge d'Amérique</v>
      </c>
      <c r="B10" s="154">
        <f>'Données projet'!D13</f>
        <v>0.36</v>
      </c>
      <c r="C10" s="147">
        <f ca="1">IF(OR('Données projet'!B13="",'Données projet'!C13="",'Données projet'!C13=0%),0,Calculateur!CY3)</f>
        <v>381.72225529388083</v>
      </c>
      <c r="D10" s="147">
        <f>IF(OR('Données projet'!B13="",'Données projet'!C13="",'Données projet'!C13=0%),0,Calculateur!CZ3)</f>
        <v>360.05900046417361</v>
      </c>
      <c r="E10" s="147">
        <f t="shared" ca="1" si="0"/>
        <v>360.05900046417361</v>
      </c>
      <c r="F10" s="147">
        <f t="shared" ca="1" si="1"/>
        <v>129.62124016710248</v>
      </c>
      <c r="G10" s="147">
        <f ca="1">F10*(100%-'Données projet'!$C$24)*(100%-'Données projet'!$C$25)*(100%-'Données projet'!$C$26)*(100%-'Données projet'!$C$27)</f>
        <v>116.65911615039224</v>
      </c>
      <c r="H10" s="155">
        <f>IF(OR('Données projet'!B13="",'Données projet'!C13="",'Données projet'!C13=0%),0,AVERAGE(Calculateur!$DI$3:$DI$33)*B10)</f>
        <v>7.6855618650480975E-2</v>
      </c>
      <c r="I10" s="149">
        <f>H10*(100%-'Données projet'!$C$24)*(100%-'Données projet'!$C$25)*(100%-'Données projet'!$C$26)*(100%-'Données projet'!$C$27)</f>
        <v>6.9170056785432879E-2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116.72828620717767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Alisier torminal</v>
      </c>
      <c r="B11" s="154">
        <f>'Données projet'!D14</f>
        <v>0.02</v>
      </c>
      <c r="C11" s="147">
        <f ca="1">IF(OR('Données projet'!B14="",'Données projet'!C14="",'Données projet'!C14=0%),0,Calculateur!DT3)</f>
        <v>407.73540492005355</v>
      </c>
      <c r="D11" s="147">
        <f>IF(OR('Données projet'!B14="",'Données projet'!C14="",'Données projet'!C14=0%),0,Calculateur!DU3)</f>
        <v>296.29416764204774</v>
      </c>
      <c r="E11" s="147">
        <f t="shared" ca="1" si="0"/>
        <v>296.29416764204774</v>
      </c>
      <c r="F11" s="147">
        <f t="shared" ca="1" si="1"/>
        <v>5.9258833528409545</v>
      </c>
      <c r="G11" s="147">
        <f ca="1">F11*(100%-'Données projet'!$C$24)*(100%-'Données projet'!$C$25)*(100%-'Données projet'!$C$26)*(100%-'Données projet'!$C$27)</f>
        <v>5.3332950175568588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5.3332950175568588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Merisier</v>
      </c>
      <c r="B12" s="154">
        <f>'Données projet'!D15</f>
        <v>0.02</v>
      </c>
      <c r="C12" s="147">
        <f ca="1">IF(OR('Données projet'!B15="",'Données projet'!C15="",'Données projet'!C15=0%),0,Calculateur!EO3)</f>
        <v>288.80569134263209</v>
      </c>
      <c r="D12" s="147">
        <f>IF(OR('Données projet'!B15="",'Données projet'!C15="",'Données projet'!C15=0%),0,Calculateur!EP3)</f>
        <v>283.48738729114024</v>
      </c>
      <c r="E12" s="147">
        <f t="shared" ca="1" si="0"/>
        <v>283.48738729114024</v>
      </c>
      <c r="F12" s="147">
        <f t="shared" ca="1" si="1"/>
        <v>5.6697477458228045</v>
      </c>
      <c r="G12" s="147">
        <f ca="1">F12*(100%-'Données projet'!$C$24)*(100%-'Données projet'!$C$25)*(100%-'Données projet'!$C$26)*(100%-'Données projet'!$C$27)</f>
        <v>5.1027729712405243</v>
      </c>
      <c r="H12" s="155">
        <f>IF(OR('Données projet'!B15="",'Données projet'!C15="",'Données projet'!C15=0%),0,AVERAGE(Calculateur!$EY$3:$EY$33)*B12)</f>
        <v>4.6657988229150932E-2</v>
      </c>
      <c r="I12" s="149">
        <f>H12*(100%-'Données projet'!$C$24)*(100%-'Données projet'!$C$25)*(100%-'Données projet'!$C$26)*(100%-'Données projet'!$C$27)</f>
        <v>4.1992189406235843E-2</v>
      </c>
      <c r="J12" s="150">
        <f>IF(OR('Données projet'!B15="",'Données projet'!C15="",'Données projet'!C15=0%),0,SUM(Calculateur!$ER$3:$ER$33)*VLOOKUP('Données projet'!$B$15,Paramètres!$A$1:$I$89,9,0)*B12)</f>
        <v>0.27500000000000002</v>
      </c>
      <c r="K12" s="151">
        <f>J12*(100%-'Données projet'!$C$24)*(100%-'Données projet'!$C$25)*(100%-'Données projet'!$C$26)*(100%-'Données projet'!$C$27)</f>
        <v>0.24750000000000003</v>
      </c>
      <c r="L12" s="152">
        <f t="shared" ca="1" si="2"/>
        <v>5.39226516064676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659.62407269595258</v>
      </c>
      <c r="G16" s="166">
        <f t="shared" ca="1" si="3"/>
        <v>593.66166542635722</v>
      </c>
      <c r="H16" s="167">
        <f t="shared" si="3"/>
        <v>2.2953318995626191</v>
      </c>
      <c r="I16" s="167">
        <f t="shared" si="3"/>
        <v>2.0657987096063573</v>
      </c>
      <c r="J16" s="168">
        <f t="shared" si="3"/>
        <v>33.524999999999999</v>
      </c>
      <c r="K16" s="168">
        <f t="shared" si="3"/>
        <v>30.172499999999999</v>
      </c>
      <c r="L16" s="169">
        <f t="shared" ca="1" si="3"/>
        <v>625.89996413596361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7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0.6</v>
      </c>
      <c r="V10" s="177">
        <f>U10*T10</f>
        <v>987.14029414263587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2149.1521905466652</v>
      </c>
      <c r="U11" s="178">
        <f>'Données projet'!D10</f>
        <v>0.24</v>
      </c>
      <c r="V11" s="177">
        <f t="shared" ref="V11" si="0">U11*T11</f>
        <v>515.79652573119961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Châtaignier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2177.8498179677345</v>
      </c>
      <c r="U12" s="178">
        <f>'Données projet'!D11</f>
        <v>0.38</v>
      </c>
      <c r="V12" s="177">
        <f t="shared" ref="V12:V19" si="1">U12*T12</f>
        <v>827.58293082773912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2177.8498179677345</v>
      </c>
      <c r="U13" s="178">
        <f>'Données projet'!D12</f>
        <v>0.38</v>
      </c>
      <c r="V13" s="177">
        <f t="shared" si="1"/>
        <v>827.58293082773912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4076.8541537001706</v>
      </c>
      <c r="U14" s="178">
        <f>'Données projet'!D13</f>
        <v>0.36</v>
      </c>
      <c r="V14" s="177">
        <f t="shared" si="1"/>
        <v>1467.6674953320614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810.64624803668778</v>
      </c>
      <c r="U15" s="178">
        <f>'Données projet'!D14</f>
        <v>0.02</v>
      </c>
      <c r="V15" s="177">
        <f t="shared" si="1"/>
        <v>16.212924960733755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1467.0975187028073</v>
      </c>
      <c r="U16" s="178">
        <f>'Données projet'!D15</f>
        <v>0.02</v>
      </c>
      <c r="V16" s="177">
        <f t="shared" si="1"/>
        <v>29.341950374056147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5744.29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-6322.5314071339781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-6322.5314071339781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31</v>
      </c>
      <c r="B55" s="181">
        <f>'Données projet'!D63</f>
        <v>58.160256410256409</v>
      </c>
      <c r="C55" s="191">
        <v>10</v>
      </c>
      <c r="D55" s="179">
        <f t="shared" ref="D55:D73" si="4">B55*C55</f>
        <v>581.60256410256409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37</v>
      </c>
      <c r="B56" s="181">
        <f>'Données projet'!D64</f>
        <v>33.801282051282051</v>
      </c>
      <c r="C56" s="191">
        <v>10</v>
      </c>
      <c r="D56" s="179">
        <f t="shared" si="4"/>
        <v>338.0128205128205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44</v>
      </c>
      <c r="B57" s="181">
        <f>'Données projet'!D65</f>
        <v>41.506410256410255</v>
      </c>
      <c r="C57" s="191">
        <v>50</v>
      </c>
      <c r="D57" s="179">
        <f t="shared" si="4"/>
        <v>2075.3205128205127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51</v>
      </c>
      <c r="B58" s="181">
        <f>'Données projet'!D66</f>
        <v>39.756410256410255</v>
      </c>
      <c r="C58" s="191">
        <v>50</v>
      </c>
      <c r="D58" s="179">
        <f t="shared" si="4"/>
        <v>1987.8205128205127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58</v>
      </c>
      <c r="B59" s="181">
        <f>'Données projet'!D67</f>
        <v>38.141025641025642</v>
      </c>
      <c r="C59" s="191">
        <v>50</v>
      </c>
      <c r="D59" s="179">
        <f t="shared" si="4"/>
        <v>1907.0512820512822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65</v>
      </c>
      <c r="B60" s="181">
        <f>'Données projet'!D68</f>
        <v>39.615384615384613</v>
      </c>
      <c r="C60" s="191">
        <v>100</v>
      </c>
      <c r="D60" s="179">
        <f t="shared" si="4"/>
        <v>3961.5384615384614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72</v>
      </c>
      <c r="B61" s="181">
        <f>'Données projet'!D69</f>
        <v>45.891025641025642</v>
      </c>
      <c r="C61" s="191">
        <v>100</v>
      </c>
      <c r="D61" s="179">
        <f t="shared" si="4"/>
        <v>4589.1025641025644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81</v>
      </c>
      <c r="B62" s="181">
        <f>'Données projet'!D70</f>
        <v>60.237179487179482</v>
      </c>
      <c r="C62" s="191">
        <v>150</v>
      </c>
      <c r="D62" s="179">
        <f t="shared" si="4"/>
        <v>9035.576923076922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90</v>
      </c>
      <c r="B63" s="181">
        <f>'Données projet'!D71</f>
        <v>60.846153846153847</v>
      </c>
      <c r="C63" s="191">
        <v>150</v>
      </c>
      <c r="D63" s="179">
        <f t="shared" si="4"/>
        <v>9126.9230769230762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99</v>
      </c>
      <c r="B64" s="181">
        <f>'Données projet'!D72</f>
        <v>154.53205128205127</v>
      </c>
      <c r="C64" s="191">
        <v>150</v>
      </c>
      <c r="D64" s="179">
        <f t="shared" si="4"/>
        <v>23179.807692307691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101</v>
      </c>
      <c r="B65" s="181">
        <f>'Données projet'!D73</f>
        <v>56.294871794871788</v>
      </c>
      <c r="C65" s="191">
        <v>200</v>
      </c>
      <c r="D65" s="179">
        <f t="shared" si="4"/>
        <v>11258.974358974358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103</v>
      </c>
      <c r="B66" s="181">
        <f>'Données projet'!D74</f>
        <v>39.92307692307692</v>
      </c>
      <c r="C66" s="191">
        <v>200</v>
      </c>
      <c r="D66" s="179">
        <f t="shared" si="4"/>
        <v>7984.6153846153838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106</v>
      </c>
      <c r="B67" s="181">
        <f>'Données projet'!D75</f>
        <v>89.429487179487168</v>
      </c>
      <c r="C67" s="191">
        <v>200</v>
      </c>
      <c r="D67" s="179">
        <f t="shared" si="4"/>
        <v>17885.897435897434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Châtaignier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7</v>
      </c>
      <c r="C85" s="191">
        <v>10</v>
      </c>
      <c r="D85" s="179">
        <f>B85*C85</f>
        <v>70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42</v>
      </c>
      <c r="C86" s="191">
        <v>10</v>
      </c>
      <c r="D86" s="179">
        <f t="shared" ref="D86:D104" si="6">B86*C86</f>
        <v>420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>
        <f>'Données projet'!D90</f>
        <v>42</v>
      </c>
      <c r="C87" s="191">
        <v>15</v>
      </c>
      <c r="D87" s="179">
        <f t="shared" si="6"/>
        <v>630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>
        <f>'Données projet'!D91</f>
        <v>42</v>
      </c>
      <c r="C88" s="191">
        <v>15</v>
      </c>
      <c r="D88" s="179">
        <f t="shared" si="6"/>
        <v>630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42</v>
      </c>
      <c r="C89" s="191">
        <v>50</v>
      </c>
      <c r="D89" s="179">
        <f t="shared" si="6"/>
        <v>2100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>
        <f>'Données projet'!D93</f>
        <v>42</v>
      </c>
      <c r="C90" s="191">
        <v>50</v>
      </c>
      <c r="D90" s="179">
        <f t="shared" si="6"/>
        <v>2100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>
        <f>'Données projet'!D94</f>
        <v>40</v>
      </c>
      <c r="C91" s="191">
        <v>50</v>
      </c>
      <c r="D91" s="179">
        <f t="shared" si="6"/>
        <v>2000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>
        <f>'Données projet'!D95</f>
        <v>26</v>
      </c>
      <c r="C92" s="191">
        <v>50</v>
      </c>
      <c r="D92" s="179">
        <f t="shared" si="6"/>
        <v>1300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>
        <f>'Données projet'!D96</f>
        <v>21</v>
      </c>
      <c r="C93" s="191">
        <v>50</v>
      </c>
      <c r="D93" s="179">
        <f t="shared" si="6"/>
        <v>1050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>
        <f>'Données projet'!D97</f>
        <v>18</v>
      </c>
      <c r="C94" s="191">
        <v>50</v>
      </c>
      <c r="D94" s="179">
        <f t="shared" si="6"/>
        <v>900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>
        <f>'Données projet'!D98</f>
        <v>17</v>
      </c>
      <c r="C95" s="191">
        <v>50</v>
      </c>
      <c r="D95" s="179">
        <f t="shared" si="6"/>
        <v>850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>
        <f>'Données projet'!D99</f>
        <v>16</v>
      </c>
      <c r="C96" s="191">
        <v>50</v>
      </c>
      <c r="D96" s="179">
        <f t="shared" si="6"/>
        <v>800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>
        <f>'Données projet'!D100</f>
        <v>15</v>
      </c>
      <c r="C97" s="191">
        <v>50</v>
      </c>
      <c r="D97" s="179">
        <f t="shared" si="6"/>
        <v>750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>
        <f>'Données projet'!D101</f>
        <v>14</v>
      </c>
      <c r="C98" s="191">
        <v>50</v>
      </c>
      <c r="D98" s="179">
        <f t="shared" si="6"/>
        <v>700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>
        <f>'Données projet'!D102</f>
        <v>13</v>
      </c>
      <c r="C99" s="191">
        <v>50</v>
      </c>
      <c r="D99" s="179">
        <f t="shared" si="6"/>
        <v>650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7</v>
      </c>
      <c r="C116" s="191">
        <v>10</v>
      </c>
      <c r="D116" s="179">
        <f>B116*C116</f>
        <v>70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42</v>
      </c>
      <c r="C117" s="191">
        <v>10</v>
      </c>
      <c r="D117" s="179">
        <f t="shared" ref="D117:D135" si="8">B117*C117</f>
        <v>420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>
        <f>'Données projet'!D116</f>
        <v>42</v>
      </c>
      <c r="C118" s="191">
        <v>15</v>
      </c>
      <c r="D118" s="179">
        <f t="shared" si="8"/>
        <v>630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>
        <f>'Données projet'!D117</f>
        <v>42</v>
      </c>
      <c r="C119" s="191">
        <v>15</v>
      </c>
      <c r="D119" s="179">
        <f t="shared" si="8"/>
        <v>630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>
        <f>'Données projet'!D118</f>
        <v>42</v>
      </c>
      <c r="C120" s="191">
        <v>50</v>
      </c>
      <c r="D120" s="179">
        <f t="shared" si="8"/>
        <v>2100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>
        <f>'Données projet'!D119</f>
        <v>42</v>
      </c>
      <c r="C121" s="191">
        <v>50</v>
      </c>
      <c r="D121" s="179">
        <f t="shared" si="8"/>
        <v>2100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>
        <f>'Données projet'!D120</f>
        <v>40</v>
      </c>
      <c r="C122" s="191">
        <v>50</v>
      </c>
      <c r="D122" s="179">
        <f t="shared" si="8"/>
        <v>2000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>
        <f>'Données projet'!D121</f>
        <v>26</v>
      </c>
      <c r="C123" s="191">
        <v>50</v>
      </c>
      <c r="D123" s="179">
        <f t="shared" si="8"/>
        <v>1300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>
        <f>'Données projet'!D122</f>
        <v>21</v>
      </c>
      <c r="C124" s="191">
        <v>50</v>
      </c>
      <c r="D124" s="179">
        <f t="shared" si="8"/>
        <v>1050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>
        <f>'Données projet'!D123</f>
        <v>18</v>
      </c>
      <c r="C125" s="191">
        <v>50</v>
      </c>
      <c r="D125" s="179">
        <f t="shared" si="8"/>
        <v>900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>
        <f>'Données projet'!D124</f>
        <v>17</v>
      </c>
      <c r="C126" s="191">
        <v>50</v>
      </c>
      <c r="D126" s="179">
        <f t="shared" si="8"/>
        <v>850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>
        <f>'Données projet'!D125</f>
        <v>16</v>
      </c>
      <c r="C127" s="191">
        <v>50</v>
      </c>
      <c r="D127" s="179">
        <f t="shared" si="8"/>
        <v>800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>
        <f>'Données projet'!D126</f>
        <v>15</v>
      </c>
      <c r="C128" s="191">
        <v>50</v>
      </c>
      <c r="D128" s="179">
        <f t="shared" si="8"/>
        <v>750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>
        <f>'Données projet'!D127</f>
        <v>14</v>
      </c>
      <c r="C129" s="191">
        <v>50</v>
      </c>
      <c r="D129" s="179">
        <f t="shared" si="8"/>
        <v>700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>
        <f>'Données projet'!D128</f>
        <v>13</v>
      </c>
      <c r="C130" s="191">
        <v>50</v>
      </c>
      <c r="D130" s="179">
        <f t="shared" si="8"/>
        <v>650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 t="str">
        <f>'Données projet'!D141</f>
        <v>30</v>
      </c>
      <c r="C148" s="191">
        <v>10</v>
      </c>
      <c r="D148" s="182">
        <f t="shared" ref="D148:D166" si="10">B148*C148</f>
        <v>300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 t="str">
        <f>'Données projet'!D142</f>
        <v>29</v>
      </c>
      <c r="C149" s="191">
        <v>10</v>
      </c>
      <c r="D149" s="182">
        <f t="shared" si="10"/>
        <v>290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 t="str">
        <f>'Données projet'!D143</f>
        <v>31</v>
      </c>
      <c r="C150" s="191">
        <v>50</v>
      </c>
      <c r="D150" s="182">
        <f t="shared" si="10"/>
        <v>1550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 t="str">
        <f>'Données projet'!D144</f>
        <v>32</v>
      </c>
      <c r="C151" s="191">
        <v>50</v>
      </c>
      <c r="D151" s="182">
        <f t="shared" si="10"/>
        <v>1600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 t="str">
        <f>'Données projet'!D145</f>
        <v>32</v>
      </c>
      <c r="C152" s="191">
        <v>50</v>
      </c>
      <c r="D152" s="182">
        <f t="shared" si="10"/>
        <v>1600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 t="str">
        <f>'Données projet'!D146</f>
        <v>31</v>
      </c>
      <c r="C153" s="191">
        <v>100</v>
      </c>
      <c r="D153" s="182">
        <f t="shared" si="10"/>
        <v>3100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 t="str">
        <f>'Données projet'!D147</f>
        <v>30</v>
      </c>
      <c r="C154" s="191">
        <v>100</v>
      </c>
      <c r="D154" s="182">
        <f t="shared" si="10"/>
        <v>3000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 t="str">
        <f>'Données projet'!D148</f>
        <v>28</v>
      </c>
      <c r="C155" s="191">
        <v>150</v>
      </c>
      <c r="D155" s="182">
        <f t="shared" si="10"/>
        <v>4200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5" t="str">
        <f>'Données projet'!D149</f>
        <v>26</v>
      </c>
      <c r="C156" s="191">
        <v>150</v>
      </c>
      <c r="D156" s="182">
        <f t="shared" si="10"/>
        <v>3900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5" t="str">
        <f>'Données projet'!D150</f>
        <v>24</v>
      </c>
      <c r="C157" s="191">
        <v>150</v>
      </c>
      <c r="D157" s="182">
        <f t="shared" si="10"/>
        <v>3600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5" t="str">
        <f>'Données projet'!D151</f>
        <v>22</v>
      </c>
      <c r="C158" s="191">
        <v>200</v>
      </c>
      <c r="D158" s="182">
        <f t="shared" si="10"/>
        <v>4400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5" t="str">
        <f>'Données projet'!D152</f>
        <v>21</v>
      </c>
      <c r="C159" s="191">
        <v>200</v>
      </c>
      <c r="D159" s="182">
        <f t="shared" si="10"/>
        <v>4200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5" t="str">
        <f>'Données projet'!D153</f>
        <v>19</v>
      </c>
      <c r="C160" s="191">
        <v>200</v>
      </c>
      <c r="D160" s="182">
        <f t="shared" si="10"/>
        <v>3800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5" t="str">
        <f>'Données projet'!D154</f>
        <v>17</v>
      </c>
      <c r="C161" s="191">
        <v>200</v>
      </c>
      <c r="D161" s="182">
        <f t="shared" si="10"/>
        <v>3400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85</v>
      </c>
      <c r="B162" s="175" t="str">
        <f>'Données projet'!D155</f>
        <v>16</v>
      </c>
      <c r="C162" s="191">
        <v>200</v>
      </c>
      <c r="D162" s="182">
        <f t="shared" si="10"/>
        <v>3200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90</v>
      </c>
      <c r="B163" s="175" t="str">
        <f>'Données projet'!D156</f>
        <v>14</v>
      </c>
      <c r="C163" s="191">
        <v>200</v>
      </c>
      <c r="D163" s="182">
        <f t="shared" si="10"/>
        <v>2800</v>
      </c>
      <c r="E163" s="193">
        <v>150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95</v>
      </c>
      <c r="B164" s="175" t="str">
        <f>'Données projet'!D157</f>
        <v>13</v>
      </c>
      <c r="C164" s="191">
        <v>200</v>
      </c>
      <c r="D164" s="182">
        <f t="shared" si="10"/>
        <v>2600</v>
      </c>
      <c r="E164" s="193">
        <v>150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100</v>
      </c>
      <c r="B165" s="175" t="str">
        <f>'Données projet'!D158</f>
        <v>13</v>
      </c>
      <c r="C165" s="191">
        <v>200</v>
      </c>
      <c r="D165" s="182">
        <f t="shared" si="10"/>
        <v>2600</v>
      </c>
      <c r="E165" s="193">
        <v>150</v>
      </c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35</v>
      </c>
      <c r="B179" s="181">
        <f>'Données projet'!D167</f>
        <v>60.602564102564102</v>
      </c>
      <c r="C179" s="193">
        <v>10</v>
      </c>
      <c r="D179" s="179">
        <f t="shared" ref="D179:D197" si="11">B179*C179</f>
        <v>606.02564102564099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41</v>
      </c>
      <c r="B180" s="181">
        <f>'Données projet'!D168</f>
        <v>38.512820512820511</v>
      </c>
      <c r="C180" s="193">
        <v>10</v>
      </c>
      <c r="D180" s="179">
        <f t="shared" si="11"/>
        <v>385.12820512820508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48</v>
      </c>
      <c r="B181" s="181">
        <f>'Données projet'!D169</f>
        <v>48.025641025641022</v>
      </c>
      <c r="C181" s="193">
        <v>15</v>
      </c>
      <c r="D181" s="179">
        <f t="shared" si="11"/>
        <v>720.38461538461536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55</v>
      </c>
      <c r="B182" s="181">
        <f>'Données projet'!D170</f>
        <v>45.147435897435898</v>
      </c>
      <c r="C182" s="193">
        <v>15</v>
      </c>
      <c r="D182" s="179">
        <f t="shared" si="11"/>
        <v>677.21153846153845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63</v>
      </c>
      <c r="B183" s="181">
        <f>'Données projet'!D171</f>
        <v>41.724358974358978</v>
      </c>
      <c r="C183" s="193">
        <v>50</v>
      </c>
      <c r="D183" s="179">
        <f t="shared" si="11"/>
        <v>2086.2179487179487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71</v>
      </c>
      <c r="B184" s="181">
        <f>'Données projet'!D172</f>
        <v>39.935897435897431</v>
      </c>
      <c r="C184" s="193">
        <v>50</v>
      </c>
      <c r="D184" s="179">
        <f t="shared" si="11"/>
        <v>1996.7948717948716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80</v>
      </c>
      <c r="B185" s="181">
        <f>'Données projet'!D173</f>
        <v>45.608974358974358</v>
      </c>
      <c r="C185" s="193">
        <v>50</v>
      </c>
      <c r="D185" s="179">
        <f t="shared" si="11"/>
        <v>2280.4487179487178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89</v>
      </c>
      <c r="B186" s="181">
        <f>'Données projet'!D174</f>
        <v>49.391025641025635</v>
      </c>
      <c r="C186" s="193">
        <v>50</v>
      </c>
      <c r="D186" s="179">
        <f t="shared" si="11"/>
        <v>2469.5512820512818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99</v>
      </c>
      <c r="B187" s="181">
        <f>'Données projet'!D175</f>
        <v>48.019230769230766</v>
      </c>
      <c r="C187" s="193">
        <v>50</v>
      </c>
      <c r="D187" s="179">
        <f t="shared" si="11"/>
        <v>2400.9615384615381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109</v>
      </c>
      <c r="B188" s="181">
        <f>'Données projet'!D176</f>
        <v>51.28846153846154</v>
      </c>
      <c r="C188" s="193">
        <v>50</v>
      </c>
      <c r="D188" s="179">
        <f t="shared" si="11"/>
        <v>2564.4230769230771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119</v>
      </c>
      <c r="B189" s="181">
        <f>'Données projet'!D177</f>
        <v>150.02564102564102</v>
      </c>
      <c r="C189" s="193">
        <v>50</v>
      </c>
      <c r="D189" s="179">
        <f t="shared" si="11"/>
        <v>7501.2820512820508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123</v>
      </c>
      <c r="B190" s="181">
        <f>'Données projet'!D178</f>
        <v>77.17307692307692</v>
      </c>
      <c r="C190" s="193">
        <v>50</v>
      </c>
      <c r="D190" s="179">
        <f t="shared" si="11"/>
        <v>3858.6538461538462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127</v>
      </c>
      <c r="B191" s="181">
        <f>'Données projet'!D179</f>
        <v>49.916666666666671</v>
      </c>
      <c r="C191" s="193">
        <v>50</v>
      </c>
      <c r="D191" s="179">
        <f t="shared" si="11"/>
        <v>2495.8333333333335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131</v>
      </c>
      <c r="B192" s="181">
        <f>'Données projet'!D180</f>
        <v>110.91025641025641</v>
      </c>
      <c r="C192" s="193">
        <v>50</v>
      </c>
      <c r="D192" s="179">
        <f t="shared" si="11"/>
        <v>5545.5128205128203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15</v>
      </c>
      <c r="B209" s="181">
        <f>'Données projet'!D192</f>
        <v>3</v>
      </c>
      <c r="C209" s="193">
        <v>10</v>
      </c>
      <c r="D209" s="179">
        <f>B209*C209</f>
        <v>30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20</v>
      </c>
      <c r="B210" s="181">
        <f>'Données projet'!D193</f>
        <v>25</v>
      </c>
      <c r="C210" s="193">
        <v>10</v>
      </c>
      <c r="D210" s="179">
        <f t="shared" ref="D210:D228" si="12">B210*C210</f>
        <v>250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27</v>
      </c>
      <c r="C211" s="193">
        <v>15</v>
      </c>
      <c r="D211" s="179">
        <f t="shared" si="12"/>
        <v>405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31</v>
      </c>
      <c r="B212" s="181">
        <f>'Données projet'!D195</f>
        <v>35</v>
      </c>
      <c r="C212" s="193">
        <v>15</v>
      </c>
      <c r="D212" s="179">
        <f t="shared" si="12"/>
        <v>525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37</v>
      </c>
      <c r="B213" s="181">
        <f>'Données projet'!D196</f>
        <v>36</v>
      </c>
      <c r="C213" s="193">
        <v>50</v>
      </c>
      <c r="D213" s="179">
        <f t="shared" si="12"/>
        <v>1800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44</v>
      </c>
      <c r="B214" s="181">
        <f>'Données projet'!D197</f>
        <v>43</v>
      </c>
      <c r="C214" s="193">
        <v>50</v>
      </c>
      <c r="D214" s="179">
        <f t="shared" si="12"/>
        <v>2150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52</v>
      </c>
      <c r="B215" s="181">
        <f>'Données projet'!D198</f>
        <v>49</v>
      </c>
      <c r="C215" s="193">
        <v>50</v>
      </c>
      <c r="D215" s="179">
        <f t="shared" si="12"/>
        <v>2450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60</v>
      </c>
      <c r="B216" s="181">
        <f>'Données projet'!D199</f>
        <v>47</v>
      </c>
      <c r="C216" s="193">
        <v>50</v>
      </c>
      <c r="D216" s="179">
        <f t="shared" si="12"/>
        <v>2350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69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A7FF3-047F-4289-BCE3-B65BB7BA440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14070CED-71B4-4068-B94D-ADE620441A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765A7-4AC6-4A37-8252-D0D416A6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2024-02-28T09:19:29Z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