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GRAND OUEST (PB)/2CHAM-122/"/>
    </mc:Choice>
  </mc:AlternateContent>
  <xr:revisionPtr revIDLastSave="269" documentId="11_832EBC973FF36A9F0A417D33E5FDCA6337D90D96" xr6:coauthVersionLast="47" xr6:coauthVersionMax="47" xr10:uidLastSave="{63A3823D-7EF9-4FED-B152-DE4F5D4DABB8}"/>
  <bookViews>
    <workbookView xWindow="-2314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22" i="6"/>
  <c r="I21" i="6"/>
  <c r="E143" i="6"/>
  <c r="E141" i="6"/>
  <c r="E112" i="6"/>
  <c r="E110" i="6"/>
  <c r="E81" i="6"/>
  <c r="E79" i="6"/>
  <c r="E50" i="6"/>
  <c r="E48" i="6"/>
  <c r="E19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C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C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EB195" i="2"/>
  <c r="AA195" i="2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68" i="2" a="1"/>
  <c r="BC68" i="2" s="1"/>
  <c r="BC47" i="2" a="1"/>
  <c r="BC47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143" i="2" a="1"/>
  <c r="BC143" i="2" s="1"/>
  <c r="BC185" i="2" a="1"/>
  <c r="BC185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DN187" i="2" a="1"/>
  <c r="DN187" i="2" s="1"/>
  <c r="HJ202" i="2"/>
  <c r="EY202" i="2"/>
  <c r="AX200" i="2"/>
  <c r="CS56" i="2" l="1" a="1"/>
  <c r="CS56" i="2" s="1"/>
  <c r="CS24" i="2" a="1"/>
  <c r="CS24" i="2" s="1"/>
  <c r="CS38" i="2" a="1"/>
  <c r="CS38" i="2" s="1"/>
  <c r="CS116" i="2" a="1"/>
  <c r="CS116" i="2" s="1"/>
  <c r="CS72" i="2" a="1"/>
  <c r="CS72" i="2" s="1"/>
  <c r="BX107" i="2" a="1"/>
  <c r="BX107" i="2" s="1"/>
  <c r="BC117" i="2" a="1"/>
  <c r="BC117" i="2" s="1"/>
  <c r="BC126" i="2" a="1"/>
  <c r="BC126" i="2" s="1"/>
  <c r="BC58" i="2" a="1"/>
  <c r="BC58" i="2" s="1"/>
  <c r="BC151" i="2" a="1"/>
  <c r="BC151" i="2" s="1"/>
  <c r="BC31" i="2" a="1"/>
  <c r="BC31" i="2" s="1"/>
  <c r="BC192" i="2" a="1"/>
  <c r="BC192" i="2" s="1"/>
  <c r="BC181" i="2" a="1"/>
  <c r="BC181" i="2" s="1"/>
  <c r="BC82" i="2" a="1"/>
  <c r="BC82" i="2" s="1"/>
  <c r="BC34" i="2" a="1"/>
  <c r="BC34" i="2" s="1"/>
  <c r="AH151" i="2" a="1"/>
  <c r="AH151" i="2" s="1"/>
  <c r="AH62" i="2" a="1"/>
  <c r="AH62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CY136" i="2" l="1"/>
  <c r="CY92" i="2"/>
  <c r="CY189" i="2"/>
  <c r="CY55" i="2"/>
  <c r="CY172" i="2"/>
  <c r="CY145" i="2"/>
  <c r="CY181" i="2"/>
  <c r="CY203" i="2"/>
  <c r="CY37" i="2"/>
  <c r="CY127" i="2"/>
  <c r="CY60" i="2"/>
  <c r="CY82" i="2"/>
  <c r="CY99" i="2"/>
  <c r="CY42" i="2"/>
  <c r="CY168" i="2"/>
  <c r="CY43" i="2"/>
  <c r="CY134" i="2"/>
  <c r="CY142" i="2"/>
  <c r="CY115" i="2"/>
  <c r="CY24" i="2"/>
  <c r="CY71" i="2"/>
  <c r="CY58" i="2"/>
  <c r="CY196" i="2"/>
  <c r="CY101" i="2"/>
  <c r="CY9" i="2"/>
  <c r="CY113" i="2"/>
  <c r="CY27" i="2"/>
  <c r="CY17" i="2"/>
  <c r="CY67" i="2"/>
  <c r="CY182" i="2"/>
  <c r="CY133" i="2"/>
  <c r="CY188" i="2"/>
  <c r="CY91" i="2"/>
  <c r="CY10" i="2"/>
  <c r="CY65" i="2"/>
  <c r="CY122" i="2"/>
  <c r="CY95" i="2"/>
  <c r="CY186" i="2"/>
  <c r="CY40" i="2"/>
  <c r="CY80" i="2"/>
  <c r="CY100" i="2"/>
  <c r="CY163" i="2"/>
  <c r="CY154" i="2"/>
  <c r="CY159" i="2"/>
  <c r="CY191" i="2"/>
  <c r="CY12" i="2"/>
  <c r="CY47" i="2"/>
  <c r="CY121" i="2"/>
  <c r="CY72" i="2"/>
  <c r="CY106" i="2"/>
  <c r="CY21" i="2"/>
  <c r="CY29" i="2"/>
  <c r="CY124" i="2"/>
  <c r="CY128" i="2"/>
  <c r="CY77" i="2"/>
  <c r="CY195" i="2"/>
  <c r="CY50" i="2"/>
  <c r="CY97" i="2"/>
  <c r="CY152" i="2"/>
  <c r="CY63" i="2"/>
  <c r="CY53" i="2"/>
  <c r="CY120" i="2"/>
  <c r="CY126" i="2"/>
  <c r="CY157" i="2"/>
  <c r="CY8" i="2"/>
  <c r="CY184" i="2"/>
  <c r="CY69" i="2"/>
  <c r="CY20" i="2"/>
  <c r="CY56" i="2"/>
  <c r="CY23" i="2"/>
  <c r="CY79" i="2"/>
  <c r="CY140" i="2"/>
  <c r="CY87" i="2"/>
  <c r="CY173" i="2"/>
  <c r="CY149" i="2"/>
  <c r="CY102" i="2"/>
  <c r="CY62" i="2"/>
  <c r="CY187" i="2"/>
  <c r="CY143" i="2"/>
  <c r="CY108" i="2"/>
  <c r="CY44" i="2"/>
  <c r="CY147" i="2"/>
  <c r="CY170" i="2"/>
  <c r="CY32" i="2"/>
  <c r="CY167" i="2"/>
  <c r="CY94" i="2"/>
  <c r="CY36" i="2"/>
  <c r="CY190" i="2"/>
  <c r="CY165" i="2"/>
  <c r="CY160" i="2"/>
  <c r="CY109" i="2"/>
  <c r="CY19" i="2"/>
  <c r="CY81" i="2"/>
  <c r="CY70" i="2"/>
  <c r="CY88" i="2"/>
  <c r="CY177" i="2"/>
  <c r="CY39" i="2"/>
  <c r="CY76" i="2"/>
  <c r="CY132" i="2"/>
  <c r="CY176" i="2"/>
  <c r="CY59" i="2"/>
  <c r="CY14" i="2"/>
  <c r="CY141" i="2"/>
  <c r="CY28" i="2"/>
  <c r="CY131" i="2"/>
  <c r="CY169" i="2"/>
  <c r="CY18" i="2"/>
  <c r="CY6" i="2"/>
  <c r="CY98" i="2"/>
  <c r="CY164" i="2"/>
  <c r="CY139" i="2"/>
  <c r="CY158" i="2"/>
  <c r="CY166" i="2"/>
  <c r="CY38" i="2"/>
  <c r="CY57" i="2"/>
  <c r="CY183" i="2"/>
  <c r="CY51" i="2"/>
  <c r="CY5" i="2"/>
  <c r="CY107" i="2"/>
  <c r="CY85" i="2"/>
  <c r="CY201" i="2"/>
  <c r="CY11" i="2"/>
  <c r="CY171" i="2"/>
  <c r="CY103" i="2"/>
  <c r="CY45" i="2"/>
  <c r="CY33" i="2"/>
  <c r="CY125" i="2"/>
  <c r="CY73" i="2"/>
  <c r="CY156" i="2"/>
  <c r="CY130" i="2"/>
  <c r="CY46" i="2"/>
  <c r="CY193" i="2"/>
  <c r="CY83" i="2"/>
  <c r="CY66" i="2"/>
  <c r="CY192" i="2"/>
  <c r="CY78" i="2"/>
  <c r="CY199" i="2"/>
  <c r="CY146" i="2"/>
  <c r="CY123" i="2"/>
  <c r="CY116" i="2"/>
  <c r="CY25" i="2"/>
  <c r="CY61" i="2"/>
  <c r="CY198" i="2"/>
  <c r="CY135" i="2"/>
  <c r="CY104" i="2"/>
  <c r="CY34" i="2"/>
  <c r="CY119" i="2"/>
  <c r="CY22" i="2"/>
  <c r="CY117" i="2"/>
  <c r="CY54" i="2"/>
  <c r="CY144" i="2"/>
  <c r="CY155" i="2"/>
  <c r="CY137" i="2"/>
  <c r="CY26" i="2"/>
  <c r="CY148" i="2"/>
  <c r="CY111" i="2"/>
  <c r="CY153" i="2"/>
  <c r="CY114" i="2"/>
  <c r="CY64" i="2"/>
  <c r="CY150" i="2"/>
  <c r="CY90" i="2"/>
  <c r="CY194" i="2"/>
  <c r="CY3" i="2"/>
  <c r="C10" i="4" s="1"/>
  <c r="E10" i="4" s="1"/>
  <c r="F10" i="4" s="1"/>
  <c r="G10" i="4" s="1"/>
  <c r="L10" i="4" s="1"/>
  <c r="CY52" i="2"/>
  <c r="CY49" i="2"/>
  <c r="CY86" i="2"/>
  <c r="CY178" i="2"/>
  <c r="CY202" i="2"/>
  <c r="CY35" i="2"/>
  <c r="CY129" i="2"/>
  <c r="CY118" i="2"/>
  <c r="CY110" i="2"/>
  <c r="CY48" i="2"/>
  <c r="CY7" i="2"/>
  <c r="CY15" i="2"/>
  <c r="CY93" i="2"/>
  <c r="CY68" i="2"/>
  <c r="CY200" i="2"/>
  <c r="CY16" i="2"/>
  <c r="CY31" i="2"/>
  <c r="CY74" i="2"/>
  <c r="CY75" i="2"/>
  <c r="CY89" i="2"/>
  <c r="CY197" i="2"/>
  <c r="CY138" i="2"/>
  <c r="CY174" i="2"/>
  <c r="CY185" i="2"/>
  <c r="CY96" i="2"/>
  <c r="CY105" i="2"/>
  <c r="CY84" i="2"/>
  <c r="CY151" i="2"/>
  <c r="CY41" i="2"/>
  <c r="CY180" i="2"/>
  <c r="CY175" i="2"/>
  <c r="CY13" i="2"/>
  <c r="CY30" i="2"/>
  <c r="CY161" i="2"/>
  <c r="CY112" i="2"/>
  <c r="CY162" i="2"/>
  <c r="CY179" i="2"/>
  <c r="CY4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<sst xmlns="http://schemas.openxmlformats.org/spreadsheetml/2006/main" count="1178" uniqueCount="328">
  <si>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</si>
  <si>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</si>
  <si>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</si>
  <si>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</si>
  <si>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</si>
  <si>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</si>
  <si>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</si>
  <si>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</si>
  <si>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</si>
  <si>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</si>
  <si>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</si>
  <si>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</si>
  <si>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</si>
  <si>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</si>
  <si>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</si>
  <si>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</si>
  <si>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</si>
  <si>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</si>
  <si>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</si>
  <si>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</si>
  <si>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</si>
  <si>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</si>
  <si>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</si>
  <si>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</si>
  <si>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</si>
  <si>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</si>
  <si>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</si>
  <si>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</si>
  <si>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</si>
  <si>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</si>
  <si>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</si>
  <si>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</si>
  <si>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</si>
  <si>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</si>
  <si>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</si>
  <si>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</si>
  <si>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</si>
  <si>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</si>
  <si>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</si>
  <si>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</si>
  <si>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</si>
  <si>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</si>
  <si>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</si>
  <si>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</si>
  <si>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</si>
  <si>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</si>
  <si>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</si>
  <si>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</si>
  <si>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</si>
  <si>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</si>
  <si>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</si>
  <si>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</si>
  <si>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</si>
  <si>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</si>
  <si>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</si>
  <si>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</si>
  <si>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</si>
  <si>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</si>
  <si>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</si>
  <si>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</si>
  <si>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</si>
  <si>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</si>
  <si>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</si>
  <si>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</si>
  <si>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</si>
  <si>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</si>
  <si>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</si>
  <si>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</si>
  <si>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</si>
  <si>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</si>
  <si>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</si>
  <si>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</si>
  <si>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</si>
  <si>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</si>
  <si>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</si>
  <si>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</si>
  <si>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</si>
  <si>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</si>
  <si>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</si>
  <si>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</si>
  <si>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</si>
  <si>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</si>
  <si>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</si>
  <si>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</si>
  <si>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</si>
  <si>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</si>
  <si>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</si>
  <si>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</si>
  <si>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</si>
  <si>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</si>
  <si>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</si>
  <si>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</si>
  <si>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</si>
  <si>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</si>
  <si>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</si>
  <si>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</si>
  <si>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</si>
  <si>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</si>
  <si>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</si>
  <si>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</si>
  <si>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</si>
  <si>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</si>
  <si>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</si>
  <si>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</si>
  <si>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</si>
  <si>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</si>
  <si>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</si>
  <si>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</si>
  <si>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</si>
  <si>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</si>
  <si>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</si>
  <si>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</si>
  <si>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</si>
  <si>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</si>
  <si>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</si>
  <si>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</si>
  <si>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</si>
  <si>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</si>
  <si>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</si>
  <si>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</si>
  <si>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</si>
  <si>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</si>
  <si>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</si>
  <si>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</si>
  <si>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</si>
  <si>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</si>
  <si>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</si>
  <si>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</si>
  <si>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</si>
  <si>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</si>
  <si>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</si>
  <si>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</si>
  <si>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</si>
  <si>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</si>
  <si>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</si>
  <si>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</si>
  <si>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</si>
  <si>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</si>
  <si>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</si>
  <si>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</si>
  <si>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</si>
  <si>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</si>
  <si>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</si>
  <si>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</si>
  <si>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</si>
  <si>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</si>
  <si>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</si>
  <si>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</si>
  <si>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</si>
  <si>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</si>
  <si>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</si>
  <si>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</si>
  <si>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</si>
  <si>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</si>
  <si>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</si>
  <si>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</si>
  <si>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</si>
  <si>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</si>
  <si>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</si>
  <si>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</si>
  <si>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</si>
  <si>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</si>
  <si>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</si>
  <si>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</si>
  <si>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</si>
  <si>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</si>
  <si>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</si>
  <si>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</si>
  <si>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</si>
  <si>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</si>
  <si>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</si>
  <si>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</si>
  <si>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</si>
  <si>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</si>
  <si>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</si>
  <si>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</si>
  <si>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</si>
  <si>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</si>
  <si>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</si>
  <si>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</si>
  <si>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</si>
  <si>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</si>
  <si>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</si>
  <si>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</si>
  <si>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</si>
  <si>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</si>
  <si>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</si>
  <si>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</si>
  <si>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</si>
  <si>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</si>
  <si>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</si>
  <si>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</si>
  <si>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</si>
  <si>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</si>
  <si>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</si>
  <si>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</si>
  <si>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</si>
  <si>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</si>
  <si>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</si>
  <si>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</si>
  <si>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</si>
  <si>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</si>
  <si>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</si>
  <si>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</si>
  <si>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</si>
  <si>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</si>
  <si>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</si>
  <si>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</si>
  <si>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</si>
  <si>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</si>
  <si>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</si>
  <si>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</si>
  <si>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</si>
  <si>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</si>
  <si>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</si>
  <si>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</si>
  <si>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</si>
  <si>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</si>
  <si>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</si>
  <si>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</si>
  <si>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</si>
  <si>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</si>
  <si>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</si>
  <si>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</si>
  <si>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</si>
  <si>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</si>
  <si>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</si>
  <si>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</si>
  <si>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</si>
  <si>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</si>
  <si>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</si>
  <si>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</si>
  <si>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</si>
  <si>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</si>
  <si>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</si>
  <si>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</si>
  <si>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</si>
  <si>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</si>
  <si>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</si>
  <si>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</si>
  <si>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</si>
  <si>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</si>
  <si>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</si>
  <si>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</si>
  <si>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</si>
  <si>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</si>
  <si>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</si>
  <si>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</si>
  <si>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</si>
  <si>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</si>
  <si>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</si>
  <si>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</si>
  <si>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</si>
  <si>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</si>
  <si>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</si>
  <si>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</si>
  <si>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</si>
  <si>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</si>
  <si>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</si>
  <si>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</si>
  <si>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</si>
  <si>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</si>
  <si>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</si>
  <si>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</si>
  <si>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</si>
  <si>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</si>
  <si>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</si>
  <si>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</si>
  <si>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</si>
  <si>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</si>
  <si>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</si>
  <si>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</si>
  <si>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</si>
  <si>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</si>
  <si>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</si>
  <si>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</si>
  <si>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</si>
  <si>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</si>
  <si>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</si>
  <si>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</si>
  <si>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</si>
  <si>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</si>
  <si>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</si>
  <si>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</si>
  <si>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</si>
  <si>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</si>
  <si>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</si>
  <si>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</si>
  <si>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</si>
  <si>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</si>
  <si>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</si>
  <si>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</si>
  <si>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</si>
  <si>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</si>
  <si>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</si>
  <si>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</si>
  <si>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</si>
  <si>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</si>
  <si>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</si>
  <si>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</si>
  <si>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</si>
  <si>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</si>
  <si>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</si>
  <si>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</si>
  <si>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</si>
  <si>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</si>
  <si>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</si>
  <si>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</si>
  <si>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</si>
  <si>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</si>
  <si>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</si>
  <si>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</si>
  <si>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</si>
  <si>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</si>
  <si>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</si>
  <si>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</si>
  <si>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</si>
  <si>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</si>
  <si>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</si>
  <si>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</si>
  <si>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</si>
  <si>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</si>
  <si>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</si>
  <si>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</si>
  <si>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</si>
  <si>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15% de regarni à l'année 2</t>
  </si>
  <si>
    <t>Hypothèse prise pour le Poirier et Pommier</t>
  </si>
  <si>
    <t>Coût maitrise d'œuvre + dispense étude d'impact en année 1  + Diagnostic gestionnaire interne (bleu) + Rédaction DGD + suivi gestionnaire sur durée du contrat + entretiens des plantations années 1 à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</si>
</sst>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 2" xfId="3" xr:uid="{CA91D603-CBBB-4742-9D9C-7C7BA9EEEC47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11.20539188542012</c:v>
                </c:pt>
                <c:pt idx="2">
                  <c:v>21.927523777049117</c:v>
                </c:pt>
                <c:pt idx="3">
                  <c:v>32.493586948817772</c:v>
                </c:pt>
                <c:pt idx="4">
                  <c:v>42.963445730345995</c:v>
                </c:pt>
                <c:pt idx="5">
                  <c:v>53.364232598299985</c:v>
                </c:pt>
                <c:pt idx="6">
                  <c:v>63.71142505018269</c:v>
                </c:pt>
                <c:pt idx="7">
                  <c:v>74.015000830188157</c:v>
                </c:pt>
                <c:pt idx="8">
                  <c:v>84.28190983106856</c:v>
                </c:pt>
                <c:pt idx="9">
                  <c:v>94.517260312406492</c:v>
                </c:pt>
                <c:pt idx="10">
                  <c:v>104.7249587701631</c:v>
                </c:pt>
                <c:pt idx="11">
                  <c:v>114.90808518941105</c:v>
                </c:pt>
                <c:pt idx="12">
                  <c:v>125.0691274383351</c:v>
                </c:pt>
                <c:pt idx="13">
                  <c:v>135.21013509563227</c:v>
                </c:pt>
                <c:pt idx="14">
                  <c:v>145.33282450800652</c:v>
                </c:pt>
                <c:pt idx="15">
                  <c:v>155.43865293601846</c:v>
                </c:pt>
                <c:pt idx="16">
                  <c:v>165.52887234629307</c:v>
                </c:pt>
                <c:pt idx="17">
                  <c:v>175.60456936445431</c:v>
                </c:pt>
                <c:pt idx="18">
                  <c:v>185.66669555613839</c:v>
                </c:pt>
                <c:pt idx="19">
                  <c:v>195.71609078597473</c:v>
                </c:pt>
                <c:pt idx="20">
                  <c:v>205.75350151859661</c:v>
                </c:pt>
                <c:pt idx="21">
                  <c:v>215.779595355433</c:v>
                </c:pt>
                <c:pt idx="22">
                  <c:v>225.79497272413494</c:v>
                </c:pt>
                <c:pt idx="23">
                  <c:v>235.80017638257266</c:v>
                </c:pt>
                <c:pt idx="24">
                  <c:v>245.79569922332504</c:v>
                </c:pt>
                <c:pt idx="25">
                  <c:v>255.78199074076778</c:v>
                </c:pt>
                <c:pt idx="26">
                  <c:v>265.75946243430144</c:v>
                </c:pt>
                <c:pt idx="27">
                  <c:v>275.72849235693155</c:v>
                </c:pt>
                <c:pt idx="28">
                  <c:v>285.68942897104239</c:v>
                </c:pt>
                <c:pt idx="29">
                  <c:v>295.64259443786659</c:v>
                </c:pt>
                <c:pt idx="30">
                  <c:v>305.58828744048856</c:v>
                </c:pt>
                <c:pt idx="31">
                  <c:v>315.52678561987216</c:v>
                </c:pt>
                <c:pt idx="32">
                  <c:v>325.4583476877346</c:v>
                </c:pt>
                <c:pt idx="33">
                  <c:v>335.38321526789008</c:v>
                </c:pt>
                <c:pt idx="34">
                  <c:v>345.30161450813017</c:v>
                </c:pt>
                <c:pt idx="35">
                  <c:v>355.21375749714207</c:v>
                </c:pt>
                <c:pt idx="36">
                  <c:v>365.1198435149422</c:v>
                </c:pt>
                <c:pt idx="37">
                  <c:v>375.02006014046651</c:v>
                </c:pt>
                <c:pt idx="38">
                  <c:v>384.91458423605405</c:v>
                </c:pt>
                <c:pt idx="39">
                  <c:v>394.80358282538549</c:v>
                </c:pt>
                <c:pt idx="40">
                  <c:v>404.6872138788429</c:v>
                </c:pt>
                <c:pt idx="41">
                  <c:v>414.56562701812322</c:v>
                </c:pt>
                <c:pt idx="42">
                  <c:v>424.43896415017292</c:v>
                </c:pt>
                <c:pt idx="43">
                  <c:v>260.23313016156169</c:v>
                </c:pt>
                <c:pt idx="44">
                  <c:v>278.44681281239997</c:v>
                </c:pt>
                <c:pt idx="45">
                  <c:v>296.63377132490763</c:v>
                </c:pt>
                <c:pt idx="46">
                  <c:v>314.79587436452249</c:v>
                </c:pt>
                <c:pt idx="47">
                  <c:v>332.9347573633475</c:v>
                </c:pt>
                <c:pt idx="48">
                  <c:v>351.05186301791537</c:v>
                </c:pt>
                <c:pt idx="49">
                  <c:v>369.14847298502383</c:v>
                </c:pt>
                <c:pt idx="50">
                  <c:v>285.89441593904411</c:v>
                </c:pt>
                <c:pt idx="51">
                  <c:v>302.88566086690889</c:v>
                </c:pt>
                <c:pt idx="52">
                  <c:v>319.85570298158433</c:v>
                </c:pt>
                <c:pt idx="53">
                  <c:v>336.80582532791021</c:v>
                </c:pt>
                <c:pt idx="54">
                  <c:v>353.7371712740657</c:v>
                </c:pt>
                <c:pt idx="55">
                  <c:v>370.650765814566</c:v>
                </c:pt>
                <c:pt idx="56">
                  <c:v>387.54753278046701</c:v>
                </c:pt>
                <c:pt idx="57">
                  <c:v>324.84229047858202</c:v>
                </c:pt>
                <c:pt idx="58">
                  <c:v>341.43839219104871</c:v>
                </c:pt>
                <c:pt idx="59">
                  <c:v>358.01676189115318</c:v>
                </c:pt>
                <c:pt idx="60">
                  <c:v>374.57833607948623</c:v>
                </c:pt>
                <c:pt idx="61">
                  <c:v>391.12396169935806</c:v>
                </c:pt>
                <c:pt idx="62">
                  <c:v>407.6544082061323</c:v>
                </c:pt>
                <c:pt idx="63">
                  <c:v>424.17037757659017</c:v>
                </c:pt>
                <c:pt idx="64">
                  <c:v>361.34408218599697</c:v>
                </c:pt>
                <c:pt idx="65">
                  <c:v>377.35815934709927</c:v>
                </c:pt>
                <c:pt idx="66">
                  <c:v>393.35744559771814</c:v>
                </c:pt>
                <c:pt idx="67">
                  <c:v>409.34262709633504</c:v>
                </c:pt>
                <c:pt idx="68">
                  <c:v>425.31433205072511</c:v>
                </c:pt>
                <c:pt idx="69">
                  <c:v>441.27313764989566</c:v>
                </c:pt>
                <c:pt idx="70">
                  <c:v>457.21957594103316</c:v>
                </c:pt>
                <c:pt idx="71">
                  <c:v>473.15413884394314</c:v>
                </c:pt>
                <c:pt idx="72">
                  <c:v>397.90541663949875</c:v>
                </c:pt>
                <c:pt idx="73">
                  <c:v>412.95607714276122</c:v>
                </c:pt>
                <c:pt idx="74">
                  <c:v>427.99490547956322</c:v>
                </c:pt>
                <c:pt idx="75">
                  <c:v>443.02237586841375</c:v>
                </c:pt>
                <c:pt idx="76">
                  <c:v>458.03892773940169</c:v>
                </c:pt>
                <c:pt idx="77">
                  <c:v>473.0449693668516</c:v>
                </c:pt>
                <c:pt idx="78">
                  <c:v>488.04088101709573</c:v>
                </c:pt>
                <c:pt idx="79">
                  <c:v>503.02701768929575</c:v>
                </c:pt>
                <c:pt idx="80">
                  <c:v>429.78258246574592</c:v>
                </c:pt>
                <c:pt idx="81">
                  <c:v>443.91184644806668</c:v>
                </c:pt>
                <c:pt idx="82">
                  <c:v>458.03147922778635</c:v>
                </c:pt>
                <c:pt idx="83">
                  <c:v>472.141819469442</c:v>
                </c:pt>
                <c:pt idx="84">
                  <c:v>486.24318394824201</c:v>
                </c:pt>
                <c:pt idx="85">
                  <c:v>500.33586957190164</c:v>
                </c:pt>
                <c:pt idx="86">
                  <c:v>514.42015516287267</c:v>
                </c:pt>
                <c:pt idx="87">
                  <c:v>528.49630303527977</c:v>
                </c:pt>
                <c:pt idx="88">
                  <c:v>453.66372147844731</c:v>
                </c:pt>
                <c:pt idx="89">
                  <c:v>466.73207202169948</c:v>
                </c:pt>
                <c:pt idx="90">
                  <c:v>479.79262513581756</c:v>
                </c:pt>
                <c:pt idx="91">
                  <c:v>492.84562295362815</c:v>
                </c:pt>
                <c:pt idx="92">
                  <c:v>505.89129373820555</c:v>
                </c:pt>
                <c:pt idx="93">
                  <c:v>518.92985302204045</c:v>
                </c:pt>
                <c:pt idx="94">
                  <c:v>531.96150462578419</c:v>
                </c:pt>
                <c:pt idx="95">
                  <c:v>544.98644157199533</c:v>
                </c:pt>
                <c:pt idx="96">
                  <c:v>286.04163182227154</c:v>
                </c:pt>
                <c:pt idx="97">
                  <c:v>294.78943542966084</c:v>
                </c:pt>
                <c:pt idx="98">
                  <c:v>303.53144827169496</c:v>
                </c:pt>
                <c:pt idx="99">
                  <c:v>312.26786078543915</c:v>
                </c:pt>
                <c:pt idx="100">
                  <c:v>320.99885187362952</c:v>
                </c:pt>
                <c:pt idx="101">
                  <c:v>329.72458990487462</c:v>
                </c:pt>
                <c:pt idx="102">
                  <c:v>338.44523360238071</c:v>
                </c:pt>
                <c:pt idx="103">
                  <c:v>347.1609328362394</c:v>
                </c:pt>
                <c:pt idx="104">
                  <c:v>355.87182933195271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10.495914600946456</c:v>
                </c:pt>
                <c:pt idx="2">
                  <c:v>20.536591553027268</c:v>
                </c:pt>
                <c:pt idx="3">
                  <c:v>30.430249596024947</c:v>
                </c:pt>
                <c:pt idx="4">
                  <c:v>40.233281762711115</c:v>
                </c:pt>
                <c:pt idx="5">
                  <c:v>49.971247224223738</c:v>
                </c:pt>
                <c:pt idx="6">
                  <c:v>59.658725998905084</c:v>
                </c:pt>
                <c:pt idx="7">
                  <c:v>69.305117260835843</c:v>
                </c:pt>
                <c:pt idx="8">
                  <c:v>78.916967905842299</c:v>
                </c:pt>
                <c:pt idx="9">
                  <c:v>88.499089985640069</c:v>
                </c:pt>
                <c:pt idx="10">
                  <c:v>98.055163473865392</c:v>
                </c:pt>
                <c:pt idx="11">
                  <c:v>107.5880897593795</c:v>
                </c:pt>
                <c:pt idx="12">
                  <c:v>117.10021244868334</c:v>
                </c:pt>
                <c:pt idx="13">
                  <c:v>126.59346227347247</c:v>
                </c:pt>
                <c:pt idx="14">
                  <c:v>136.06945605626098</c:v>
                </c:pt>
                <c:pt idx="15">
                  <c:v>145.52956655680546</c:v>
                </c:pt>
                <c:pt idx="16">
                  <c:v>154.97497314511395</c:v>
                </c:pt>
                <c:pt idx="17">
                  <c:v>164.40669943766758</c:v>
                </c:pt>
                <c:pt idx="18">
                  <c:v>173.82564182255655</c:v>
                </c:pt>
                <c:pt idx="19">
                  <c:v>183.2325914639662</c:v>
                </c:pt>
                <c:pt idx="20">
                  <c:v>192.62825154198376</c:v>
                </c:pt>
                <c:pt idx="21">
                  <c:v>202.01325094645912</c:v>
                </c:pt>
                <c:pt idx="22">
                  <c:v>211.38815528860701</c:v>
                </c:pt>
                <c:pt idx="23">
                  <c:v>220.75347585390514</c:v>
                </c:pt>
                <c:pt idx="24">
                  <c:v>230.10967695403167</c:v>
                </c:pt>
                <c:pt idx="25">
                  <c:v>239.45718201895295</c:v>
                </c:pt>
                <c:pt idx="26">
                  <c:v>248.79637868683847</c:v>
                </c:pt>
                <c:pt idx="27">
                  <c:v>258.12762308888836</c:v>
                </c:pt>
                <c:pt idx="28">
                  <c:v>267.45124348152473</c:v>
                </c:pt>
                <c:pt idx="29">
                  <c:v>276.76754334511838</c:v>
                </c:pt>
                <c:pt idx="30">
                  <c:v>286.0768040432971</c:v>
                </c:pt>
                <c:pt idx="31">
                  <c:v>295.37928711771832</c:v>
                </c:pt>
                <c:pt idx="32">
                  <c:v>304.67523627842485</c:v>
                </c:pt>
                <c:pt idx="33">
                  <c:v>313.96487913841696</c:v>
                </c:pt>
                <c:pt idx="34">
                  <c:v>323.24842873206597</c:v>
                </c:pt>
                <c:pt idx="35">
                  <c:v>332.52608484987087</c:v>
                </c:pt>
                <c:pt idx="36">
                  <c:v>341.79803521638428</c:v>
                </c:pt>
                <c:pt idx="37">
                  <c:v>351.06445653357815</c:v>
                </c:pt>
                <c:pt idx="38">
                  <c:v>360.32551540824034</c:v>
                </c:pt>
                <c:pt idx="39">
                  <c:v>213.50127833879239</c:v>
                </c:pt>
                <c:pt idx="40">
                  <c:v>235.49547945688153</c:v>
                </c:pt>
                <c:pt idx="41">
                  <c:v>257.44282245786923</c:v>
                </c:pt>
                <c:pt idx="42">
                  <c:v>279.34786285285406</c:v>
                </c:pt>
                <c:pt idx="43">
                  <c:v>301.21438304117049</c:v>
                </c:pt>
                <c:pt idx="44">
                  <c:v>323.04557132099541</c:v>
                </c:pt>
                <c:pt idx="45">
                  <c:v>344.84414989889228</c:v>
                </c:pt>
                <c:pt idx="46">
                  <c:v>271.36385973468253</c:v>
                </c:pt>
                <c:pt idx="47">
                  <c:v>293.28934999254369</c:v>
                </c:pt>
                <c:pt idx="48">
                  <c:v>315.17826054375689</c:v>
                </c:pt>
                <c:pt idx="49">
                  <c:v>337.03348776998268</c:v>
                </c:pt>
                <c:pt idx="50">
                  <c:v>358.85752180646858</c:v>
                </c:pt>
                <c:pt idx="51">
                  <c:v>380.65252527806433</c:v>
                </c:pt>
                <c:pt idx="52">
                  <c:v>402.42039304842905</c:v>
                </c:pt>
                <c:pt idx="53">
                  <c:v>324.34999789708723</c:v>
                </c:pt>
                <c:pt idx="54">
                  <c:v>345.65695644221296</c:v>
                </c:pt>
                <c:pt idx="55">
                  <c:v>366.93507966212161</c:v>
                </c:pt>
                <c:pt idx="56">
                  <c:v>388.18627384920961</c:v>
                </c:pt>
                <c:pt idx="57">
                  <c:v>409.41221963287518</c:v>
                </c:pt>
                <c:pt idx="58">
                  <c:v>430.61440924795266</c:v>
                </c:pt>
                <c:pt idx="59">
                  <c:v>451.79417607931731</c:v>
                </c:pt>
                <c:pt idx="60">
                  <c:v>380.18459192485398</c:v>
                </c:pt>
                <c:pt idx="61">
                  <c:v>400.91784732667907</c:v>
                </c:pt>
                <c:pt idx="62">
                  <c:v>421.6279079194257</c:v>
                </c:pt>
                <c:pt idx="63">
                  <c:v>442.31607253169392</c:v>
                </c:pt>
                <c:pt idx="64">
                  <c:v>462.9835086537052</c:v>
                </c:pt>
                <c:pt idx="65">
                  <c:v>483.63127110791817</c:v>
                </c:pt>
                <c:pt idx="66">
                  <c:v>504.2603173657667</c:v>
                </c:pt>
                <c:pt idx="67">
                  <c:v>524.87152022823045</c:v>
                </c:pt>
                <c:pt idx="68">
                  <c:v>452.90310032706998</c:v>
                </c:pt>
                <c:pt idx="69">
                  <c:v>473.21922675427021</c:v>
                </c:pt>
                <c:pt idx="70">
                  <c:v>493.51679435844017</c:v>
                </c:pt>
                <c:pt idx="71">
                  <c:v>513.7966732660974</c:v>
                </c:pt>
                <c:pt idx="72">
                  <c:v>534.05965936395341</c:v>
                </c:pt>
                <c:pt idx="73">
                  <c:v>554.30648326668563</c:v>
                </c:pt>
                <c:pt idx="74">
                  <c:v>574.53781790694256</c:v>
                </c:pt>
                <c:pt idx="75">
                  <c:v>594.75428500126179</c:v>
                </c:pt>
                <c:pt idx="76">
                  <c:v>520.87117028995817</c:v>
                </c:pt>
                <c:pt idx="77">
                  <c:v>540.64981899462646</c:v>
                </c:pt>
                <c:pt idx="78">
                  <c:v>560.41327516591014</c:v>
                </c:pt>
                <c:pt idx="79">
                  <c:v>580.16214955310727</c:v>
                </c:pt>
                <c:pt idx="80">
                  <c:v>599.8970079697184</c:v>
                </c:pt>
                <c:pt idx="81">
                  <c:v>619.61837599902537</c:v>
                </c:pt>
                <c:pt idx="82">
                  <c:v>639.32674306984711</c:v>
                </c:pt>
                <c:pt idx="83">
                  <c:v>659.02256600397209</c:v>
                </c:pt>
                <c:pt idx="84">
                  <c:v>572.00453998216801</c:v>
                </c:pt>
                <c:pt idx="85">
                  <c:v>591.21151663679234</c:v>
                </c:pt>
                <c:pt idx="86">
                  <c:v>610.40550818134068</c:v>
                </c:pt>
                <c:pt idx="87">
                  <c:v>629.58698005922929</c:v>
                </c:pt>
                <c:pt idx="88">
                  <c:v>648.75636706551234</c:v>
                </c:pt>
                <c:pt idx="89">
                  <c:v>667.9140762293124</c:v>
                </c:pt>
                <c:pt idx="90">
                  <c:v>687.06048934861838</c:v>
                </c:pt>
                <c:pt idx="91">
                  <c:v>706.19596522808445</c:v>
                </c:pt>
                <c:pt idx="92">
                  <c:v>725.32084166189134</c:v>
                </c:pt>
                <c:pt idx="93">
                  <c:v>744.43543719679974</c:v>
                </c:pt>
                <c:pt idx="94">
                  <c:v>620.89584783528642</c:v>
                </c:pt>
                <c:pt idx="95">
                  <c:v>639.40833476843352</c:v>
                </c:pt>
                <c:pt idx="96">
                  <c:v>657.90975507646624</c:v>
                </c:pt>
                <c:pt idx="97">
                  <c:v>676.40046351418346</c:v>
                </c:pt>
                <c:pt idx="98">
                  <c:v>694.88079387703544</c:v>
                </c:pt>
                <c:pt idx="99">
                  <c:v>713.35106077521505</c:v>
                </c:pt>
                <c:pt idx="100">
                  <c:v>731.81156121461538</c:v>
                </c:pt>
                <c:pt idx="101">
                  <c:v>750.26257601012458</c:v>
                </c:pt>
                <c:pt idx="102">
                  <c:v>768.70437105279825</c:v>
                </c:pt>
                <c:pt idx="103">
                  <c:v>787.13719844923332</c:v>
                </c:pt>
                <c:pt idx="104">
                  <c:v>663.81152921105115</c:v>
                </c:pt>
                <c:pt idx="105">
                  <c:v>681.68776545036246</c:v>
                </c:pt>
                <c:pt idx="106">
                  <c:v>699.55438457677576</c:v>
                </c:pt>
                <c:pt idx="107">
                  <c:v>717.41166657831081</c:v>
                </c:pt>
                <c:pt idx="108">
                  <c:v>735.25987638122672</c:v>
                </c:pt>
                <c:pt idx="109">
                  <c:v>753.09926501363407</c:v>
                </c:pt>
                <c:pt idx="110">
                  <c:v>770.93007065322729</c:v>
                </c:pt>
                <c:pt idx="111">
                  <c:v>788.75251957314379</c:v>
                </c:pt>
                <c:pt idx="112">
                  <c:v>806.56682699797432</c:v>
                </c:pt>
                <c:pt idx="113">
                  <c:v>824.37319788029902</c:v>
                </c:pt>
                <c:pt idx="114">
                  <c:v>699.72445191130601</c:v>
                </c:pt>
                <c:pt idx="115">
                  <c:v>717.42603109430399</c:v>
                </c:pt>
                <c:pt idx="116">
                  <c:v>735.11869577115021</c:v>
                </c:pt>
                <c:pt idx="117">
                  <c:v>752.80269050667005</c:v>
                </c:pt>
                <c:pt idx="118">
                  <c:v>770.47824745018033</c:v>
                </c:pt>
                <c:pt idx="119">
                  <c:v>788.14558724191909</c:v>
                </c:pt>
                <c:pt idx="120">
                  <c:v>805.80491983405545</c:v>
                </c:pt>
                <c:pt idx="121">
                  <c:v>823.45644523606632</c:v>
                </c:pt>
                <c:pt idx="122">
                  <c:v>841.10035419294536</c:v>
                </c:pt>
                <c:pt idx="123">
                  <c:v>858.73682880361514</c:v>
                </c:pt>
                <c:pt idx="124">
                  <c:v>447.88981492516928</c:v>
                </c:pt>
                <c:pt idx="125">
                  <c:v>457.76415870906311</c:v>
                </c:pt>
                <c:pt idx="126">
                  <c:v>317.29426302228302</c:v>
                </c:pt>
                <c:pt idx="127">
                  <c:v>324.08912187611941</c:v>
                </c:pt>
                <c:pt idx="128">
                  <c:v>232.47742498139635</c:v>
                </c:pt>
                <c:pt idx="129">
                  <c:v>237.54594398294546</c:v>
                </c:pt>
                <c:pt idx="130">
                  <c:v>242.61199810685775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J14" sqref="J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8.44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0.23699999999999999</v>
      </c>
      <c r="D9" s="33">
        <f t="shared" ref="D9:D18" si="0">C9*$C$5</f>
        <v>2.0002799999999996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0.34100000000000003</v>
      </c>
      <c r="D10" s="33">
        <f t="shared" si="0"/>
        <v>2.8780399999999999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138</v>
      </c>
      <c r="C11" s="32">
        <v>0.23699999999999999</v>
      </c>
      <c r="D11" s="33">
        <f t="shared" si="0"/>
        <v>2.0002799999999996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164</v>
      </c>
      <c r="C12" s="32">
        <v>0.104</v>
      </c>
      <c r="D12" s="33">
        <f t="shared" si="0"/>
        <v>0.87775999999999987</v>
      </c>
      <c r="E12" s="34">
        <v>105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</v>
      </c>
      <c r="C13" s="32">
        <v>5.1999999999999998E-2</v>
      </c>
      <c r="D13" s="33">
        <f t="shared" si="0"/>
        <v>0.43887999999999994</v>
      </c>
      <c r="E13" s="34">
        <v>130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G14" s="23" t="s">
        <v>326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0.97100000000000009</v>
      </c>
      <c r="D19" s="38">
        <f>SUM(D9:D18)</f>
        <v>8.1952399999999983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v>122.32</v>
      </c>
      <c r="C36" s="60">
        <v>1</v>
      </c>
      <c r="D36" s="60">
        <v>40.76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7.1952941176470588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23</v>
      </c>
      <c r="B37" s="60">
        <v>187.68</v>
      </c>
      <c r="C37" s="60">
        <v>2</v>
      </c>
      <c r="D37" s="60">
        <v>57.75</v>
      </c>
      <c r="E37" s="51">
        <v>0.1</v>
      </c>
      <c r="F37" s="51">
        <v>0.8</v>
      </c>
      <c r="G37" s="51">
        <v>0</v>
      </c>
      <c r="H37" s="51">
        <v>0.1</v>
      </c>
      <c r="I37" s="53">
        <f t="shared" ref="I37:I55" si="1">IF(A37&lt;&gt;0,(B37-(B36-D36))/(A37-A36),"")</f>
        <v>17.686666666666667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29</v>
      </c>
      <c r="B38" s="60">
        <v>241.61</v>
      </c>
      <c r="C38" s="60">
        <v>3</v>
      </c>
      <c r="D38" s="60">
        <v>54.64</v>
      </c>
      <c r="E38" s="51">
        <v>0.1</v>
      </c>
      <c r="F38" s="51">
        <v>0.8</v>
      </c>
      <c r="G38" s="51">
        <v>0</v>
      </c>
      <c r="H38" s="51">
        <v>0.1</v>
      </c>
      <c r="I38" s="53">
        <f t="shared" si="1"/>
        <v>18.613333333333333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36</v>
      </c>
      <c r="B39" s="60">
        <v>311.13</v>
      </c>
      <c r="C39" s="60">
        <v>4</v>
      </c>
      <c r="D39" s="60">
        <v>76.069999999999993</v>
      </c>
      <c r="E39" s="51">
        <v>0.3</v>
      </c>
      <c r="F39" s="51">
        <v>0.5</v>
      </c>
      <c r="G39" s="51">
        <v>0</v>
      </c>
      <c r="H39" s="51">
        <v>0.2</v>
      </c>
      <c r="I39" s="49">
        <f t="shared" si="1"/>
        <v>17.737142857142853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44</v>
      </c>
      <c r="B40" s="60">
        <v>367.35</v>
      </c>
      <c r="C40" s="60">
        <v>5</v>
      </c>
      <c r="D40" s="60">
        <v>77.91</v>
      </c>
      <c r="E40" s="51">
        <v>0.3</v>
      </c>
      <c r="F40" s="51">
        <v>0.5</v>
      </c>
      <c r="G40" s="51">
        <v>0</v>
      </c>
      <c r="H40" s="51">
        <v>0.2</v>
      </c>
      <c r="I40" s="49">
        <f t="shared" si="1"/>
        <v>16.536250000000003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52</v>
      </c>
      <c r="B41" s="60">
        <v>406.59</v>
      </c>
      <c r="C41" s="60">
        <v>6</v>
      </c>
      <c r="D41" s="60">
        <v>75.37</v>
      </c>
      <c r="E41" s="51">
        <v>0.7</v>
      </c>
      <c r="F41" s="51">
        <v>0.3</v>
      </c>
      <c r="G41" s="51">
        <v>0</v>
      </c>
      <c r="H41" s="51">
        <v>0</v>
      </c>
      <c r="I41" s="53">
        <f t="shared" si="1"/>
        <v>14.64374999999999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60</v>
      </c>
      <c r="B42" s="60">
        <v>436.34</v>
      </c>
      <c r="C42" s="60">
        <v>7</v>
      </c>
      <c r="D42" s="60">
        <v>436.34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13.14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22</v>
      </c>
      <c r="B62" s="60">
        <v>129.07</v>
      </c>
      <c r="C62" s="60">
        <v>1</v>
      </c>
      <c r="D62" s="60">
        <v>52.41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5.8668181818181813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27</v>
      </c>
      <c r="B63" s="60">
        <v>155.49</v>
      </c>
      <c r="C63" s="60">
        <v>2</v>
      </c>
      <c r="D63" s="60">
        <v>37.840000000000003</v>
      </c>
      <c r="E63" s="51">
        <v>0.1</v>
      </c>
      <c r="F63" s="51">
        <v>0.8</v>
      </c>
      <c r="G63" s="51">
        <v>0</v>
      </c>
      <c r="H63" s="51">
        <v>0.1</v>
      </c>
      <c r="I63" s="49">
        <f>IF(A63&lt;&gt;0,(B63-(B62-D62))/(A63-A62),"")</f>
        <v>15.766000000000002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33</v>
      </c>
      <c r="B64" s="60">
        <v>217.34</v>
      </c>
      <c r="C64" s="60">
        <v>3</v>
      </c>
      <c r="D64" s="60">
        <v>50.41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16.614999999999998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41</v>
      </c>
      <c r="B65" s="60">
        <v>300.54000000000002</v>
      </c>
      <c r="C65" s="60">
        <v>4</v>
      </c>
      <c r="D65" s="60">
        <v>72.13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16.701250000000002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50</v>
      </c>
      <c r="B66" s="60">
        <v>369.94</v>
      </c>
      <c r="C66" s="60">
        <v>5</v>
      </c>
      <c r="D66" s="60">
        <v>70.2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15.725555555555552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440.94</v>
      </c>
      <c r="C67" s="60">
        <v>6</v>
      </c>
      <c r="D67" s="60">
        <v>69.849999999999994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14.12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70</v>
      </c>
      <c r="B68" s="60">
        <v>490.06</v>
      </c>
      <c r="C68" s="60">
        <v>7</v>
      </c>
      <c r="D68" s="60">
        <v>67.88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50">
        <v>520</v>
      </c>
      <c r="C69" s="50">
        <v>8</v>
      </c>
      <c r="D69" s="50">
        <v>520</v>
      </c>
      <c r="E69" s="51">
        <v>0.7</v>
      </c>
      <c r="F69" s="51">
        <v>0.3</v>
      </c>
      <c r="G69" s="51">
        <v>0</v>
      </c>
      <c r="H69" s="51">
        <v>0</v>
      </c>
      <c r="I69" s="49">
        <f t="shared" si="2"/>
        <v>9.782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taeda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22</v>
      </c>
      <c r="B88" s="60">
        <v>129.07</v>
      </c>
      <c r="C88" s="60">
        <v>1</v>
      </c>
      <c r="D88" s="60">
        <v>52.41</v>
      </c>
      <c r="E88" s="51">
        <v>0.1</v>
      </c>
      <c r="F88" s="51">
        <v>0.8</v>
      </c>
      <c r="G88" s="51">
        <v>0</v>
      </c>
      <c r="H88" s="87">
        <v>0.1</v>
      </c>
      <c r="I88" s="53">
        <f>IFERROR(B88/A88,"")</f>
        <v>5.8668181818181813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27</v>
      </c>
      <c r="B89" s="60">
        <v>155.49</v>
      </c>
      <c r="C89" s="60">
        <v>2</v>
      </c>
      <c r="D89" s="60">
        <v>37.840000000000003</v>
      </c>
      <c r="E89" s="51">
        <v>0.1</v>
      </c>
      <c r="F89" s="51">
        <v>0.8</v>
      </c>
      <c r="G89" s="51">
        <v>0</v>
      </c>
      <c r="H89" s="87">
        <v>0.1</v>
      </c>
      <c r="I89" s="53">
        <f t="shared" ref="I89:I107" si="3">IF(A89&lt;&gt;0,(B89-(B88-D88))/(A89-A88),"")</f>
        <v>15.766000000000002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33</v>
      </c>
      <c r="B90" s="60">
        <v>217.34</v>
      </c>
      <c r="C90" s="60">
        <v>3</v>
      </c>
      <c r="D90" s="60">
        <v>50.41</v>
      </c>
      <c r="E90" s="87">
        <v>0.3</v>
      </c>
      <c r="F90" s="87">
        <v>0.5</v>
      </c>
      <c r="G90" s="87">
        <v>0</v>
      </c>
      <c r="H90" s="87">
        <v>0.2</v>
      </c>
      <c r="I90" s="53">
        <f t="shared" si="3"/>
        <v>16.614999999999998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41</v>
      </c>
      <c r="B91" s="60">
        <v>300.54000000000002</v>
      </c>
      <c r="C91" s="60">
        <v>4</v>
      </c>
      <c r="D91" s="60">
        <v>72.13</v>
      </c>
      <c r="E91" s="87">
        <v>0.3</v>
      </c>
      <c r="F91" s="87">
        <v>0.5</v>
      </c>
      <c r="G91" s="87">
        <v>0</v>
      </c>
      <c r="H91" s="87">
        <v>0.2</v>
      </c>
      <c r="I91" s="53">
        <f t="shared" si="3"/>
        <v>16.701250000000002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369.94</v>
      </c>
      <c r="C92" s="60">
        <v>5</v>
      </c>
      <c r="D92" s="60">
        <v>70.2</v>
      </c>
      <c r="E92" s="87">
        <v>0.7</v>
      </c>
      <c r="F92" s="87">
        <v>0.3</v>
      </c>
      <c r="G92" s="87">
        <v>0</v>
      </c>
      <c r="H92" s="87">
        <v>0</v>
      </c>
      <c r="I92" s="53">
        <f t="shared" si="3"/>
        <v>15.725555555555552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440.94</v>
      </c>
      <c r="C93" s="60">
        <v>6</v>
      </c>
      <c r="D93" s="60">
        <v>69.849999999999994</v>
      </c>
      <c r="E93" s="87">
        <v>0.7</v>
      </c>
      <c r="F93" s="87">
        <v>0.3</v>
      </c>
      <c r="G93" s="87">
        <v>0</v>
      </c>
      <c r="H93" s="87">
        <v>0</v>
      </c>
      <c r="I93" s="53">
        <f t="shared" si="3"/>
        <v>14.12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490.06</v>
      </c>
      <c r="C94" s="60">
        <v>7</v>
      </c>
      <c r="D94" s="60">
        <v>67.88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11.896999999999997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v>520</v>
      </c>
      <c r="C95" s="60">
        <v>8</v>
      </c>
      <c r="D95" s="60">
        <v>520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9.782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416.76</v>
      </c>
      <c r="C114" s="50">
        <v>1</v>
      </c>
      <c r="D114" s="60">
        <v>182.39</v>
      </c>
      <c r="E114" s="51">
        <v>0.5</v>
      </c>
      <c r="F114" s="51">
        <v>0.5</v>
      </c>
      <c r="G114" s="51">
        <v>0</v>
      </c>
      <c r="H114" s="51">
        <v>0</v>
      </c>
      <c r="I114" s="53">
        <f>IFERROR(B114/A114,"")</f>
        <v>9.9228571428571435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49</v>
      </c>
      <c r="B115" s="60">
        <v>361.26</v>
      </c>
      <c r="C115" s="50">
        <v>2</v>
      </c>
      <c r="D115" s="60">
        <v>100.16</v>
      </c>
      <c r="E115" s="51">
        <v>0.5</v>
      </c>
      <c r="F115" s="51">
        <v>0.5</v>
      </c>
      <c r="G115" s="51">
        <v>0</v>
      </c>
      <c r="H115" s="51">
        <v>0</v>
      </c>
      <c r="I115" s="53">
        <f t="shared" ref="I115:I133" si="4">IF(A115&lt;&gt;0,(B115-(B114-D114))/(A115-A114),"")</f>
        <v>18.127142857142854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56</v>
      </c>
      <c r="B116" s="60">
        <v>379.71</v>
      </c>
      <c r="C116" s="50">
        <v>3</v>
      </c>
      <c r="D116" s="60">
        <v>79.39</v>
      </c>
      <c r="E116" s="51">
        <v>0.7</v>
      </c>
      <c r="F116" s="51">
        <v>0.3</v>
      </c>
      <c r="G116" s="51">
        <v>0</v>
      </c>
      <c r="H116" s="51">
        <v>0</v>
      </c>
      <c r="I116" s="53">
        <f t="shared" si="4"/>
        <v>16.944285714285709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63</v>
      </c>
      <c r="B117" s="60">
        <v>416.49</v>
      </c>
      <c r="C117" s="50">
        <v>4</v>
      </c>
      <c r="D117" s="60">
        <v>79.099999999999994</v>
      </c>
      <c r="E117" s="51">
        <v>0.7</v>
      </c>
      <c r="F117" s="51">
        <v>0.3</v>
      </c>
      <c r="G117" s="51">
        <v>0</v>
      </c>
      <c r="H117" s="51">
        <v>0</v>
      </c>
      <c r="I117" s="53">
        <f t="shared" si="4"/>
        <v>16.595714285714287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71</v>
      </c>
      <c r="B118" s="60">
        <v>465.79</v>
      </c>
      <c r="C118" s="50">
        <v>5</v>
      </c>
      <c r="D118" s="60">
        <v>90.8</v>
      </c>
      <c r="E118" s="51">
        <v>0.7</v>
      </c>
      <c r="F118" s="51">
        <v>0.3</v>
      </c>
      <c r="G118" s="51">
        <v>0</v>
      </c>
      <c r="H118" s="51">
        <v>0</v>
      </c>
      <c r="I118" s="53">
        <f t="shared" si="4"/>
        <v>16.050000000000004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79</v>
      </c>
      <c r="B119" s="60">
        <v>495.91</v>
      </c>
      <c r="C119" s="50">
        <v>6</v>
      </c>
      <c r="D119" s="60">
        <v>87.99</v>
      </c>
      <c r="E119" s="51">
        <v>0.7</v>
      </c>
      <c r="F119" s="51">
        <v>0.3</v>
      </c>
      <c r="G119" s="51">
        <v>0</v>
      </c>
      <c r="H119" s="51">
        <v>0</v>
      </c>
      <c r="I119" s="53">
        <f t="shared" si="4"/>
        <v>15.115000000000002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87</v>
      </c>
      <c r="B120" s="60">
        <v>521.62</v>
      </c>
      <c r="C120" s="60">
        <v>7</v>
      </c>
      <c r="D120" s="60">
        <v>88.62</v>
      </c>
      <c r="E120" s="87">
        <v>0.7</v>
      </c>
      <c r="F120" s="87">
        <v>0.3</v>
      </c>
      <c r="G120" s="87">
        <v>0</v>
      </c>
      <c r="H120" s="87">
        <v>0</v>
      </c>
      <c r="I120" s="53">
        <f t="shared" si="4"/>
        <v>14.212499999999999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95</v>
      </c>
      <c r="B121" s="60">
        <v>538.28</v>
      </c>
      <c r="C121" s="60">
        <v>8</v>
      </c>
      <c r="D121" s="60">
        <v>268.81</v>
      </c>
      <c r="E121" s="87">
        <v>0.7</v>
      </c>
      <c r="F121" s="87">
        <v>0.3</v>
      </c>
      <c r="G121" s="87">
        <v>0</v>
      </c>
      <c r="H121" s="87">
        <v>0</v>
      </c>
      <c r="I121" s="53">
        <f t="shared" si="4"/>
        <v>13.159999999999997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105</v>
      </c>
      <c r="B122" s="60">
        <v>356.68</v>
      </c>
      <c r="C122" s="60">
        <v>9</v>
      </c>
      <c r="D122" s="60">
        <v>356.68</v>
      </c>
      <c r="E122" s="87">
        <v>0.7</v>
      </c>
      <c r="F122" s="87">
        <v>0.3</v>
      </c>
      <c r="G122" s="87">
        <v>0</v>
      </c>
      <c r="H122" s="87">
        <v>0</v>
      </c>
      <c r="I122" s="53">
        <f t="shared" si="4"/>
        <v>8.7210000000000036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38</v>
      </c>
      <c r="B140" s="60">
        <v>144.83000000000001</v>
      </c>
      <c r="C140" s="50">
        <v>1</v>
      </c>
      <c r="D140" s="60">
        <v>69.08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3.8113157894736847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45</v>
      </c>
      <c r="B141" s="60">
        <v>138.46</v>
      </c>
      <c r="C141" s="50">
        <v>2</v>
      </c>
      <c r="D141" s="60">
        <v>39.119999999999997</v>
      </c>
      <c r="E141" s="51">
        <v>0.3</v>
      </c>
      <c r="F141" s="51">
        <v>0</v>
      </c>
      <c r="G141" s="51">
        <v>0</v>
      </c>
      <c r="H141" s="51">
        <v>0.7</v>
      </c>
      <c r="I141" s="57">
        <f t="shared" ref="I141:I159" si="5">IF(A141&lt;&gt;0,(B141-(B140-D140))/(A141-A140),"")</f>
        <v>8.9585714285714282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52</v>
      </c>
      <c r="B142" s="60">
        <v>162.18</v>
      </c>
      <c r="C142" s="50">
        <v>3</v>
      </c>
      <c r="D142" s="60">
        <v>40.9</v>
      </c>
      <c r="E142" s="51">
        <v>0.3</v>
      </c>
      <c r="F142" s="51">
        <v>0</v>
      </c>
      <c r="G142" s="51">
        <v>0</v>
      </c>
      <c r="H142" s="51">
        <v>0.7</v>
      </c>
      <c r="I142" s="57">
        <f t="shared" si="5"/>
        <v>8.9771428571428569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59</v>
      </c>
      <c r="B143" s="60">
        <v>182.58</v>
      </c>
      <c r="C143" s="50">
        <v>4</v>
      </c>
      <c r="D143" s="60">
        <v>38.119999999999997</v>
      </c>
      <c r="E143" s="51">
        <v>0.3</v>
      </c>
      <c r="F143" s="51">
        <v>0</v>
      </c>
      <c r="G143" s="51">
        <v>0</v>
      </c>
      <c r="H143" s="51">
        <v>0.7</v>
      </c>
      <c r="I143" s="57">
        <f t="shared" si="5"/>
        <v>8.757142857142858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67</v>
      </c>
      <c r="B144" s="60">
        <v>212.86</v>
      </c>
      <c r="C144" s="50">
        <v>5</v>
      </c>
      <c r="D144" s="60">
        <v>38.229999999999997</v>
      </c>
      <c r="E144" s="51">
        <v>0.6</v>
      </c>
      <c r="F144" s="51">
        <v>0</v>
      </c>
      <c r="G144" s="51">
        <v>0</v>
      </c>
      <c r="H144" s="51">
        <v>0.4</v>
      </c>
      <c r="I144" s="57">
        <f t="shared" si="5"/>
        <v>8.5500000000000007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75</v>
      </c>
      <c r="B145" s="60">
        <v>241.9</v>
      </c>
      <c r="C145" s="50">
        <v>6</v>
      </c>
      <c r="D145" s="60">
        <v>38.909999999999997</v>
      </c>
      <c r="E145" s="51">
        <v>0.6</v>
      </c>
      <c r="F145" s="51">
        <v>0</v>
      </c>
      <c r="G145" s="51">
        <v>0</v>
      </c>
      <c r="H145" s="51">
        <v>0.4</v>
      </c>
      <c r="I145" s="57">
        <f t="shared" si="5"/>
        <v>8.4087499999999977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83</v>
      </c>
      <c r="B146" s="60">
        <v>268.67</v>
      </c>
      <c r="C146" s="50">
        <v>7</v>
      </c>
      <c r="D146" s="60">
        <v>44.22</v>
      </c>
      <c r="E146" s="51">
        <v>0.6</v>
      </c>
      <c r="F146" s="51">
        <v>0</v>
      </c>
      <c r="G146" s="51">
        <v>0</v>
      </c>
      <c r="H146" s="51">
        <v>0.4</v>
      </c>
      <c r="I146" s="57">
        <f t="shared" si="5"/>
        <v>8.2100000000000009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93</v>
      </c>
      <c r="B147" s="60">
        <v>304.33</v>
      </c>
      <c r="C147" s="50">
        <v>8</v>
      </c>
      <c r="D147" s="60">
        <v>59.26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7.9879999999999969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103</v>
      </c>
      <c r="B148" s="60">
        <v>322.19</v>
      </c>
      <c r="C148" s="50">
        <v>9</v>
      </c>
      <c r="D148" s="60">
        <v>58.98</v>
      </c>
      <c r="E148" s="51">
        <v>0.6</v>
      </c>
      <c r="F148" s="51">
        <v>0</v>
      </c>
      <c r="G148" s="51">
        <v>0</v>
      </c>
      <c r="H148" s="51">
        <v>0.4</v>
      </c>
      <c r="I148" s="57">
        <f t="shared" si="5"/>
        <v>7.7120000000000006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113</v>
      </c>
      <c r="B149" s="60">
        <v>337.78</v>
      </c>
      <c r="C149" s="50">
        <v>10</v>
      </c>
      <c r="D149" s="60">
        <v>59.52</v>
      </c>
      <c r="E149" s="51">
        <v>0.6</v>
      </c>
      <c r="F149" s="51">
        <v>0</v>
      </c>
      <c r="G149" s="51">
        <v>0</v>
      </c>
      <c r="H149" s="51">
        <v>0.4</v>
      </c>
      <c r="I149" s="57">
        <f t="shared" si="5"/>
        <v>7.456999999999999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123</v>
      </c>
      <c r="B150" s="60">
        <v>352.18</v>
      </c>
      <c r="C150" s="50">
        <v>11</v>
      </c>
      <c r="D150" s="60">
        <v>175.3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5"/>
        <v>7.3920000000000012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125</v>
      </c>
      <c r="B151" s="60">
        <v>185.05</v>
      </c>
      <c r="C151" s="50">
        <v>12</v>
      </c>
      <c r="D151" s="60">
        <v>60.7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4.085000000000008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127</v>
      </c>
      <c r="B152" s="60">
        <v>129.93</v>
      </c>
      <c r="C152" s="50">
        <v>13</v>
      </c>
      <c r="D152" s="60">
        <v>39.56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2.7899999999999991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130</v>
      </c>
      <c r="B153" s="60">
        <v>96.57</v>
      </c>
      <c r="C153" s="50">
        <v>14</v>
      </c>
      <c r="D153" s="60">
        <v>96.57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2.0666666666666629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activeCell="B3" sqref="B3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taeda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300.80663531652721</v>
      </c>
      <c r="T3" s="59">
        <f>IF('Données projet'!E9&gt;30,$R$33-$H$33,LOOKUP('Données projet'!$E$9,$A$3:$A$203,R3:R203)-LOOKUP('Données projet'!$E$9,$A$3:$A$203,$H$3:$H$203))</f>
        <v>306.01967513533549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349.5718186624772</v>
      </c>
      <c r="AO3" s="59">
        <f>IF('Données projet'!E10&gt;30,$AM$33-$H$33,LOOKUP('Données projet'!$E$10,$A$3:$A$203,AM3:AM203)-LOOKUP('Données projet'!$E$10,$A$3:$A$203,$H$3:$H$203))</f>
        <v>258.14152930815959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349.5718186624772</v>
      </c>
      <c r="BJ3" s="59">
        <f>IF('Données projet'!E11&gt;30,$BH$33-$H$33,LOOKUP('Données projet'!$E$11,$A$3:$A$203,BH3:BH203)-LOOKUP('Données projet'!$E$11,$A$3:$A$203,$H$3:$H$203))</f>
        <v>258.14152930815959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356.22620301934836</v>
      </c>
      <c r="CE3" s="59">
        <f>IF('Données projet'!E12&gt;30,$CC$33-$H$33,LOOKUP('Données projet'!$E$12,$A$3:$A$203,CC3:CC203)-LOOKUP('Données projet'!$E$12,$A$3:$A$203,$H$3:$H$203))</f>
        <v>342.25495410715513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473.48875234867705</v>
      </c>
      <c r="CZ3" s="59">
        <f>IF('Données projet'!E13&gt;30,$CX$33-$H$33,LOOKUP('Données projet'!$E$13,$A$3:$A$203,CX3:CX203)-LOOKUP('Données projet'!$E$13,$A$3:$A$203,$H$3:$H$203))</f>
        <v>322.74347070996379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7.1952941176470588</v>
      </c>
      <c r="N4" s="13">
        <f>IF('Données projet'!$A$36&gt;35,N3+M4-V3,IF(A4&lt;'Données projet'!$A$36,$K$205^A4,IF(A4='Données projet'!$A$36,'Données projet'!$B$36,N3+M4-V3)))</f>
        <v>1.3267648858502221</v>
      </c>
      <c r="O4" s="13">
        <f>N4*VLOOKUP('Données projet'!$B$9,Paramètres!$A$1:$I$89,3,0)*VLOOKUP('Données projet'!$B$9,Paramètres!$A$1:$I$89,5,0)</f>
        <v>0.79340540173843288</v>
      </c>
      <c r="P4" s="13">
        <f>EXP(-1.0587+0.8836*LN(O4)+0.284)</f>
        <v>0.37561764201183739</v>
      </c>
      <c r="Q4" s="20">
        <f t="shared" ref="Q4:Q34" si="2">(O4+P4)*0.475*44/12</f>
        <v>2.0360484678650539</v>
      </c>
      <c r="R4" s="59">
        <f t="shared" si="0"/>
        <v>259.9249373567539</v>
      </c>
      <c r="S4" s="59">
        <f ca="1">AVERAGE(OFFSET($R$3,0,0,'Données projet'!$E$9+1,1))-AVERAGE(OFFSET($H$3,0,0,'Données projet'!$E$9+1,1))</f>
        <v>300.80663531652721</v>
      </c>
      <c r="T4" s="59">
        <f>$T$3</f>
        <v>306.01967513533549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5.8668181818181813</v>
      </c>
      <c r="AI4" s="13">
        <f>IF('Données projet'!$A$62&gt;35,AI3+AH4-AQ3,IF(A4&lt;'Données projet'!$A$62,$AF$205^A4,IF(A4='Données projet'!$A$62,'Données projet'!$B$62,AI3+AH4-AQ3)))</f>
        <v>1.2472301622014093</v>
      </c>
      <c r="AJ4" s="13">
        <f>AI4*VLOOKUP('Données projet'!$B$10,Paramètres!$A$1:$I$89,3,0)*VLOOKUP('Données projet'!$B$10,Paramètres!$A$1:$I$89,5,0)</f>
        <v>0.74584363699644274</v>
      </c>
      <c r="AK4" s="13">
        <f>EXP(-1.0587+0.8836*LN(AJ4)+0.284)</f>
        <v>0.35565068640491565</v>
      </c>
      <c r="AL4" s="20">
        <f t="shared" ref="AL4:AL67" si="4">(AJ4+AK4)*0.475*44/12</f>
        <v>1.918435946590699</v>
      </c>
      <c r="AM4" s="59">
        <f t="shared" ref="AM4:AM67" si="5">AL4+(AD4+AE4)*44/12</f>
        <v>259.80732483547956</v>
      </c>
      <c r="AN4" s="59">
        <f ca="1">AVERAGE(OFFSET($AM$3,0,0,'Données projet'!$E$10+1,1))-AVERAGE(OFFSET($H$3,0,0,'Données projet'!$E$10+1,1))</f>
        <v>349.5718186624772</v>
      </c>
      <c r="AO4" s="59">
        <f>$AO$3</f>
        <v>258.14152930815959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5.8668181818181813</v>
      </c>
      <c r="BD4" s="12">
        <f>IF('Données projet'!$A$88&gt;35,BD3+BC4-BL3,IF(A4&lt;'Données projet'!$A$88,$BA$205^A4,IF(A4='Données projet'!$A$88,'Données projet'!$B$88,BD3+BC4-BL3)))</f>
        <v>1.2472301622014093</v>
      </c>
      <c r="BE4" s="13">
        <f>BD4*VLOOKUP('Données projet'!$B$11,Paramètres!$A$1:$I$89,3,0)*VLOOKUP('Données projet'!$B$11,Paramètres!$A$1:$I$89,5,0)</f>
        <v>0.74584363699644274</v>
      </c>
      <c r="BF4" s="13">
        <f>EXP(-1.0587+0.8836*LN(BE4)+0.284)</f>
        <v>0.35565068640491565</v>
      </c>
      <c r="BG4" s="20">
        <f t="shared" ref="BG4:BG67" si="7">(BE4+BF4)*0.475*44/12</f>
        <v>1.918435946590699</v>
      </c>
      <c r="BH4" s="59">
        <f t="shared" ref="BH4:BH67" si="8">BG4+(AY4+AZ4)*44/12</f>
        <v>259.80732483547956</v>
      </c>
      <c r="BI4" s="59">
        <f ca="1">AVERAGE(OFFSET($BH$3,0,0,'Données projet'!$E$11+1,1))-AVERAGE(OFFSET($H$3,0,0,'Données projet'!$E$11+1,1))</f>
        <v>349.5718186624772</v>
      </c>
      <c r="BJ4" s="59">
        <f>$BJ$3</f>
        <v>258.14152930815959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9.9228571428571435</v>
      </c>
      <c r="BY4" s="12">
        <f>IF('Données projet'!$A$114&gt;35,BY3+BX4-CG3,IF(A4&lt;'Données projet'!$A$114,$BV$205^A4,IF(A4='Données projet'!$A$114,'Données projet'!$B$114,BY3+BX4-CG3)))</f>
        <v>9.9228571428571435</v>
      </c>
      <c r="BZ4" s="13">
        <f>BY4*VLOOKUP('Données projet'!$B$12,Paramètres!$A$1:$I$89,3,0)*VLOOKUP('Données projet'!$B$12,Paramètres!$A$1:$I$89,5,0)</f>
        <v>4.6438971428571429</v>
      </c>
      <c r="CA4" s="13">
        <f>EXP(-1.0587+0.8836*LN(BZ4)+0.284)</f>
        <v>1.7898206860922095</v>
      </c>
      <c r="CB4" s="20">
        <f t="shared" ref="CB4:CB67" si="10">(BZ4+CA4)*0.475*44/12</f>
        <v>11.20539188542012</v>
      </c>
      <c r="CC4" s="59">
        <f t="shared" ref="CC4:CC67" si="11">CB4+(BT4+BU4)*44/12</f>
        <v>269.09428077430897</v>
      </c>
      <c r="CD4" s="59">
        <f ca="1">AVERAGE(OFFSET($CC$3,0,0,'Données projet'!$E$12+1,1))-AVERAGE(OFFSET($H$3,0,0,'Données projet'!$E$12+1,1))</f>
        <v>356.22620301934836</v>
      </c>
      <c r="CE4" s="59">
        <f>$CE$3</f>
        <v>342.25495410715513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3.8113157894736847</v>
      </c>
      <c r="CT4" s="12">
        <f>IF('Données projet'!$A$140&gt;35,CT3+CS4-DB3,IF(A4&lt;'Données projet'!$A$140,$CQ$205^A4,IF(A4='Données projet'!$A$140,'Données projet'!$B$140,CT3+CS4-DB3)))</f>
        <v>3.8113157894736847</v>
      </c>
      <c r="CU4" s="17">
        <f>CT4*VLOOKUP('Données projet'!$B$13,Paramètres!$A$1:$I$89,3,0)*VLOOKUP('Données projet'!$B$13,Paramètres!$A$1:$I$89,5,0)</f>
        <v>4.340326421052632</v>
      </c>
      <c r="CV4" s="13">
        <f>EXP(-1.0587+0.8836*LN(CU4)+0.284)</f>
        <v>1.6860360292515542</v>
      </c>
      <c r="CW4" s="20">
        <f t="shared" ref="CW4:CW67" si="13">(CU4+CV4)*0.475*44/12</f>
        <v>10.495914600946456</v>
      </c>
      <c r="CX4" s="59">
        <f t="shared" ref="CX4:CX67" si="14">CW4+(CO4+CP4)*44/12</f>
        <v>268.38480348983529</v>
      </c>
      <c r="CY4" s="59">
        <f ca="1">AVERAGE(OFFSET($CX$3,0,0,'Données projet'!$E$13+1,1))-AVERAGE(OFFSET($H$3,0,0,'Données projet'!$E$13+1,1))</f>
        <v>473.48875234867705</v>
      </c>
      <c r="CZ4" s="59">
        <f>$CZ$3</f>
        <v>322.74347070996379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7.1952941176470588</v>
      </c>
      <c r="N5" s="13">
        <f>IF('Données projet'!$A$36&gt;35,N4+M5-V4,IF(A5&lt;'Données projet'!$A$36,$K$205^A5,IF(A5='Données projet'!$A$36,'Données projet'!$B$36,N4+M5-V4)))</f>
        <v>1.7603050623251528</v>
      </c>
      <c r="O5" s="13">
        <f>N5*VLOOKUP('Données projet'!$B$9,Paramètres!$A$1:$I$89,3,0)*VLOOKUP('Données projet'!$B$9,Paramètres!$A$1:$I$89,5,0)</f>
        <v>1.0526624272704415</v>
      </c>
      <c r="P5" s="13">
        <f t="shared" ref="P5:P68" si="33">EXP(-1.0587+0.8836*LN(O5)+0.284)</f>
        <v>0.48222168139326793</v>
      </c>
      <c r="Q5" s="20">
        <f t="shared" si="2"/>
        <v>2.6732564892559605</v>
      </c>
      <c r="R5" s="59">
        <f t="shared" si="0"/>
        <v>261.78436760036709</v>
      </c>
      <c r="S5" s="59">
        <f ca="1">AVERAGE(OFFSET($R$3,0,0,'Données projet'!$E$9+1,1))-AVERAGE(OFFSET($H$3,0,0,'Données projet'!$E$9+1,1))</f>
        <v>300.80663531652721</v>
      </c>
      <c r="T5" s="59">
        <f t="shared" ref="T5:T68" si="34">$T$3</f>
        <v>306.01967513533549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5.8668181818181813</v>
      </c>
      <c r="AI5" s="13">
        <f>IF('Données projet'!$A$62&gt;35,AI4+AH5-AQ4,IF(A5&lt;'Données projet'!$A$62,$AF$205^A5,IF(A5='Données projet'!$A$62,'Données projet'!$B$62,AI4+AH5-AQ4)))</f>
        <v>1.5555830775049537</v>
      </c>
      <c r="AJ5" s="13">
        <f>AI5*VLOOKUP('Données projet'!$B$10,Paramètres!$A$1:$I$89,3,0)*VLOOKUP('Données projet'!$B$10,Paramètres!$A$1:$I$89,5,0)</f>
        <v>0.93023868034796242</v>
      </c>
      <c r="AK5" s="13">
        <f t="shared" ref="AK5:AK68" si="35">EXP(-1.0587+0.8836*LN(AJ5)+0.284)</f>
        <v>0.43231675887518456</v>
      </c>
      <c r="AL5" s="20">
        <f t="shared" si="4"/>
        <v>2.373117389980314</v>
      </c>
      <c r="AM5" s="59">
        <f t="shared" si="5"/>
        <v>261.48422850109148</v>
      </c>
      <c r="AN5" s="59">
        <f ca="1">AVERAGE(OFFSET($AM$3,0,0,'Données projet'!$E$10+1,1))-AVERAGE(OFFSET($H$3,0,0,'Données projet'!$E$10+1,1))</f>
        <v>349.5718186624772</v>
      </c>
      <c r="AO5" s="59">
        <f t="shared" ref="AO5:AO68" si="36">$AO$3</f>
        <v>258.14152930815959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5.8668181818181813</v>
      </c>
      <c r="BD5" s="12">
        <f>IF('Données projet'!$A$88&gt;35,BD4+BC5-BL4,IF(A5&lt;'Données projet'!$A$88,$BA$205^A5,IF(A5='Données projet'!$A$88,'Données projet'!$B$88,BD4+BC5-BL4)))</f>
        <v>1.5555830775049537</v>
      </c>
      <c r="BE5" s="13">
        <f>BD5*VLOOKUP('Données projet'!$B$11,Paramètres!$A$1:$I$89,3,0)*VLOOKUP('Données projet'!$B$11,Paramètres!$A$1:$I$89,5,0)</f>
        <v>0.93023868034796242</v>
      </c>
      <c r="BF5" s="13">
        <f t="shared" ref="BF5:BF68" si="37">EXP(-1.0587+0.8836*LN(BE5)+0.284)</f>
        <v>0.43231675887518456</v>
      </c>
      <c r="BG5" s="20">
        <f t="shared" si="7"/>
        <v>2.373117389980314</v>
      </c>
      <c r="BH5" s="59">
        <f t="shared" si="8"/>
        <v>261.48422850109148</v>
      </c>
      <c r="BI5" s="59">
        <f ca="1">AVERAGE(OFFSET($BH$3,0,0,'Données projet'!$E$11+1,1))-AVERAGE(OFFSET($H$3,0,0,'Données projet'!$E$11+1,1))</f>
        <v>349.5718186624772</v>
      </c>
      <c r="BJ5" s="59">
        <f t="shared" ref="BJ5:BJ68" si="38">$BJ$3</f>
        <v>258.14152930815959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9.9228571428571435</v>
      </c>
      <c r="BY5" s="12">
        <f>IF('Données projet'!$A$114&gt;35,BY4+BX5-CG4,IF(A5&lt;'Données projet'!$A$114,$BV$205^A5,IF(A5='Données projet'!$A$114,'Données projet'!$B$114,BY4+BX5-CG4)))</f>
        <v>19.845714285714287</v>
      </c>
      <c r="BZ5" s="13">
        <f>BY5*VLOOKUP('Données projet'!$B$12,Paramètres!$A$1:$I$89,3,0)*VLOOKUP('Données projet'!$B$12,Paramètres!$A$1:$I$89,5,0)</f>
        <v>9.2877942857142859</v>
      </c>
      <c r="CA5" s="13">
        <f t="shared" ref="CA5:CA68" si="39">EXP(-1.0587+0.8836*LN(BZ5)+0.284)</f>
        <v>3.3021715192899936</v>
      </c>
      <c r="CB5" s="20">
        <f t="shared" si="10"/>
        <v>21.927523777049117</v>
      </c>
      <c r="CC5" s="59">
        <f t="shared" si="11"/>
        <v>281.03863488816023</v>
      </c>
      <c r="CD5" s="59">
        <f ca="1">AVERAGE(OFFSET($CC$3,0,0,'Données projet'!$E$12+1,1))-AVERAGE(OFFSET($H$3,0,0,'Données projet'!$E$12+1,1))</f>
        <v>356.22620301934836</v>
      </c>
      <c r="CE5" s="59">
        <f t="shared" ref="CE5:CE68" si="40">$CE$3</f>
        <v>342.25495410715513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3.8113157894736847</v>
      </c>
      <c r="CT5" s="12">
        <f>IF('Données projet'!$A$140&gt;35,CT4+CS5-DB4,IF(A5&lt;'Données projet'!$A$140,$CQ$205^A5,IF(A5='Données projet'!$A$140,'Données projet'!$B$140,CT4+CS5-DB4)))</f>
        <v>7.6226315789473693</v>
      </c>
      <c r="CU5" s="17">
        <f>CT5*VLOOKUP('Données projet'!$B$13,Paramètres!$A$1:$I$89,3,0)*VLOOKUP('Données projet'!$B$13,Paramètres!$A$1:$I$89,5,0)</f>
        <v>8.680652842105264</v>
      </c>
      <c r="CV5" s="13">
        <f t="shared" ref="CV5:CV68" si="41">EXP(-1.0587+0.8836*LN(CU5)+0.284)</f>
        <v>3.1106915902548891</v>
      </c>
      <c r="CW5" s="20">
        <f t="shared" si="13"/>
        <v>20.536591553027268</v>
      </c>
      <c r="CX5" s="59">
        <f t="shared" si="14"/>
        <v>279.64770266413842</v>
      </c>
      <c r="CY5" s="59">
        <f ca="1">AVERAGE(OFFSET($CX$3,0,0,'Données projet'!$E$13+1,1))-AVERAGE(OFFSET($H$3,0,0,'Données projet'!$E$13+1,1))</f>
        <v>473.48875234867705</v>
      </c>
      <c r="CZ5" s="59">
        <f t="shared" ref="CZ5:CZ68" si="42">$CZ$3</f>
        <v>322.74347070996379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7.1952941176470588</v>
      </c>
      <c r="N6" s="13">
        <f>IF('Données projet'!$A$36&gt;35,N5+M6-V5,IF(A6&lt;'Données projet'!$A$36,$K$205^A6,IF(A6='Données projet'!$A$36,'Données projet'!$B$36,N5+M6-V5)))</f>
        <v>2.3355109450773996</v>
      </c>
      <c r="O6" s="13">
        <f>N6*VLOOKUP('Données projet'!$B$9,Paramètres!$A$1:$I$89,3,0)*VLOOKUP('Données projet'!$B$9,Paramètres!$A$1:$I$89,5,0)</f>
        <v>1.3966355451562853</v>
      </c>
      <c r="P6" s="13">
        <f t="shared" si="33"/>
        <v>0.61908101217040834</v>
      </c>
      <c r="Q6" s="20">
        <f t="shared" si="2"/>
        <v>3.5107063373439913</v>
      </c>
      <c r="R6" s="59">
        <f t="shared" si="0"/>
        <v>263.84403967067732</v>
      </c>
      <c r="S6" s="59">
        <f ca="1">AVERAGE(OFFSET($R$3,0,0,'Données projet'!$E$9+1,1))-AVERAGE(OFFSET($H$3,0,0,'Données projet'!$E$9+1,1))</f>
        <v>300.80663531652721</v>
      </c>
      <c r="T6" s="59">
        <f t="shared" si="34"/>
        <v>306.01967513533549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5.8668181818181813</v>
      </c>
      <c r="AI6" s="13">
        <f>IF('Données projet'!$A$62&gt;35,AI5+AH6-AQ5,IF(A6&lt;'Données projet'!$A$62,$AF$205^A6,IF(A6='Données projet'!$A$62,'Données projet'!$B$62,AI5+AH6-AQ5)))</f>
        <v>1.9401701340742707</v>
      </c>
      <c r="AJ6" s="13">
        <f>AI6*VLOOKUP('Données projet'!$B$10,Paramètres!$A$1:$I$89,3,0)*VLOOKUP('Données projet'!$B$10,Paramètres!$A$1:$I$89,5,0)</f>
        <v>1.1602217401764139</v>
      </c>
      <c r="AK6" s="13">
        <f t="shared" si="35"/>
        <v>0.52550940332379237</v>
      </c>
      <c r="AL6" s="20">
        <f t="shared" si="4"/>
        <v>2.9359817415961924</v>
      </c>
      <c r="AM6" s="59">
        <f t="shared" si="5"/>
        <v>263.26931507492952</v>
      </c>
      <c r="AN6" s="59">
        <f ca="1">AVERAGE(OFFSET($AM$3,0,0,'Données projet'!$E$10+1,1))-AVERAGE(OFFSET($H$3,0,0,'Données projet'!$E$10+1,1))</f>
        <v>349.5718186624772</v>
      </c>
      <c r="AO6" s="59">
        <f t="shared" si="36"/>
        <v>258.14152930815959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5.8668181818181813</v>
      </c>
      <c r="BD6" s="12">
        <f>IF('Données projet'!$A$88&gt;35,BD5+BC6-BL5,IF(A6&lt;'Données projet'!$A$88,$BA$205^A6,IF(A6='Données projet'!$A$88,'Données projet'!$B$88,BD5+BC6-BL5)))</f>
        <v>1.9401701340742707</v>
      </c>
      <c r="BE6" s="13">
        <f>BD6*VLOOKUP('Données projet'!$B$11,Paramètres!$A$1:$I$89,3,0)*VLOOKUP('Données projet'!$B$11,Paramètres!$A$1:$I$89,5,0)</f>
        <v>1.1602217401764139</v>
      </c>
      <c r="BF6" s="13">
        <f t="shared" si="37"/>
        <v>0.52550940332379237</v>
      </c>
      <c r="BG6" s="20">
        <f t="shared" si="7"/>
        <v>2.9359817415961924</v>
      </c>
      <c r="BH6" s="59">
        <f t="shared" si="8"/>
        <v>263.26931507492952</v>
      </c>
      <c r="BI6" s="59">
        <f ca="1">AVERAGE(OFFSET($BH$3,0,0,'Données projet'!$E$11+1,1))-AVERAGE(OFFSET($H$3,0,0,'Données projet'!$E$11+1,1))</f>
        <v>349.5718186624772</v>
      </c>
      <c r="BJ6" s="59">
        <f t="shared" si="38"/>
        <v>258.14152930815959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9.9228571428571435</v>
      </c>
      <c r="BY6" s="12">
        <f>IF('Données projet'!$A$114&gt;35,BY5+BX6-CG5,IF(A6&lt;'Données projet'!$A$114,$BV$205^A6,IF(A6='Données projet'!$A$114,'Données projet'!$B$114,BY5+BX6-CG5)))</f>
        <v>29.76857142857143</v>
      </c>
      <c r="BZ6" s="13">
        <f>BY6*VLOOKUP('Données projet'!$B$12,Paramètres!$A$1:$I$89,3,0)*VLOOKUP('Données projet'!$B$12,Paramètres!$A$1:$I$89,5,0)</f>
        <v>13.93169142857143</v>
      </c>
      <c r="CA6" s="13">
        <f t="shared" si="39"/>
        <v>4.7249135181182051</v>
      </c>
      <c r="CB6" s="20">
        <f t="shared" si="10"/>
        <v>32.493586948817772</v>
      </c>
      <c r="CC6" s="59">
        <f t="shared" si="11"/>
        <v>292.82692028215109</v>
      </c>
      <c r="CD6" s="59">
        <f ca="1">AVERAGE(OFFSET($CC$3,0,0,'Données projet'!$E$12+1,1))-AVERAGE(OFFSET($H$3,0,0,'Données projet'!$E$12+1,1))</f>
        <v>356.22620301934836</v>
      </c>
      <c r="CE6" s="59">
        <f t="shared" si="40"/>
        <v>342.25495410715513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3.8113157894736847</v>
      </c>
      <c r="CT6" s="12">
        <f>IF('Données projet'!$A$140&gt;35,CT5+CS6-DB5,IF(A6&lt;'Données projet'!$A$140,$CQ$205^A6,IF(A6='Données projet'!$A$140,'Données projet'!$B$140,CT5+CS6-DB5)))</f>
        <v>11.433947368421054</v>
      </c>
      <c r="CU6" s="17">
        <f>CT6*VLOOKUP('Données projet'!$B$13,Paramètres!$A$1:$I$89,3,0)*VLOOKUP('Données projet'!$B$13,Paramètres!$A$1:$I$89,5,0)</f>
        <v>13.020979263157894</v>
      </c>
      <c r="CV6" s="13">
        <f t="shared" si="41"/>
        <v>4.4509343804927921</v>
      </c>
      <c r="CW6" s="20">
        <f t="shared" si="13"/>
        <v>30.430249596024947</v>
      </c>
      <c r="CX6" s="59">
        <f t="shared" si="14"/>
        <v>290.76358292935828</v>
      </c>
      <c r="CY6" s="59">
        <f ca="1">AVERAGE(OFFSET($CX$3,0,0,'Données projet'!$E$13+1,1))-AVERAGE(OFFSET($H$3,0,0,'Données projet'!$E$13+1,1))</f>
        <v>473.48875234867705</v>
      </c>
      <c r="CZ6" s="59">
        <f t="shared" si="42"/>
        <v>322.74347070996379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7.1952941176470588</v>
      </c>
      <c r="N7" s="13">
        <f>IF('Données projet'!$A$36&gt;35,N6+M7-V6,IF(A7&lt;'Données projet'!$A$36,$K$205^A7,IF(A7='Données projet'!$A$36,'Données projet'!$B$36,N6+M7-V6)))</f>
        <v>3.09867391244756</v>
      </c>
      <c r="O7" s="13">
        <f>N7*VLOOKUP('Données projet'!$B$9,Paramètres!$A$1:$I$89,3,0)*VLOOKUP('Données projet'!$B$9,Paramètres!$A$1:$I$89,5,0)</f>
        <v>1.8530069996436409</v>
      </c>
      <c r="P7" s="13">
        <f t="shared" si="33"/>
        <v>0.79478238830446668</v>
      </c>
      <c r="Q7" s="20">
        <f t="shared" si="2"/>
        <v>4.6115665173429541</v>
      </c>
      <c r="R7" s="59">
        <f t="shared" si="0"/>
        <v>266.16712207289851</v>
      </c>
      <c r="S7" s="59">
        <f ca="1">AVERAGE(OFFSET($R$3,0,0,'Données projet'!$E$9+1,1))-AVERAGE(OFFSET($H$3,0,0,'Données projet'!$E$9+1,1))</f>
        <v>300.80663531652721</v>
      </c>
      <c r="T7" s="59">
        <f t="shared" si="34"/>
        <v>306.01967513533549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5.8668181818181813</v>
      </c>
      <c r="AI7" s="13">
        <f>IF('Données projet'!$A$62&gt;35,AI6+AH7-AQ6,IF(A7&lt;'Données projet'!$A$62,$AF$205^A7,IF(A7='Données projet'!$A$62,'Données projet'!$B$62,AI6+AH7-AQ6)))</f>
        <v>2.419838711019783</v>
      </c>
      <c r="AJ7" s="13">
        <f>AI7*VLOOKUP('Données projet'!$B$10,Paramètres!$A$1:$I$89,3,0)*VLOOKUP('Données projet'!$B$10,Paramètres!$A$1:$I$89,5,0)</f>
        <v>1.4470635491898303</v>
      </c>
      <c r="AK7" s="13">
        <f t="shared" si="35"/>
        <v>0.63879118103182142</v>
      </c>
      <c r="AL7" s="20">
        <f t="shared" si="4"/>
        <v>3.6328636551360431</v>
      </c>
      <c r="AM7" s="59">
        <f t="shared" si="5"/>
        <v>265.18841921069156</v>
      </c>
      <c r="AN7" s="59">
        <f ca="1">AVERAGE(OFFSET($AM$3,0,0,'Données projet'!$E$10+1,1))-AVERAGE(OFFSET($H$3,0,0,'Données projet'!$E$10+1,1))</f>
        <v>349.5718186624772</v>
      </c>
      <c r="AO7" s="59">
        <f t="shared" si="36"/>
        <v>258.14152930815959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5.8668181818181813</v>
      </c>
      <c r="BD7" s="12">
        <f>IF('Données projet'!$A$88&gt;35,BD6+BC7-BL6,IF(A7&lt;'Données projet'!$A$88,$BA$205^A7,IF(A7='Données projet'!$A$88,'Données projet'!$B$88,BD6+BC7-BL6)))</f>
        <v>2.419838711019783</v>
      </c>
      <c r="BE7" s="13">
        <f>BD7*VLOOKUP('Données projet'!$B$11,Paramètres!$A$1:$I$89,3,0)*VLOOKUP('Données projet'!$B$11,Paramètres!$A$1:$I$89,5,0)</f>
        <v>1.4470635491898303</v>
      </c>
      <c r="BF7" s="13">
        <f t="shared" si="37"/>
        <v>0.63879118103182142</v>
      </c>
      <c r="BG7" s="20">
        <f t="shared" si="7"/>
        <v>3.6328636551360431</v>
      </c>
      <c r="BH7" s="59">
        <f t="shared" si="8"/>
        <v>265.18841921069156</v>
      </c>
      <c r="BI7" s="59">
        <f ca="1">AVERAGE(OFFSET($BH$3,0,0,'Données projet'!$E$11+1,1))-AVERAGE(OFFSET($H$3,0,0,'Données projet'!$E$11+1,1))</f>
        <v>349.5718186624772</v>
      </c>
      <c r="BJ7" s="59">
        <f t="shared" si="38"/>
        <v>258.14152930815959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9.9228571428571435</v>
      </c>
      <c r="BY7" s="12">
        <f>IF('Données projet'!$A$114&gt;35,BY6+BX7-CG6,IF(A7&lt;'Données projet'!$A$114,$BV$205^A7,IF(A7='Données projet'!$A$114,'Données projet'!$B$114,BY6+BX7-CG6)))</f>
        <v>39.691428571428574</v>
      </c>
      <c r="BZ7" s="13">
        <f>BY7*VLOOKUP('Données projet'!$B$12,Paramètres!$A$1:$I$89,3,0)*VLOOKUP('Données projet'!$B$12,Paramètres!$A$1:$I$89,5,0)</f>
        <v>18.575588571428572</v>
      </c>
      <c r="CA7" s="13">
        <f t="shared" si="39"/>
        <v>6.0924185464734348</v>
      </c>
      <c r="CB7" s="20">
        <f t="shared" si="10"/>
        <v>42.963445730345995</v>
      </c>
      <c r="CC7" s="59">
        <f t="shared" si="11"/>
        <v>304.51900128590154</v>
      </c>
      <c r="CD7" s="59">
        <f ca="1">AVERAGE(OFFSET($CC$3,0,0,'Données projet'!$E$12+1,1))-AVERAGE(OFFSET($H$3,0,0,'Données projet'!$E$12+1,1))</f>
        <v>356.22620301934836</v>
      </c>
      <c r="CE7" s="59">
        <f t="shared" si="40"/>
        <v>342.25495410715513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3.8113157894736847</v>
      </c>
      <c r="CT7" s="12">
        <f>IF('Données projet'!$A$140&gt;35,CT6+CS7-DB6,IF(A7&lt;'Données projet'!$A$140,$CQ$205^A7,IF(A7='Données projet'!$A$140,'Données projet'!$B$140,CT6+CS7-DB6)))</f>
        <v>15.245263157894739</v>
      </c>
      <c r="CU7" s="17">
        <f>CT7*VLOOKUP('Données projet'!$B$13,Paramètres!$A$1:$I$89,3,0)*VLOOKUP('Données projet'!$B$13,Paramètres!$A$1:$I$89,5,0)</f>
        <v>17.361305684210528</v>
      </c>
      <c r="CV7" s="13">
        <f t="shared" si="41"/>
        <v>5.7391431747623631</v>
      </c>
      <c r="CW7" s="20">
        <f t="shared" si="13"/>
        <v>40.233281762711115</v>
      </c>
      <c r="CX7" s="59">
        <f t="shared" si="14"/>
        <v>301.78883731826664</v>
      </c>
      <c r="CY7" s="59">
        <f ca="1">AVERAGE(OFFSET($CX$3,0,0,'Données projet'!$E$13+1,1))-AVERAGE(OFFSET($H$3,0,0,'Données projet'!$E$13+1,1))</f>
        <v>473.48875234867705</v>
      </c>
      <c r="CZ7" s="59">
        <f t="shared" si="42"/>
        <v>322.74347070996379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7.1952941176470588</v>
      </c>
      <c r="N8" s="13">
        <f>IF('Données projet'!$A$36&gt;35,N7+M8-V7,IF(A8&lt;'Données projet'!$A$36,$K$205^A8,IF(A8='Données projet'!$A$36,'Données projet'!$B$36,N7+M8-V7)))</f>
        <v>4.1112117397355483</v>
      </c>
      <c r="O8" s="13">
        <f>N8*VLOOKUP('Données projet'!$B$9,Paramètres!$A$1:$I$89,3,0)*VLOOKUP('Données projet'!$B$9,Paramètres!$A$1:$I$89,5,0)</f>
        <v>2.4585046203618579</v>
      </c>
      <c r="P8" s="13">
        <f t="shared" si="33"/>
        <v>1.0203495703161323</v>
      </c>
      <c r="Q8" s="20">
        <f t="shared" si="2"/>
        <v>6.0590043820974993</v>
      </c>
      <c r="R8" s="59">
        <f t="shared" si="0"/>
        <v>268.83678215987527</v>
      </c>
      <c r="S8" s="59">
        <f ca="1">AVERAGE(OFFSET($R$3,0,0,'Données projet'!$E$9+1,1))-AVERAGE(OFFSET($H$3,0,0,'Données projet'!$E$9+1,1))</f>
        <v>300.80663531652721</v>
      </c>
      <c r="T8" s="59">
        <f t="shared" si="34"/>
        <v>306.01967513533549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5.8668181818181813</v>
      </c>
      <c r="AI8" s="13">
        <f>IF('Données projet'!$A$62&gt;35,AI7+AH8-AQ7,IF(A8&lt;'Données projet'!$A$62,$AF$205^A8,IF(A8='Données projet'!$A$62,'Données projet'!$B$62,AI7+AH8-AQ7)))</f>
        <v>3.0180958280464529</v>
      </c>
      <c r="AJ8" s="13">
        <f>AI8*VLOOKUP('Données projet'!$B$10,Paramètres!$A$1:$I$89,3,0)*VLOOKUP('Données projet'!$B$10,Paramètres!$A$1:$I$89,5,0)</f>
        <v>1.804821305171779</v>
      </c>
      <c r="AK8" s="13">
        <f t="shared" si="35"/>
        <v>0.77649261912941803</v>
      </c>
      <c r="AL8" s="20">
        <f t="shared" si="4"/>
        <v>4.4957884181579182</v>
      </c>
      <c r="AM8" s="59">
        <f t="shared" si="5"/>
        <v>267.2735661959357</v>
      </c>
      <c r="AN8" s="59">
        <f ca="1">AVERAGE(OFFSET($AM$3,0,0,'Données projet'!$E$10+1,1))-AVERAGE(OFFSET($H$3,0,0,'Données projet'!$E$10+1,1))</f>
        <v>349.5718186624772</v>
      </c>
      <c r="AO8" s="59">
        <f t="shared" si="36"/>
        <v>258.14152930815959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5.8668181818181813</v>
      </c>
      <c r="BD8" s="12">
        <f>IF('Données projet'!$A$88&gt;35,BD7+BC8-BL7,IF(A8&lt;'Données projet'!$A$88,$BA$205^A8,IF(A8='Données projet'!$A$88,'Données projet'!$B$88,BD7+BC8-BL7)))</f>
        <v>3.0180958280464529</v>
      </c>
      <c r="BE8" s="13">
        <f>BD8*VLOOKUP('Données projet'!$B$11,Paramètres!$A$1:$I$89,3,0)*VLOOKUP('Données projet'!$B$11,Paramètres!$A$1:$I$89,5,0)</f>
        <v>1.804821305171779</v>
      </c>
      <c r="BF8" s="13">
        <f t="shared" si="37"/>
        <v>0.77649261912941803</v>
      </c>
      <c r="BG8" s="20">
        <f t="shared" si="7"/>
        <v>4.4957884181579182</v>
      </c>
      <c r="BH8" s="59">
        <f t="shared" si="8"/>
        <v>267.2735661959357</v>
      </c>
      <c r="BI8" s="59">
        <f ca="1">AVERAGE(OFFSET($BH$3,0,0,'Données projet'!$E$11+1,1))-AVERAGE(OFFSET($H$3,0,0,'Données projet'!$E$11+1,1))</f>
        <v>349.5718186624772</v>
      </c>
      <c r="BJ8" s="59">
        <f t="shared" si="38"/>
        <v>258.14152930815959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9.9228571428571435</v>
      </c>
      <c r="BY8" s="12">
        <f>IF('Données projet'!$A$114&gt;35,BY7+BX8-CG7,IF(A8&lt;'Données projet'!$A$114,$BV$205^A8,IF(A8='Données projet'!$A$114,'Données projet'!$B$114,BY7+BX8-CG7)))</f>
        <v>49.614285714285714</v>
      </c>
      <c r="BZ8" s="13">
        <f>BY8*VLOOKUP('Données projet'!$B$12,Paramètres!$A$1:$I$89,3,0)*VLOOKUP('Données projet'!$B$12,Paramètres!$A$1:$I$89,5,0)</f>
        <v>23.219485714285714</v>
      </c>
      <c r="CA8" s="13">
        <f t="shared" si="39"/>
        <v>7.4202650598578179</v>
      </c>
      <c r="CB8" s="20">
        <f t="shared" si="10"/>
        <v>53.364232598299985</v>
      </c>
      <c r="CC8" s="59">
        <f t="shared" si="11"/>
        <v>316.14201037607774</v>
      </c>
      <c r="CD8" s="59">
        <f ca="1">AVERAGE(OFFSET($CC$3,0,0,'Données projet'!$E$12+1,1))-AVERAGE(OFFSET($H$3,0,0,'Données projet'!$E$12+1,1))</f>
        <v>356.22620301934836</v>
      </c>
      <c r="CE8" s="59">
        <f t="shared" si="40"/>
        <v>342.25495410715513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3.8113157894736847</v>
      </c>
      <c r="CT8" s="12">
        <f>IF('Données projet'!$A$140&gt;35,CT7+CS8-DB7,IF(A8&lt;'Données projet'!$A$140,$CQ$205^A8,IF(A8='Données projet'!$A$140,'Données projet'!$B$140,CT7+CS8-DB7)))</f>
        <v>19.056578947368422</v>
      </c>
      <c r="CU8" s="17">
        <f>CT8*VLOOKUP('Données projet'!$B$13,Paramètres!$A$1:$I$89,3,0)*VLOOKUP('Données projet'!$B$13,Paramètres!$A$1:$I$89,5,0)</f>
        <v>21.701632105263162</v>
      </c>
      <c r="CV8" s="13">
        <f t="shared" si="41"/>
        <v>6.989993095248078</v>
      </c>
      <c r="CW8" s="20">
        <f t="shared" si="13"/>
        <v>49.971247224223738</v>
      </c>
      <c r="CX8" s="59">
        <f t="shared" si="14"/>
        <v>312.74902500200153</v>
      </c>
      <c r="CY8" s="59">
        <f ca="1">AVERAGE(OFFSET($CX$3,0,0,'Données projet'!$E$13+1,1))-AVERAGE(OFFSET($H$3,0,0,'Données projet'!$E$13+1,1))</f>
        <v>473.48875234867705</v>
      </c>
      <c r="CZ8" s="59">
        <f t="shared" si="42"/>
        <v>322.74347070996379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7.1952941176470588</v>
      </c>
      <c r="N9" s="13">
        <f>IF('Données projet'!$A$36&gt;35,N8+M9-V8,IF(A9&lt;'Données projet'!$A$36,$K$205^A9,IF(A9='Données projet'!$A$36,'Données projet'!$B$36,N8+M9-V8)))</f>
        <v>5.4546113745763272</v>
      </c>
      <c r="O9" s="13">
        <f>N9*VLOOKUP('Données projet'!$B$9,Paramètres!$A$1:$I$89,3,0)*VLOOKUP('Données projet'!$B$9,Paramètres!$A$1:$I$89,5,0)</f>
        <v>3.2618576019966441</v>
      </c>
      <c r="P9" s="13">
        <f t="shared" si="33"/>
        <v>1.3099349720938758</v>
      </c>
      <c r="Q9" s="20">
        <f t="shared" si="2"/>
        <v>7.962538733207654</v>
      </c>
      <c r="R9" s="59">
        <f t="shared" si="0"/>
        <v>271.96253873320768</v>
      </c>
      <c r="S9" s="59">
        <f ca="1">AVERAGE(OFFSET($R$3,0,0,'Données projet'!$E$9+1,1))-AVERAGE(OFFSET($H$3,0,0,'Données projet'!$E$9+1,1))</f>
        <v>300.80663531652721</v>
      </c>
      <c r="T9" s="59">
        <f t="shared" si="34"/>
        <v>306.01967513533549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5.8668181818181813</v>
      </c>
      <c r="AI9" s="13">
        <f>IF('Données projet'!$A$62&gt;35,AI8+AH9-AQ8,IF(A9&lt;'Données projet'!$A$62,$AF$205^A9,IF(A9='Données projet'!$A$62,'Données projet'!$B$62,AI8+AH9-AQ8)))</f>
        <v>3.7642601491537744</v>
      </c>
      <c r="AJ9" s="13">
        <f>AI9*VLOOKUP('Données projet'!$B$10,Paramètres!$A$1:$I$89,3,0)*VLOOKUP('Données projet'!$B$10,Paramètres!$A$1:$I$89,5,0)</f>
        <v>2.251027569193957</v>
      </c>
      <c r="AK9" s="13">
        <f t="shared" si="35"/>
        <v>0.94387775765556148</v>
      </c>
      <c r="AL9" s="20">
        <f t="shared" si="4"/>
        <v>5.5644601109295779</v>
      </c>
      <c r="AM9" s="59">
        <f t="shared" si="5"/>
        <v>269.56446011092959</v>
      </c>
      <c r="AN9" s="59">
        <f ca="1">AVERAGE(OFFSET($AM$3,0,0,'Données projet'!$E$10+1,1))-AVERAGE(OFFSET($H$3,0,0,'Données projet'!$E$10+1,1))</f>
        <v>349.5718186624772</v>
      </c>
      <c r="AO9" s="59">
        <f t="shared" si="36"/>
        <v>258.14152930815959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5.8668181818181813</v>
      </c>
      <c r="BD9" s="12">
        <f>IF('Données projet'!$A$88&gt;35,BD8+BC9-BL8,IF(A9&lt;'Données projet'!$A$88,$BA$205^A9,IF(A9='Données projet'!$A$88,'Données projet'!$B$88,BD8+BC9-BL8)))</f>
        <v>3.7642601491537744</v>
      </c>
      <c r="BE9" s="13">
        <f>BD9*VLOOKUP('Données projet'!$B$11,Paramètres!$A$1:$I$89,3,0)*VLOOKUP('Données projet'!$B$11,Paramètres!$A$1:$I$89,5,0)</f>
        <v>2.251027569193957</v>
      </c>
      <c r="BF9" s="13">
        <f t="shared" si="37"/>
        <v>0.94387775765556148</v>
      </c>
      <c r="BG9" s="20">
        <f t="shared" si="7"/>
        <v>5.5644601109295779</v>
      </c>
      <c r="BH9" s="59">
        <f t="shared" si="8"/>
        <v>269.56446011092959</v>
      </c>
      <c r="BI9" s="59">
        <f ca="1">AVERAGE(OFFSET($BH$3,0,0,'Données projet'!$E$11+1,1))-AVERAGE(OFFSET($H$3,0,0,'Données projet'!$E$11+1,1))</f>
        <v>349.5718186624772</v>
      </c>
      <c r="BJ9" s="59">
        <f t="shared" si="38"/>
        <v>258.14152930815959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9.9228571428571435</v>
      </c>
      <c r="BY9" s="12">
        <f>IF('Données projet'!$A$114&gt;35,BY8+BX9-CG8,IF(A9&lt;'Données projet'!$A$114,$BV$205^A9,IF(A9='Données projet'!$A$114,'Données projet'!$B$114,BY8+BX9-CG8)))</f>
        <v>59.537142857142854</v>
      </c>
      <c r="BZ9" s="13">
        <f>BY9*VLOOKUP('Données projet'!$B$12,Paramètres!$A$1:$I$89,3,0)*VLOOKUP('Données projet'!$B$12,Paramètres!$A$1:$I$89,5,0)</f>
        <v>27.863382857142856</v>
      </c>
      <c r="CA9" s="13">
        <f t="shared" si="39"/>
        <v>8.7173396597084576</v>
      </c>
      <c r="CB9" s="20">
        <f t="shared" si="10"/>
        <v>63.71142505018269</v>
      </c>
      <c r="CC9" s="59">
        <f t="shared" si="11"/>
        <v>327.7114250501827</v>
      </c>
      <c r="CD9" s="59">
        <f ca="1">AVERAGE(OFFSET($CC$3,0,0,'Données projet'!$E$12+1,1))-AVERAGE(OFFSET($H$3,0,0,'Données projet'!$E$12+1,1))</f>
        <v>356.22620301934836</v>
      </c>
      <c r="CE9" s="59">
        <f t="shared" si="40"/>
        <v>342.25495410715513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3.8113157894736847</v>
      </c>
      <c r="CT9" s="12">
        <f>IF('Données projet'!$A$140&gt;35,CT8+CS9-DB8,IF(A9&lt;'Données projet'!$A$140,$CQ$205^A9,IF(A9='Données projet'!$A$140,'Données projet'!$B$140,CT8+CS9-DB8)))</f>
        <v>22.867894736842107</v>
      </c>
      <c r="CU9" s="17">
        <f>CT9*VLOOKUP('Données projet'!$B$13,Paramètres!$A$1:$I$89,3,0)*VLOOKUP('Données projet'!$B$13,Paramètres!$A$1:$I$89,5,0)</f>
        <v>26.041958526315788</v>
      </c>
      <c r="CV9" s="13">
        <f t="shared" si="41"/>
        <v>8.2118554443474174</v>
      </c>
      <c r="CW9" s="20">
        <f t="shared" si="13"/>
        <v>59.658725998905084</v>
      </c>
      <c r="CX9" s="59">
        <f t="shared" si="14"/>
        <v>323.65872599890508</v>
      </c>
      <c r="CY9" s="59">
        <f ca="1">AVERAGE(OFFSET($CX$3,0,0,'Données projet'!$E$13+1,1))-AVERAGE(OFFSET($H$3,0,0,'Données projet'!$E$13+1,1))</f>
        <v>473.48875234867705</v>
      </c>
      <c r="CZ9" s="59">
        <f t="shared" si="42"/>
        <v>322.74347070996379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7.1952941176470588</v>
      </c>
      <c r="N10" s="13">
        <f>IF('Données projet'!$A$36&gt;35,N9+M10-V9,IF(A10&lt;'Données projet'!$A$36,$K$205^A10,IF(A10='Données projet'!$A$36,'Données projet'!$B$36,N9+M10-V9)))</f>
        <v>7.2369868377470841</v>
      </c>
      <c r="O10" s="13">
        <f>N10*VLOOKUP('Données projet'!$B$9,Paramètres!$A$1:$I$89,3,0)*VLOOKUP('Données projet'!$B$9,Paramètres!$A$1:$I$89,5,0)</f>
        <v>4.3277181289727569</v>
      </c>
      <c r="P10" s="13">
        <f t="shared" si="33"/>
        <v>1.6817076039762937</v>
      </c>
      <c r="Q10" s="20">
        <f t="shared" si="2"/>
        <v>10.466416484886262</v>
      </c>
      <c r="R10" s="59">
        <f t="shared" si="0"/>
        <v>275.68863870710851</v>
      </c>
      <c r="S10" s="59">
        <f ca="1">AVERAGE(OFFSET($R$3,0,0,'Données projet'!$E$9+1,1))-AVERAGE(OFFSET($H$3,0,0,'Données projet'!$E$9+1,1))</f>
        <v>300.80663531652721</v>
      </c>
      <c r="T10" s="59">
        <f t="shared" si="34"/>
        <v>306.01967513533549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5.8668181818181813</v>
      </c>
      <c r="AI10" s="13">
        <f>IF('Données projet'!$A$62&gt;35,AI9+AH10-AQ9,IF(A10&lt;'Données projet'!$A$62,$AF$205^A10,IF(A10='Données projet'!$A$62,'Données projet'!$B$62,AI9+AH10-AQ9)))</f>
        <v>4.6948987963973625</v>
      </c>
      <c r="AJ10" s="13">
        <f>AI10*VLOOKUP('Données projet'!$B$10,Paramètres!$A$1:$I$89,3,0)*VLOOKUP('Données projet'!$B$10,Paramètres!$A$1:$I$89,5,0)</f>
        <v>2.8075494802456231</v>
      </c>
      <c r="AK10" s="13">
        <f t="shared" si="35"/>
        <v>1.1473453828778812</v>
      </c>
      <c r="AL10" s="20">
        <f t="shared" si="4"/>
        <v>6.8881085532734367</v>
      </c>
      <c r="AM10" s="59">
        <f t="shared" si="5"/>
        <v>272.11033077549564</v>
      </c>
      <c r="AN10" s="59">
        <f ca="1">AVERAGE(OFFSET($AM$3,0,0,'Données projet'!$E$10+1,1))-AVERAGE(OFFSET($H$3,0,0,'Données projet'!$E$10+1,1))</f>
        <v>349.5718186624772</v>
      </c>
      <c r="AO10" s="59">
        <f t="shared" si="36"/>
        <v>258.14152930815959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5.8668181818181813</v>
      </c>
      <c r="BD10" s="12">
        <f>IF('Données projet'!$A$88&gt;35,BD9+BC10-BL9,IF(A10&lt;'Données projet'!$A$88,$BA$205^A10,IF(A10='Données projet'!$A$88,'Données projet'!$B$88,BD9+BC10-BL9)))</f>
        <v>4.6948987963973625</v>
      </c>
      <c r="BE10" s="13">
        <f>BD10*VLOOKUP('Données projet'!$B$11,Paramètres!$A$1:$I$89,3,0)*VLOOKUP('Données projet'!$B$11,Paramètres!$A$1:$I$89,5,0)</f>
        <v>2.8075494802456231</v>
      </c>
      <c r="BF10" s="13">
        <f t="shared" si="37"/>
        <v>1.1473453828778812</v>
      </c>
      <c r="BG10" s="20">
        <f t="shared" si="7"/>
        <v>6.8881085532734367</v>
      </c>
      <c r="BH10" s="59">
        <f t="shared" si="8"/>
        <v>272.11033077549564</v>
      </c>
      <c r="BI10" s="59">
        <f ca="1">AVERAGE(OFFSET($BH$3,0,0,'Données projet'!$E$11+1,1))-AVERAGE(OFFSET($H$3,0,0,'Données projet'!$E$11+1,1))</f>
        <v>349.5718186624772</v>
      </c>
      <c r="BJ10" s="59">
        <f t="shared" si="38"/>
        <v>258.14152930815959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9.9228571428571435</v>
      </c>
      <c r="BY10" s="12">
        <f>IF('Données projet'!$A$114&gt;35,BY9+BX10-CG9,IF(A10&lt;'Données projet'!$A$114,$BV$205^A10,IF(A10='Données projet'!$A$114,'Données projet'!$B$114,BY9+BX10-CG9)))</f>
        <v>69.459999999999994</v>
      </c>
      <c r="BZ10" s="13">
        <f>BY10*VLOOKUP('Données projet'!$B$12,Paramètres!$A$1:$I$89,3,0)*VLOOKUP('Données projet'!$B$12,Paramètres!$A$1:$I$89,5,0)</f>
        <v>32.507280000000002</v>
      </c>
      <c r="CA10" s="13">
        <f t="shared" si="39"/>
        <v>9.9893711943664076</v>
      </c>
      <c r="CB10" s="20">
        <f t="shared" si="10"/>
        <v>74.015000830188157</v>
      </c>
      <c r="CC10" s="59">
        <f t="shared" si="11"/>
        <v>339.2372230524104</v>
      </c>
      <c r="CD10" s="59">
        <f ca="1">AVERAGE(OFFSET($CC$3,0,0,'Données projet'!$E$12+1,1))-AVERAGE(OFFSET($H$3,0,0,'Données projet'!$E$12+1,1))</f>
        <v>356.22620301934836</v>
      </c>
      <c r="CE10" s="59">
        <f t="shared" si="40"/>
        <v>342.25495410715513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3.8113157894736847</v>
      </c>
      <c r="CT10" s="12">
        <f>IF('Données projet'!$A$140&gt;35,CT9+CS10-DB9,IF(A10&lt;'Données projet'!$A$140,$CQ$205^A10,IF(A10='Données projet'!$A$140,'Données projet'!$B$140,CT9+CS10-DB9)))</f>
        <v>26.679210526315792</v>
      </c>
      <c r="CU10" s="17">
        <f>CT10*VLOOKUP('Données projet'!$B$13,Paramètres!$A$1:$I$89,3,0)*VLOOKUP('Données projet'!$B$13,Paramètres!$A$1:$I$89,5,0)</f>
        <v>30.382284947368426</v>
      </c>
      <c r="CV10" s="13">
        <f t="shared" si="41"/>
        <v>9.4101268770349247</v>
      </c>
      <c r="CW10" s="20">
        <f t="shared" si="13"/>
        <v>69.305117260835843</v>
      </c>
      <c r="CX10" s="59">
        <f t="shared" si="14"/>
        <v>334.52733948305809</v>
      </c>
      <c r="CY10" s="59">
        <f ca="1">AVERAGE(OFFSET($CX$3,0,0,'Données projet'!$E$13+1,1))-AVERAGE(OFFSET($H$3,0,0,'Données projet'!$E$13+1,1))</f>
        <v>473.48875234867705</v>
      </c>
      <c r="CZ10" s="59">
        <f t="shared" si="42"/>
        <v>322.74347070996379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7.1952941176470588</v>
      </c>
      <c r="N11" s="13">
        <f>IF('Données projet'!$A$36&gt;35,N10+M11-V10,IF(A11&lt;'Données projet'!$A$36,$K$205^A11,IF(A11='Données projet'!$A$36,'Données projet'!$B$36,N10+M11-V10)))</f>
        <v>9.6017800156830688</v>
      </c>
      <c r="O11" s="13">
        <f>N11*VLOOKUP('Données projet'!$B$9,Paramètres!$A$1:$I$89,3,0)*VLOOKUP('Données projet'!$B$9,Paramètres!$A$1:$I$89,5,0)</f>
        <v>5.7418644493784763</v>
      </c>
      <c r="P11" s="13">
        <f t="shared" si="33"/>
        <v>2.1589930229521412</v>
      </c>
      <c r="Q11" s="20">
        <f t="shared" si="2"/>
        <v>13.760660097642491</v>
      </c>
      <c r="R11" s="59">
        <f t="shared" si="0"/>
        <v>280.20510454208693</v>
      </c>
      <c r="S11" s="59">
        <f ca="1">AVERAGE(OFFSET($R$3,0,0,'Données projet'!$E$9+1,1))-AVERAGE(OFFSET($H$3,0,0,'Données projet'!$E$9+1,1))</f>
        <v>300.80663531652721</v>
      </c>
      <c r="T11" s="59">
        <f t="shared" si="34"/>
        <v>306.01967513533549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5.8668181818181813</v>
      </c>
      <c r="AI11" s="13">
        <f>IF('Données projet'!$A$62&gt;35,AI10+AH11-AQ10,IF(A11&lt;'Données projet'!$A$62,$AF$205^A11,IF(A11='Données projet'!$A$62,'Données projet'!$B$62,AI10+AH11-AQ10)))</f>
        <v>5.8556193873498845</v>
      </c>
      <c r="AJ11" s="13">
        <f>AI11*VLOOKUP('Données projet'!$B$10,Paramètres!$A$1:$I$89,3,0)*VLOOKUP('Données projet'!$B$10,Paramètres!$A$1:$I$89,5,0)</f>
        <v>3.5016603936352309</v>
      </c>
      <c r="AK11" s="13">
        <f t="shared" si="35"/>
        <v>1.3946736396044743</v>
      </c>
      <c r="AL11" s="20">
        <f t="shared" si="4"/>
        <v>8.5277817745591538</v>
      </c>
      <c r="AM11" s="59">
        <f t="shared" si="5"/>
        <v>274.97222621900363</v>
      </c>
      <c r="AN11" s="59">
        <f ca="1">AVERAGE(OFFSET($AM$3,0,0,'Données projet'!$E$10+1,1))-AVERAGE(OFFSET($H$3,0,0,'Données projet'!$E$10+1,1))</f>
        <v>349.5718186624772</v>
      </c>
      <c r="AO11" s="59">
        <f t="shared" si="36"/>
        <v>258.14152930815959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5.8668181818181813</v>
      </c>
      <c r="BD11" s="12">
        <f>IF('Données projet'!$A$88&gt;35,BD10+BC11-BL10,IF(A11&lt;'Données projet'!$A$88,$BA$205^A11,IF(A11='Données projet'!$A$88,'Données projet'!$B$88,BD10+BC11-BL10)))</f>
        <v>5.8556193873498845</v>
      </c>
      <c r="BE11" s="13">
        <f>BD11*VLOOKUP('Données projet'!$B$11,Paramètres!$A$1:$I$89,3,0)*VLOOKUP('Données projet'!$B$11,Paramètres!$A$1:$I$89,5,0)</f>
        <v>3.5016603936352309</v>
      </c>
      <c r="BF11" s="13">
        <f t="shared" si="37"/>
        <v>1.3946736396044743</v>
      </c>
      <c r="BG11" s="20">
        <f t="shared" si="7"/>
        <v>8.5277817745591538</v>
      </c>
      <c r="BH11" s="59">
        <f t="shared" si="8"/>
        <v>274.97222621900363</v>
      </c>
      <c r="BI11" s="59">
        <f ca="1">AVERAGE(OFFSET($BH$3,0,0,'Données projet'!$E$11+1,1))-AVERAGE(OFFSET($H$3,0,0,'Données projet'!$E$11+1,1))</f>
        <v>349.5718186624772</v>
      </c>
      <c r="BJ11" s="59">
        <f t="shared" si="38"/>
        <v>258.14152930815959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9.9228571428571435</v>
      </c>
      <c r="BY11" s="12">
        <f>IF('Données projet'!$A$114&gt;35,BY10+BX11-CG10,IF(A11&lt;'Données projet'!$A$114,$BV$205^A11,IF(A11='Données projet'!$A$114,'Données projet'!$B$114,BY10+BX11-CG10)))</f>
        <v>79.382857142857134</v>
      </c>
      <c r="BZ11" s="13">
        <f>BY11*VLOOKUP('Données projet'!$B$12,Paramètres!$A$1:$I$89,3,0)*VLOOKUP('Données projet'!$B$12,Paramètres!$A$1:$I$89,5,0)</f>
        <v>37.151177142857144</v>
      </c>
      <c r="CA11" s="13">
        <f t="shared" si="39"/>
        <v>11.240350032876002</v>
      </c>
      <c r="CB11" s="20">
        <f t="shared" si="10"/>
        <v>84.28190983106856</v>
      </c>
      <c r="CC11" s="59">
        <f t="shared" si="11"/>
        <v>350.72635427551302</v>
      </c>
      <c r="CD11" s="59">
        <f ca="1">AVERAGE(OFFSET($CC$3,0,0,'Données projet'!$E$12+1,1))-AVERAGE(OFFSET($H$3,0,0,'Données projet'!$E$12+1,1))</f>
        <v>356.22620301934836</v>
      </c>
      <c r="CE11" s="59">
        <f t="shared" si="40"/>
        <v>342.25495410715513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3.8113157894736847</v>
      </c>
      <c r="CT11" s="12">
        <f>IF('Données projet'!$A$140&gt;35,CT10+CS11-DB10,IF(A11&lt;'Données projet'!$A$140,$CQ$205^A11,IF(A11='Données projet'!$A$140,'Données projet'!$B$140,CT10+CS11-DB10)))</f>
        <v>30.490526315789477</v>
      </c>
      <c r="CU11" s="17">
        <f>CT11*VLOOKUP('Données projet'!$B$13,Paramètres!$A$1:$I$89,3,0)*VLOOKUP('Données projet'!$B$13,Paramètres!$A$1:$I$89,5,0)</f>
        <v>34.722611368421056</v>
      </c>
      <c r="CV11" s="13">
        <f t="shared" si="41"/>
        <v>10.588566376560172</v>
      </c>
      <c r="CW11" s="20">
        <f t="shared" si="13"/>
        <v>78.916967905842299</v>
      </c>
      <c r="CX11" s="59">
        <f t="shared" si="14"/>
        <v>345.36141235028674</v>
      </c>
      <c r="CY11" s="59">
        <f ca="1">AVERAGE(OFFSET($CX$3,0,0,'Données projet'!$E$13+1,1))-AVERAGE(OFFSET($H$3,0,0,'Données projet'!$E$13+1,1))</f>
        <v>473.48875234867705</v>
      </c>
      <c r="CZ11" s="59">
        <f t="shared" si="42"/>
        <v>322.74347070996379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7.1952941176470588</v>
      </c>
      <c r="N12" s="13">
        <f>IF('Données projet'!$A$36&gt;35,N11+M12-V11,IF(A12&lt;'Données projet'!$A$36,$K$205^A12,IF(A12='Données projet'!$A$36,'Données projet'!$B$36,N11+M12-V11)))</f>
        <v>12.739304566466691</v>
      </c>
      <c r="O12" s="13">
        <f>N12*VLOOKUP('Données projet'!$B$9,Paramètres!$A$1:$I$89,3,0)*VLOOKUP('Données projet'!$B$9,Paramètres!$A$1:$I$89,5,0)</f>
        <v>7.6181041307470823</v>
      </c>
      <c r="P12" s="13">
        <f t="shared" si="33"/>
        <v>2.7717368121157255</v>
      </c>
      <c r="Q12" s="20">
        <f t="shared" si="2"/>
        <v>18.095639642152722</v>
      </c>
      <c r="R12" s="59">
        <f t="shared" si="0"/>
        <v>285.7623063088194</v>
      </c>
      <c r="S12" s="59">
        <f ca="1">AVERAGE(OFFSET($R$3,0,0,'Données projet'!$E$9+1,1))-AVERAGE(OFFSET($H$3,0,0,'Données projet'!$E$9+1,1))</f>
        <v>300.80663531652721</v>
      </c>
      <c r="T12" s="59">
        <f t="shared" si="34"/>
        <v>306.01967513533549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5.8668181818181813</v>
      </c>
      <c r="AI12" s="13">
        <f>IF('Données projet'!$A$62&gt;35,AI11+AH12-AQ11,IF(A12&lt;'Données projet'!$A$62,$AF$205^A12,IF(A12='Données projet'!$A$62,'Données projet'!$B$62,AI11+AH12-AQ11)))</f>
        <v>7.3033051182741131</v>
      </c>
      <c r="AJ12" s="13">
        <f>AI12*VLOOKUP('Données projet'!$B$10,Paramètres!$A$1:$I$89,3,0)*VLOOKUP('Données projet'!$B$10,Paramètres!$A$1:$I$89,5,0)</f>
        <v>4.36737646072792</v>
      </c>
      <c r="AK12" s="13">
        <f t="shared" si="35"/>
        <v>1.6953173735084623</v>
      </c>
      <c r="AL12" s="20">
        <f t="shared" si="4"/>
        <v>10.559191761295033</v>
      </c>
      <c r="AM12" s="59">
        <f t="shared" si="5"/>
        <v>278.22585842796173</v>
      </c>
      <c r="AN12" s="59">
        <f ca="1">AVERAGE(OFFSET($AM$3,0,0,'Données projet'!$E$10+1,1))-AVERAGE(OFFSET($H$3,0,0,'Données projet'!$E$10+1,1))</f>
        <v>349.5718186624772</v>
      </c>
      <c r="AO12" s="59">
        <f t="shared" si="36"/>
        <v>258.14152930815959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5.8668181818181813</v>
      </c>
      <c r="BD12" s="12">
        <f>IF('Données projet'!$A$88&gt;35,BD11+BC12-BL11,IF(A12&lt;'Données projet'!$A$88,$BA$205^A12,IF(A12='Données projet'!$A$88,'Données projet'!$B$88,BD11+BC12-BL11)))</f>
        <v>7.3033051182741131</v>
      </c>
      <c r="BE12" s="13">
        <f>BD12*VLOOKUP('Données projet'!$B$11,Paramètres!$A$1:$I$89,3,0)*VLOOKUP('Données projet'!$B$11,Paramètres!$A$1:$I$89,5,0)</f>
        <v>4.36737646072792</v>
      </c>
      <c r="BF12" s="13">
        <f t="shared" si="37"/>
        <v>1.6953173735084623</v>
      </c>
      <c r="BG12" s="20">
        <f t="shared" si="7"/>
        <v>10.559191761295033</v>
      </c>
      <c r="BH12" s="59">
        <f t="shared" si="8"/>
        <v>278.22585842796173</v>
      </c>
      <c r="BI12" s="59">
        <f ca="1">AVERAGE(OFFSET($BH$3,0,0,'Données projet'!$E$11+1,1))-AVERAGE(OFFSET($H$3,0,0,'Données projet'!$E$11+1,1))</f>
        <v>349.5718186624772</v>
      </c>
      <c r="BJ12" s="59">
        <f t="shared" si="38"/>
        <v>258.14152930815959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9.9228571428571435</v>
      </c>
      <c r="BY12" s="12">
        <f>IF('Données projet'!$A$114&gt;35,BY11+BX12-CG11,IF(A12&lt;'Données projet'!$A$114,$BV$205^A12,IF(A12='Données projet'!$A$114,'Données projet'!$B$114,BY11+BX12-CG11)))</f>
        <v>89.305714285714274</v>
      </c>
      <c r="BZ12" s="13">
        <f>BY12*VLOOKUP('Données projet'!$B$12,Paramètres!$A$1:$I$89,3,0)*VLOOKUP('Données projet'!$B$12,Paramètres!$A$1:$I$89,5,0)</f>
        <v>41.795074285714279</v>
      </c>
      <c r="CA12" s="13">
        <f t="shared" si="39"/>
        <v>12.473209147246388</v>
      </c>
      <c r="CB12" s="20">
        <f t="shared" si="10"/>
        <v>94.517260312406492</v>
      </c>
      <c r="CC12" s="59">
        <f t="shared" si="11"/>
        <v>362.18392697907319</v>
      </c>
      <c r="CD12" s="59">
        <f ca="1">AVERAGE(OFFSET($CC$3,0,0,'Données projet'!$E$12+1,1))-AVERAGE(OFFSET($H$3,0,0,'Données projet'!$E$12+1,1))</f>
        <v>356.22620301934836</v>
      </c>
      <c r="CE12" s="59">
        <f t="shared" si="40"/>
        <v>342.25495410715513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3.8113157894736847</v>
      </c>
      <c r="CT12" s="12">
        <f>IF('Données projet'!$A$140&gt;35,CT11+CS12-DB11,IF(A12&lt;'Données projet'!$A$140,$CQ$205^A12,IF(A12='Données projet'!$A$140,'Données projet'!$B$140,CT11+CS12-DB11)))</f>
        <v>34.301842105263162</v>
      </c>
      <c r="CU12" s="17">
        <f>CT12*VLOOKUP('Données projet'!$B$13,Paramètres!$A$1:$I$89,3,0)*VLOOKUP('Données projet'!$B$13,Paramètres!$A$1:$I$89,5,0)</f>
        <v>39.062937789473693</v>
      </c>
      <c r="CV12" s="13">
        <f t="shared" si="41"/>
        <v>11.749936843429696</v>
      </c>
      <c r="CW12" s="20">
        <f t="shared" si="13"/>
        <v>88.499089985640069</v>
      </c>
      <c r="CX12" s="59">
        <f t="shared" si="14"/>
        <v>356.16575665230675</v>
      </c>
      <c r="CY12" s="59">
        <f ca="1">AVERAGE(OFFSET($CX$3,0,0,'Données projet'!$E$13+1,1))-AVERAGE(OFFSET($H$3,0,0,'Données projet'!$E$13+1,1))</f>
        <v>473.48875234867705</v>
      </c>
      <c r="CZ12" s="59">
        <f t="shared" si="42"/>
        <v>322.74347070996379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7.1952941176470588</v>
      </c>
      <c r="N13" s="13">
        <f>IF('Données projet'!$A$36&gt;35,N12+M13-V12,IF(A13&lt;'Données projet'!$A$36,$K$205^A13,IF(A13='Données projet'!$A$36,'Données projet'!$B$36,N12+M13-V12)))</f>
        <v>16.902061968939393</v>
      </c>
      <c r="O13" s="13">
        <f>N13*VLOOKUP('Données projet'!$B$9,Paramètres!$A$1:$I$89,3,0)*VLOOKUP('Données projet'!$B$9,Paramètres!$A$1:$I$89,5,0)</f>
        <v>10.107433057425759</v>
      </c>
      <c r="P13" s="13">
        <f t="shared" si="33"/>
        <v>3.5583834102125023</v>
      </c>
      <c r="Q13" s="20">
        <f t="shared" si="2"/>
        <v>23.80129701446997</v>
      </c>
      <c r="R13" s="59">
        <f t="shared" si="0"/>
        <v>292.69018590335884</v>
      </c>
      <c r="S13" s="59">
        <f ca="1">AVERAGE(OFFSET($R$3,0,0,'Données projet'!$E$9+1,1))-AVERAGE(OFFSET($H$3,0,0,'Données projet'!$E$9+1,1))</f>
        <v>300.80663531652721</v>
      </c>
      <c r="T13" s="59">
        <f t="shared" si="34"/>
        <v>306.01967513533549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5.8668181818181813</v>
      </c>
      <c r="AI13" s="13">
        <f>IF('Données projet'!$A$62&gt;35,AI12+AH13-AQ12,IF(A13&lt;'Données projet'!$A$62,$AF$205^A13,IF(A13='Données projet'!$A$62,'Données projet'!$B$62,AI12+AH13-AQ12)))</f>
        <v>9.1089024272714045</v>
      </c>
      <c r="AJ13" s="13">
        <f>AI13*VLOOKUP('Données projet'!$B$10,Paramètres!$A$1:$I$89,3,0)*VLOOKUP('Données projet'!$B$10,Paramètres!$A$1:$I$89,5,0)</f>
        <v>5.4471236515083001</v>
      </c>
      <c r="AK13" s="13">
        <f t="shared" si="35"/>
        <v>2.0607695702449207</v>
      </c>
      <c r="AL13" s="20">
        <f t="shared" si="4"/>
        <v>13.076247361220192</v>
      </c>
      <c r="AM13" s="59">
        <f t="shared" si="5"/>
        <v>281.96513625010903</v>
      </c>
      <c r="AN13" s="59">
        <f ca="1">AVERAGE(OFFSET($AM$3,0,0,'Données projet'!$E$10+1,1))-AVERAGE(OFFSET($H$3,0,0,'Données projet'!$E$10+1,1))</f>
        <v>349.5718186624772</v>
      </c>
      <c r="AO13" s="59">
        <f t="shared" si="36"/>
        <v>258.14152930815959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5.8668181818181813</v>
      </c>
      <c r="BD13" s="12">
        <f>IF('Données projet'!$A$88&gt;35,BD12+BC13-BL12,IF(A13&lt;'Données projet'!$A$88,$BA$205^A13,IF(A13='Données projet'!$A$88,'Données projet'!$B$88,BD12+BC13-BL12)))</f>
        <v>9.1089024272714045</v>
      </c>
      <c r="BE13" s="13">
        <f>BD13*VLOOKUP('Données projet'!$B$11,Paramètres!$A$1:$I$89,3,0)*VLOOKUP('Données projet'!$B$11,Paramètres!$A$1:$I$89,5,0)</f>
        <v>5.4471236515083001</v>
      </c>
      <c r="BF13" s="13">
        <f t="shared" si="37"/>
        <v>2.0607695702449207</v>
      </c>
      <c r="BG13" s="20">
        <f t="shared" si="7"/>
        <v>13.076247361220192</v>
      </c>
      <c r="BH13" s="59">
        <f t="shared" si="8"/>
        <v>281.96513625010903</v>
      </c>
      <c r="BI13" s="59">
        <f ca="1">AVERAGE(OFFSET($BH$3,0,0,'Données projet'!$E$11+1,1))-AVERAGE(OFFSET($H$3,0,0,'Données projet'!$E$11+1,1))</f>
        <v>349.5718186624772</v>
      </c>
      <c r="BJ13" s="59">
        <f t="shared" si="38"/>
        <v>258.14152930815959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9.9228571428571435</v>
      </c>
      <c r="BY13" s="12">
        <f>IF('Données projet'!$A$114&gt;35,BY12+BX13-CG12,IF(A13&lt;'Données projet'!$A$114,$BV$205^A13,IF(A13='Données projet'!$A$114,'Données projet'!$B$114,BY12+BX13-CG12)))</f>
        <v>99.228571428571414</v>
      </c>
      <c r="BZ13" s="13">
        <f>BY13*VLOOKUP('Données projet'!$B$12,Paramètres!$A$1:$I$89,3,0)*VLOOKUP('Données projet'!$B$12,Paramètres!$A$1:$I$89,5,0)</f>
        <v>46.438971428571428</v>
      </c>
      <c r="CA13" s="13">
        <f t="shared" si="39"/>
        <v>13.690191501665755</v>
      </c>
      <c r="CB13" s="20">
        <f t="shared" si="10"/>
        <v>104.7249587701631</v>
      </c>
      <c r="CC13" s="59">
        <f t="shared" si="11"/>
        <v>373.61384765905194</v>
      </c>
      <c r="CD13" s="59">
        <f ca="1">AVERAGE(OFFSET($CC$3,0,0,'Données projet'!$E$12+1,1))-AVERAGE(OFFSET($H$3,0,0,'Données projet'!$E$12+1,1))</f>
        <v>356.22620301934836</v>
      </c>
      <c r="CE13" s="59">
        <f t="shared" si="40"/>
        <v>342.25495410715513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3.8113157894736847</v>
      </c>
      <c r="CT13" s="12">
        <f>IF('Données projet'!$A$140&gt;35,CT12+CS13-DB12,IF(A13&lt;'Données projet'!$A$140,$CQ$205^A13,IF(A13='Données projet'!$A$140,'Données projet'!$B$140,CT12+CS13-DB12)))</f>
        <v>38.113157894736844</v>
      </c>
      <c r="CU13" s="17">
        <f>CT13*VLOOKUP('Données projet'!$B$13,Paramètres!$A$1:$I$89,3,0)*VLOOKUP('Données projet'!$B$13,Paramètres!$A$1:$I$89,5,0)</f>
        <v>43.403264210526324</v>
      </c>
      <c r="CV13" s="13">
        <f t="shared" si="41"/>
        <v>12.896351181166727</v>
      </c>
      <c r="CW13" s="20">
        <f t="shared" si="13"/>
        <v>98.055163473865392</v>
      </c>
      <c r="CX13" s="59">
        <f t="shared" si="14"/>
        <v>366.94405236275423</v>
      </c>
      <c r="CY13" s="59">
        <f ca="1">AVERAGE(OFFSET($CX$3,0,0,'Données projet'!$E$13+1,1))-AVERAGE(OFFSET($H$3,0,0,'Données projet'!$E$13+1,1))</f>
        <v>473.48875234867705</v>
      </c>
      <c r="CZ13" s="59">
        <f t="shared" si="42"/>
        <v>322.74347070996379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7.1952941176470588</v>
      </c>
      <c r="N14" s="13">
        <f>IF('Données projet'!$A$36&gt;35,N13+M14-V13,IF(A14&lt;'Données projet'!$A$36,$K$205^A14,IF(A14='Données projet'!$A$36,'Données projet'!$B$36,N13+M14-V13)))</f>
        <v>22.425062318853254</v>
      </c>
      <c r="O14" s="13">
        <f>N14*VLOOKUP('Données projet'!$B$9,Paramètres!$A$1:$I$89,3,0)*VLOOKUP('Données projet'!$B$9,Paramètres!$A$1:$I$89,5,0)</f>
        <v>13.410187266674248</v>
      </c>
      <c r="P14" s="13">
        <f t="shared" si="33"/>
        <v>4.5682881717800319</v>
      </c>
      <c r="Q14" s="20">
        <f t="shared" si="2"/>
        <v>31.312511388641202</v>
      </c>
      <c r="R14" s="59">
        <f t="shared" si="0"/>
        <v>301.42362249975235</v>
      </c>
      <c r="S14" s="59">
        <f ca="1">AVERAGE(OFFSET($R$3,0,0,'Données projet'!$E$9+1,1))-AVERAGE(OFFSET($H$3,0,0,'Données projet'!$E$9+1,1))</f>
        <v>300.80663531652721</v>
      </c>
      <c r="T14" s="59">
        <f t="shared" si="34"/>
        <v>306.01967513533549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5.8668181818181813</v>
      </c>
      <c r="AI14" s="13">
        <f>IF('Données projet'!$A$62&gt;35,AI13+AH14-AQ13,IF(A14&lt;'Données projet'!$A$62,$AF$205^A14,IF(A14='Données projet'!$A$62,'Données projet'!$B$62,AI13+AH14-AQ13)))</f>
        <v>11.360897851842525</v>
      </c>
      <c r="AJ14" s="13">
        <f>AI14*VLOOKUP('Données projet'!$B$10,Paramètres!$A$1:$I$89,3,0)*VLOOKUP('Données projet'!$B$10,Paramètres!$A$1:$I$89,5,0)</f>
        <v>6.7938169154018313</v>
      </c>
      <c r="AK14" s="13">
        <f t="shared" si="35"/>
        <v>2.50500070842708</v>
      </c>
      <c r="AL14" s="20">
        <f t="shared" si="4"/>
        <v>16.195440694835355</v>
      </c>
      <c r="AM14" s="59">
        <f t="shared" si="5"/>
        <v>286.30655180594647</v>
      </c>
      <c r="AN14" s="59">
        <f ca="1">AVERAGE(OFFSET($AM$3,0,0,'Données projet'!$E$10+1,1))-AVERAGE(OFFSET($H$3,0,0,'Données projet'!$E$10+1,1))</f>
        <v>349.5718186624772</v>
      </c>
      <c r="AO14" s="59">
        <f t="shared" si="36"/>
        <v>258.14152930815959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5.8668181818181813</v>
      </c>
      <c r="BD14" s="12">
        <f>IF('Données projet'!$A$88&gt;35,BD13+BC14-BL13,IF(A14&lt;'Données projet'!$A$88,$BA$205^A14,IF(A14='Données projet'!$A$88,'Données projet'!$B$88,BD13+BC14-BL13)))</f>
        <v>11.360897851842525</v>
      </c>
      <c r="BE14" s="13">
        <f>BD14*VLOOKUP('Données projet'!$B$11,Paramètres!$A$1:$I$89,3,0)*VLOOKUP('Données projet'!$B$11,Paramètres!$A$1:$I$89,5,0)</f>
        <v>6.7938169154018313</v>
      </c>
      <c r="BF14" s="13">
        <f t="shared" si="37"/>
        <v>2.50500070842708</v>
      </c>
      <c r="BG14" s="20">
        <f t="shared" si="7"/>
        <v>16.195440694835355</v>
      </c>
      <c r="BH14" s="59">
        <f t="shared" si="8"/>
        <v>286.30655180594647</v>
      </c>
      <c r="BI14" s="59">
        <f ca="1">AVERAGE(OFFSET($BH$3,0,0,'Données projet'!$E$11+1,1))-AVERAGE(OFFSET($H$3,0,0,'Données projet'!$E$11+1,1))</f>
        <v>349.5718186624772</v>
      </c>
      <c r="BJ14" s="59">
        <f t="shared" si="38"/>
        <v>258.14152930815959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9.9228571428571435</v>
      </c>
      <c r="BY14" s="12">
        <f>IF('Données projet'!$A$114&gt;35,BY13+BX14-CG13,IF(A14&lt;'Données projet'!$A$114,$BV$205^A14,IF(A14='Données projet'!$A$114,'Données projet'!$B$114,BY13+BX14-CG13)))</f>
        <v>109.15142857142855</v>
      </c>
      <c r="BZ14" s="13">
        <f>BY14*VLOOKUP('Données projet'!$B$12,Paramètres!$A$1:$I$89,3,0)*VLOOKUP('Données projet'!$B$12,Paramètres!$A$1:$I$89,5,0)</f>
        <v>51.082868571428563</v>
      </c>
      <c r="CA14" s="13">
        <f t="shared" si="39"/>
        <v>14.893065508616067</v>
      </c>
      <c r="CB14" s="20">
        <f t="shared" si="10"/>
        <v>114.90808518941105</v>
      </c>
      <c r="CC14" s="59">
        <f t="shared" si="11"/>
        <v>385.0191963005222</v>
      </c>
      <c r="CD14" s="59">
        <f ca="1">AVERAGE(OFFSET($CC$3,0,0,'Données projet'!$E$12+1,1))-AVERAGE(OFFSET($H$3,0,0,'Données projet'!$E$12+1,1))</f>
        <v>356.22620301934836</v>
      </c>
      <c r="CE14" s="59">
        <f t="shared" si="40"/>
        <v>342.25495410715513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3.8113157894736847</v>
      </c>
      <c r="CT14" s="12">
        <f>IF('Données projet'!$A$140&gt;35,CT13+CS14-DB13,IF(A14&lt;'Données projet'!$A$140,$CQ$205^A14,IF(A14='Données projet'!$A$140,'Données projet'!$B$140,CT13+CS14-DB13)))</f>
        <v>41.924473684210525</v>
      </c>
      <c r="CU14" s="17">
        <f>CT14*VLOOKUP('Données projet'!$B$13,Paramètres!$A$1:$I$89,3,0)*VLOOKUP('Données projet'!$B$13,Paramètres!$A$1:$I$89,5,0)</f>
        <v>47.743590631578947</v>
      </c>
      <c r="CV14" s="13">
        <f t="shared" si="41"/>
        <v>14.029475258973886</v>
      </c>
      <c r="CW14" s="20">
        <f t="shared" si="13"/>
        <v>107.5880897593795</v>
      </c>
      <c r="CX14" s="59">
        <f t="shared" si="14"/>
        <v>377.69920087049064</v>
      </c>
      <c r="CY14" s="59">
        <f ca="1">AVERAGE(OFFSET($CX$3,0,0,'Données projet'!$E$13+1,1))-AVERAGE(OFFSET($H$3,0,0,'Données projet'!$E$13+1,1))</f>
        <v>473.48875234867705</v>
      </c>
      <c r="CZ14" s="59">
        <f t="shared" si="42"/>
        <v>322.74347070996379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7.1952941176470588</v>
      </c>
      <c r="N15" s="13">
        <f>IF('Données projet'!$A$36&gt;35,N14+M15-V14,IF(A15&lt;'Données projet'!$A$36,$K$205^A15,IF(A15='Données projet'!$A$36,'Données projet'!$B$36,N14+M15-V14)))</f>
        <v>29.752785247657449</v>
      </c>
      <c r="O15" s="13">
        <f>N15*VLOOKUP('Données projet'!$B$9,Paramètres!$A$1:$I$89,3,0)*VLOOKUP('Données projet'!$B$9,Paramètres!$A$1:$I$89,5,0)</f>
        <v>17.792165578099155</v>
      </c>
      <c r="P15" s="13">
        <f t="shared" si="33"/>
        <v>5.8648139940544119</v>
      </c>
      <c r="Q15" s="20">
        <f t="shared" si="2"/>
        <v>41.202572754834129</v>
      </c>
      <c r="R15" s="59">
        <f t="shared" si="0"/>
        <v>312.53590608816745</v>
      </c>
      <c r="S15" s="59">
        <f ca="1">AVERAGE(OFFSET($R$3,0,0,'Données projet'!$E$9+1,1))-AVERAGE(OFFSET($H$3,0,0,'Données projet'!$E$9+1,1))</f>
        <v>300.80663531652721</v>
      </c>
      <c r="T15" s="59">
        <f t="shared" si="34"/>
        <v>306.01967513533549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5.8668181818181813</v>
      </c>
      <c r="AI15" s="13">
        <f>IF('Données projet'!$A$62&gt;35,AI14+AH15-AQ14,IF(A15&lt;'Données projet'!$A$62,$AF$205^A15,IF(A15='Données projet'!$A$62,'Données projet'!$B$62,AI14+AH15-AQ14)))</f>
        <v>14.169654470507195</v>
      </c>
      <c r="AJ15" s="13">
        <f>AI15*VLOOKUP('Données projet'!$B$10,Paramètres!$A$1:$I$89,3,0)*VLOOKUP('Données projet'!$B$10,Paramètres!$A$1:$I$89,5,0)</f>
        <v>8.4734533733633022</v>
      </c>
      <c r="AK15" s="13">
        <f t="shared" si="35"/>
        <v>3.044992822013763</v>
      </c>
      <c r="AL15" s="20">
        <f t="shared" si="4"/>
        <v>20.06129379028172</v>
      </c>
      <c r="AM15" s="59">
        <f t="shared" si="5"/>
        <v>291.39462712361501</v>
      </c>
      <c r="AN15" s="59">
        <f ca="1">AVERAGE(OFFSET($AM$3,0,0,'Données projet'!$E$10+1,1))-AVERAGE(OFFSET($H$3,0,0,'Données projet'!$E$10+1,1))</f>
        <v>349.5718186624772</v>
      </c>
      <c r="AO15" s="59">
        <f t="shared" si="36"/>
        <v>258.14152930815959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5.8668181818181813</v>
      </c>
      <c r="BD15" s="12">
        <f>IF('Données projet'!$A$88&gt;35,BD14+BC15-BL14,IF(A15&lt;'Données projet'!$A$88,$BA$205^A15,IF(A15='Données projet'!$A$88,'Données projet'!$B$88,BD14+BC15-BL14)))</f>
        <v>14.169654470507195</v>
      </c>
      <c r="BE15" s="13">
        <f>BD15*VLOOKUP('Données projet'!$B$11,Paramètres!$A$1:$I$89,3,0)*VLOOKUP('Données projet'!$B$11,Paramètres!$A$1:$I$89,5,0)</f>
        <v>8.4734533733633022</v>
      </c>
      <c r="BF15" s="13">
        <f t="shared" si="37"/>
        <v>3.044992822013763</v>
      </c>
      <c r="BG15" s="20">
        <f t="shared" si="7"/>
        <v>20.06129379028172</v>
      </c>
      <c r="BH15" s="59">
        <f t="shared" si="8"/>
        <v>291.39462712361501</v>
      </c>
      <c r="BI15" s="59">
        <f ca="1">AVERAGE(OFFSET($BH$3,0,0,'Données projet'!$E$11+1,1))-AVERAGE(OFFSET($H$3,0,0,'Données projet'!$E$11+1,1))</f>
        <v>349.5718186624772</v>
      </c>
      <c r="BJ15" s="59">
        <f t="shared" si="38"/>
        <v>258.14152930815959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9.9228571428571435</v>
      </c>
      <c r="BY15" s="12">
        <f>IF('Données projet'!$A$114&gt;35,BY14+BX15-CG14,IF(A15&lt;'Données projet'!$A$114,$BV$205^A15,IF(A15='Données projet'!$A$114,'Données projet'!$B$114,BY14+BX15-CG14)))</f>
        <v>119.07428571428569</v>
      </c>
      <c r="BZ15" s="13">
        <f>BY15*VLOOKUP('Données projet'!$B$12,Paramètres!$A$1:$I$89,3,0)*VLOOKUP('Données projet'!$B$12,Paramètres!$A$1:$I$89,5,0)</f>
        <v>55.726765714285705</v>
      </c>
      <c r="CA15" s="13">
        <f t="shared" si="39"/>
        <v>16.083259609160287</v>
      </c>
      <c r="CB15" s="20">
        <f t="shared" si="10"/>
        <v>125.0691274383351</v>
      </c>
      <c r="CC15" s="59">
        <f t="shared" si="11"/>
        <v>396.40246077166842</v>
      </c>
      <c r="CD15" s="59">
        <f ca="1">AVERAGE(OFFSET($CC$3,0,0,'Données projet'!$E$12+1,1))-AVERAGE(OFFSET($H$3,0,0,'Données projet'!$E$12+1,1))</f>
        <v>356.22620301934836</v>
      </c>
      <c r="CE15" s="59">
        <f t="shared" si="40"/>
        <v>342.25495410715513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3.8113157894736847</v>
      </c>
      <c r="CT15" s="12">
        <f>IF('Données projet'!$A$140&gt;35,CT14+CS15-DB14,IF(A15&lt;'Données projet'!$A$140,$CQ$205^A15,IF(A15='Données projet'!$A$140,'Données projet'!$B$140,CT14+CS15-DB14)))</f>
        <v>45.735789473684207</v>
      </c>
      <c r="CU15" s="17">
        <f>CT15*VLOOKUP('Données projet'!$B$13,Paramètres!$A$1:$I$89,3,0)*VLOOKUP('Données projet'!$B$13,Paramètres!$A$1:$I$89,5,0)</f>
        <v>52.083917052631577</v>
      </c>
      <c r="CV15" s="13">
        <f t="shared" si="41"/>
        <v>15.150654688239246</v>
      </c>
      <c r="CW15" s="20">
        <f t="shared" si="13"/>
        <v>117.10021244868334</v>
      </c>
      <c r="CX15" s="59">
        <f t="shared" si="14"/>
        <v>388.43354578201667</v>
      </c>
      <c r="CY15" s="59">
        <f ca="1">AVERAGE(OFFSET($CX$3,0,0,'Données projet'!$E$13+1,1))-AVERAGE(OFFSET($H$3,0,0,'Données projet'!$E$13+1,1))</f>
        <v>473.48875234867705</v>
      </c>
      <c r="CZ15" s="59">
        <f t="shared" si="42"/>
        <v>322.74347070996379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7.1952941176470588</v>
      </c>
      <c r="N16" s="13">
        <f>IF('Données projet'!$A$36&gt;35,N15+M16-V15,IF(A16&lt;'Données projet'!$A$36,$K$205^A16,IF(A16='Données projet'!$A$36,'Données projet'!$B$36,N15+M16-V15)))</f>
        <v>39.474950722834407</v>
      </c>
      <c r="O16" s="13">
        <f>N16*VLOOKUP('Données projet'!$B$9,Paramètres!$A$1:$I$89,3,0)*VLOOKUP('Données projet'!$B$9,Paramètres!$A$1:$I$89,5,0)</f>
        <v>23.606020532254977</v>
      </c>
      <c r="P16" s="13">
        <f t="shared" si="33"/>
        <v>7.5293067975293804</v>
      </c>
      <c r="Q16" s="20">
        <f t="shared" si="2"/>
        <v>54.227361766041078</v>
      </c>
      <c r="R16" s="59">
        <f t="shared" si="0"/>
        <v>326.78291732159664</v>
      </c>
      <c r="S16" s="59">
        <f ca="1">AVERAGE(OFFSET($R$3,0,0,'Données projet'!$E$9+1,1))-AVERAGE(OFFSET($H$3,0,0,'Données projet'!$E$9+1,1))</f>
        <v>300.80663531652721</v>
      </c>
      <c r="T16" s="59">
        <f t="shared" si="34"/>
        <v>306.01967513533549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5.8668181818181813</v>
      </c>
      <c r="AI16" s="13">
        <f>IF('Données projet'!$A$62&gt;35,AI15+AH16-AQ15,IF(A16&lt;'Données projet'!$A$62,$AF$205^A16,IF(A16='Données projet'!$A$62,'Données projet'!$B$62,AI15+AH16-AQ15)))</f>
        <v>17.672820443588613</v>
      </c>
      <c r="AJ16" s="13">
        <f>AI16*VLOOKUP('Données projet'!$B$10,Paramètres!$A$1:$I$89,3,0)*VLOOKUP('Données projet'!$B$10,Paramètres!$A$1:$I$89,5,0)</f>
        <v>10.56834662526599</v>
      </c>
      <c r="AK16" s="13">
        <f t="shared" si="35"/>
        <v>3.7013886882041378</v>
      </c>
      <c r="AL16" s="20">
        <f t="shared" si="4"/>
        <v>24.853122337627141</v>
      </c>
      <c r="AM16" s="59">
        <f t="shared" si="5"/>
        <v>297.4086778931827</v>
      </c>
      <c r="AN16" s="59">
        <f ca="1">AVERAGE(OFFSET($AM$3,0,0,'Données projet'!$E$10+1,1))-AVERAGE(OFFSET($H$3,0,0,'Données projet'!$E$10+1,1))</f>
        <v>349.5718186624772</v>
      </c>
      <c r="AO16" s="59">
        <f t="shared" si="36"/>
        <v>258.14152930815959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5.8668181818181813</v>
      </c>
      <c r="BD16" s="12">
        <f>IF('Données projet'!$A$88&gt;35,BD15+BC16-BL15,IF(A16&lt;'Données projet'!$A$88,$BA$205^A16,IF(A16='Données projet'!$A$88,'Données projet'!$B$88,BD15+BC16-BL15)))</f>
        <v>17.672820443588613</v>
      </c>
      <c r="BE16" s="13">
        <f>BD16*VLOOKUP('Données projet'!$B$11,Paramètres!$A$1:$I$89,3,0)*VLOOKUP('Données projet'!$B$11,Paramètres!$A$1:$I$89,5,0)</f>
        <v>10.56834662526599</v>
      </c>
      <c r="BF16" s="13">
        <f t="shared" si="37"/>
        <v>3.7013886882041378</v>
      </c>
      <c r="BG16" s="20">
        <f t="shared" si="7"/>
        <v>24.853122337627141</v>
      </c>
      <c r="BH16" s="59">
        <f t="shared" si="8"/>
        <v>297.4086778931827</v>
      </c>
      <c r="BI16" s="59">
        <f ca="1">AVERAGE(OFFSET($BH$3,0,0,'Données projet'!$E$11+1,1))-AVERAGE(OFFSET($H$3,0,0,'Données projet'!$E$11+1,1))</f>
        <v>349.5718186624772</v>
      </c>
      <c r="BJ16" s="59">
        <f t="shared" si="38"/>
        <v>258.14152930815959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9.9228571428571435</v>
      </c>
      <c r="BY16" s="12">
        <f>IF('Données projet'!$A$114&gt;35,BY15+BX16-CG15,IF(A16&lt;'Données projet'!$A$114,$BV$205^A16,IF(A16='Données projet'!$A$114,'Données projet'!$B$114,BY15+BX16-CG15)))</f>
        <v>128.99714285714285</v>
      </c>
      <c r="BZ16" s="13">
        <f>BY16*VLOOKUP('Données projet'!$B$12,Paramètres!$A$1:$I$89,3,0)*VLOOKUP('Données projet'!$B$12,Paramètres!$A$1:$I$89,5,0)</f>
        <v>60.370662857142847</v>
      </c>
      <c r="CA16" s="13">
        <f t="shared" si="39"/>
        <v>17.261950594894824</v>
      </c>
      <c r="CB16" s="20">
        <f t="shared" si="10"/>
        <v>135.21013509563227</v>
      </c>
      <c r="CC16" s="59">
        <f t="shared" si="11"/>
        <v>407.76569065118781</v>
      </c>
      <c r="CD16" s="59">
        <f ca="1">AVERAGE(OFFSET($CC$3,0,0,'Données projet'!$E$12+1,1))-AVERAGE(OFFSET($H$3,0,0,'Données projet'!$E$12+1,1))</f>
        <v>356.22620301934836</v>
      </c>
      <c r="CE16" s="59">
        <f t="shared" si="40"/>
        <v>342.25495410715513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3.8113157894736847</v>
      </c>
      <c r="CT16" s="12">
        <f>IF('Données projet'!$A$140&gt;35,CT15+CS16-DB15,IF(A16&lt;'Données projet'!$A$140,$CQ$205^A16,IF(A16='Données projet'!$A$140,'Données projet'!$B$140,CT15+CS16-DB15)))</f>
        <v>49.547105263157889</v>
      </c>
      <c r="CU16" s="17">
        <f>CT16*VLOOKUP('Données projet'!$B$13,Paramètres!$A$1:$I$89,3,0)*VLOOKUP('Données projet'!$B$13,Paramètres!$A$1:$I$89,5,0)</f>
        <v>56.4242434736842</v>
      </c>
      <c r="CV16" s="13">
        <f t="shared" si="41"/>
        <v>16.260998023046398</v>
      </c>
      <c r="CW16" s="20">
        <f t="shared" si="13"/>
        <v>126.59346227347247</v>
      </c>
      <c r="CX16" s="59">
        <f t="shared" si="14"/>
        <v>399.14901782902803</v>
      </c>
      <c r="CY16" s="59">
        <f ca="1">AVERAGE(OFFSET($CX$3,0,0,'Données projet'!$E$13+1,1))-AVERAGE(OFFSET($H$3,0,0,'Données projet'!$E$13+1,1))</f>
        <v>473.48875234867705</v>
      </c>
      <c r="CZ16" s="59">
        <f t="shared" si="42"/>
        <v>322.74347070996379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7.1952941176470588</v>
      </c>
      <c r="N17" s="13">
        <f>IF('Données projet'!$A$36&gt;35,N16+M17-V16,IF(A17&lt;'Données projet'!$A$36,$K$205^A17,IF(A17='Données projet'!$A$36,'Données projet'!$B$36,N16+M17-V16)))</f>
        <v>52.373978489724536</v>
      </c>
      <c r="O17" s="13">
        <f>N17*VLOOKUP('Données projet'!$B$9,Paramètres!$A$1:$I$89,3,0)*VLOOKUP('Données projet'!$B$9,Paramètres!$A$1:$I$89,5,0)</f>
        <v>31.319639136855276</v>
      </c>
      <c r="P17" s="13">
        <f t="shared" si="33"/>
        <v>9.6661992876148126</v>
      </c>
      <c r="Q17" s="20">
        <f t="shared" si="2"/>
        <v>71.383668589285392</v>
      </c>
      <c r="R17" s="59">
        <f t="shared" si="0"/>
        <v>345.16144636706315</v>
      </c>
      <c r="S17" s="59">
        <f ca="1">AVERAGE(OFFSET($R$3,0,0,'Données projet'!$E$9+1,1))-AVERAGE(OFFSET($H$3,0,0,'Données projet'!$E$9+1,1))</f>
        <v>300.80663531652721</v>
      </c>
      <c r="T17" s="59">
        <f t="shared" si="34"/>
        <v>306.01967513533549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5.8668181818181813</v>
      </c>
      <c r="AI17" s="13">
        <f>IF('Données projet'!$A$62&gt;35,AI16+AH17-AQ16,IF(A17&lt;'Données projet'!$A$62,$AF$205^A17,IF(A17='Données projet'!$A$62,'Données projet'!$B$62,AI16+AH17-AQ16)))</f>
        <v>22.042074708413409</v>
      </c>
      <c r="AJ17" s="13">
        <f>AI17*VLOOKUP('Données projet'!$B$10,Paramètres!$A$1:$I$89,3,0)*VLOOKUP('Données projet'!$B$10,Paramètres!$A$1:$I$89,5,0)</f>
        <v>13.181160675631221</v>
      </c>
      <c r="AK17" s="13">
        <f t="shared" si="35"/>
        <v>4.4992809579449391</v>
      </c>
      <c r="AL17" s="20">
        <f t="shared" si="4"/>
        <v>30.793435845145144</v>
      </c>
      <c r="AM17" s="59">
        <f t="shared" si="5"/>
        <v>304.57121362292293</v>
      </c>
      <c r="AN17" s="59">
        <f ca="1">AVERAGE(OFFSET($AM$3,0,0,'Données projet'!$E$10+1,1))-AVERAGE(OFFSET($H$3,0,0,'Données projet'!$E$10+1,1))</f>
        <v>349.5718186624772</v>
      </c>
      <c r="AO17" s="59">
        <f t="shared" si="36"/>
        <v>258.14152930815959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5.8668181818181813</v>
      </c>
      <c r="BD17" s="12">
        <f>IF('Données projet'!$A$88&gt;35,BD16+BC17-BL16,IF(A17&lt;'Données projet'!$A$88,$BA$205^A17,IF(A17='Données projet'!$A$88,'Données projet'!$B$88,BD16+BC17-BL16)))</f>
        <v>22.042074708413409</v>
      </c>
      <c r="BE17" s="13">
        <f>BD17*VLOOKUP('Données projet'!$B$11,Paramètres!$A$1:$I$89,3,0)*VLOOKUP('Données projet'!$B$11,Paramètres!$A$1:$I$89,5,0)</f>
        <v>13.181160675631221</v>
      </c>
      <c r="BF17" s="13">
        <f t="shared" si="37"/>
        <v>4.4992809579449391</v>
      </c>
      <c r="BG17" s="20">
        <f t="shared" si="7"/>
        <v>30.793435845145144</v>
      </c>
      <c r="BH17" s="59">
        <f t="shared" si="8"/>
        <v>304.57121362292293</v>
      </c>
      <c r="BI17" s="59">
        <f ca="1">AVERAGE(OFFSET($BH$3,0,0,'Données projet'!$E$11+1,1))-AVERAGE(OFFSET($H$3,0,0,'Données projet'!$E$11+1,1))</f>
        <v>349.5718186624772</v>
      </c>
      <c r="BJ17" s="59">
        <f t="shared" si="38"/>
        <v>258.14152930815959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9.9228571428571435</v>
      </c>
      <c r="BY17" s="12">
        <f>IF('Données projet'!$A$114&gt;35,BY16+BX17-CG16,IF(A17&lt;'Données projet'!$A$114,$BV$205^A17,IF(A17='Données projet'!$A$114,'Données projet'!$B$114,BY16+BX17-CG16)))</f>
        <v>138.91999999999999</v>
      </c>
      <c r="BZ17" s="13">
        <f>BY17*VLOOKUP('Données projet'!$B$12,Paramètres!$A$1:$I$89,3,0)*VLOOKUP('Données projet'!$B$12,Paramètres!$A$1:$I$89,5,0)</f>
        <v>65.014560000000003</v>
      </c>
      <c r="CA17" s="13">
        <f t="shared" si="39"/>
        <v>18.430123928042022</v>
      </c>
      <c r="CB17" s="20">
        <f t="shared" si="10"/>
        <v>145.33282450800652</v>
      </c>
      <c r="CC17" s="59">
        <f t="shared" si="11"/>
        <v>419.1106022857843</v>
      </c>
      <c r="CD17" s="59">
        <f ca="1">AVERAGE(OFFSET($CC$3,0,0,'Données projet'!$E$12+1,1))-AVERAGE(OFFSET($H$3,0,0,'Données projet'!$E$12+1,1))</f>
        <v>356.22620301934836</v>
      </c>
      <c r="CE17" s="59">
        <f t="shared" si="40"/>
        <v>342.25495410715513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3.8113157894736847</v>
      </c>
      <c r="CT17" s="12">
        <f>IF('Données projet'!$A$140&gt;35,CT16+CS17-DB16,IF(A17&lt;'Données projet'!$A$140,$CQ$205^A17,IF(A17='Données projet'!$A$140,'Données projet'!$B$140,CT16+CS17-DB16)))</f>
        <v>53.35842105263157</v>
      </c>
      <c r="CU17" s="17">
        <f>CT17*VLOOKUP('Données projet'!$B$13,Paramètres!$A$1:$I$89,3,0)*VLOOKUP('Données projet'!$B$13,Paramètres!$A$1:$I$89,5,0)</f>
        <v>60.76456989473683</v>
      </c>
      <c r="CV17" s="13">
        <f t="shared" si="41"/>
        <v>17.361433582542201</v>
      </c>
      <c r="CW17" s="20">
        <f t="shared" si="13"/>
        <v>136.06945605626098</v>
      </c>
      <c r="CX17" s="59">
        <f t="shared" si="14"/>
        <v>409.84723383403878</v>
      </c>
      <c r="CY17" s="59">
        <f ca="1">AVERAGE(OFFSET($CX$3,0,0,'Données projet'!$E$13+1,1))-AVERAGE(OFFSET($H$3,0,0,'Données projet'!$E$13+1,1))</f>
        <v>473.48875234867705</v>
      </c>
      <c r="CZ17" s="59">
        <f t="shared" si="42"/>
        <v>322.74347070996379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7.1952941176470588</v>
      </c>
      <c r="N18" s="13">
        <f>IF('Données projet'!$A$36&gt;35,N17+M18-V17,IF(A18&lt;'Données projet'!$A$36,$K$205^A18,IF(A18='Données projet'!$A$36,'Données projet'!$B$36,N17+M18-V17)))</f>
        <v>69.487955592441367</v>
      </c>
      <c r="O18" s="13">
        <f>N18*VLOOKUP('Données projet'!$B$9,Paramètres!$A$1:$I$89,3,0)*VLOOKUP('Données projet'!$B$9,Paramètres!$A$1:$I$89,5,0)</f>
        <v>41.553797444279937</v>
      </c>
      <c r="P18" s="13">
        <f t="shared" si="33"/>
        <v>12.409563214842624</v>
      </c>
      <c r="Q18" s="20">
        <f t="shared" si="2"/>
        <v>93.986186481305097</v>
      </c>
      <c r="R18" s="59">
        <f t="shared" si="0"/>
        <v>368.98618648130508</v>
      </c>
      <c r="S18" s="59">
        <f ca="1">AVERAGE(OFFSET($R$3,0,0,'Données projet'!$E$9+1,1))-AVERAGE(OFFSET($H$3,0,0,'Données projet'!$E$9+1,1))</f>
        <v>300.80663531652721</v>
      </c>
      <c r="T18" s="59">
        <f t="shared" si="34"/>
        <v>306.01967513533549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5.8668181818181813</v>
      </c>
      <c r="AI18" s="13">
        <f>IF('Données projet'!$A$62&gt;35,AI17+AH18-AQ17,IF(A18&lt;'Données projet'!$A$62,$AF$205^A18,IF(A18='Données projet'!$A$62,'Données projet'!$B$62,AI17+AH18-AQ17)))</f>
        <v>27.491540413830034</v>
      </c>
      <c r="AJ18" s="13">
        <f>AI18*VLOOKUP('Données projet'!$B$10,Paramètres!$A$1:$I$89,3,0)*VLOOKUP('Données projet'!$B$10,Paramètres!$A$1:$I$89,5,0)</f>
        <v>16.439941167470362</v>
      </c>
      <c r="AK18" s="13">
        <f t="shared" si="35"/>
        <v>5.4691713958708279</v>
      </c>
      <c r="AL18" s="20">
        <f t="shared" si="4"/>
        <v>38.158371047819237</v>
      </c>
      <c r="AM18" s="59">
        <f t="shared" si="5"/>
        <v>313.15837104781923</v>
      </c>
      <c r="AN18" s="59">
        <f ca="1">AVERAGE(OFFSET($AM$3,0,0,'Données projet'!$E$10+1,1))-AVERAGE(OFFSET($H$3,0,0,'Données projet'!$E$10+1,1))</f>
        <v>349.5718186624772</v>
      </c>
      <c r="AO18" s="59">
        <f t="shared" si="36"/>
        <v>258.14152930815959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5.8668181818181813</v>
      </c>
      <c r="BD18" s="12">
        <f>IF('Données projet'!$A$88&gt;35,BD17+BC18-BL17,IF(A18&lt;'Données projet'!$A$88,$BA$205^A18,IF(A18='Données projet'!$A$88,'Données projet'!$B$88,BD17+BC18-BL17)))</f>
        <v>27.491540413830034</v>
      </c>
      <c r="BE18" s="13">
        <f>BD18*VLOOKUP('Données projet'!$B$11,Paramètres!$A$1:$I$89,3,0)*VLOOKUP('Données projet'!$B$11,Paramètres!$A$1:$I$89,5,0)</f>
        <v>16.439941167470362</v>
      </c>
      <c r="BF18" s="13">
        <f t="shared" si="37"/>
        <v>5.4691713958708279</v>
      </c>
      <c r="BG18" s="20">
        <f t="shared" si="7"/>
        <v>38.158371047819237</v>
      </c>
      <c r="BH18" s="59">
        <f t="shared" si="8"/>
        <v>313.15837104781923</v>
      </c>
      <c r="BI18" s="59">
        <f ca="1">AVERAGE(OFFSET($BH$3,0,0,'Données projet'!$E$11+1,1))-AVERAGE(OFFSET($H$3,0,0,'Données projet'!$E$11+1,1))</f>
        <v>349.5718186624772</v>
      </c>
      <c r="BJ18" s="59">
        <f t="shared" si="38"/>
        <v>258.14152930815959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9.9228571428571435</v>
      </c>
      <c r="BY18" s="12">
        <f>IF('Données projet'!$A$114&gt;35,BY17+BX18-CG17,IF(A18&lt;'Données projet'!$A$114,$BV$205^A18,IF(A18='Données projet'!$A$114,'Données projet'!$B$114,BY17+BX18-CG17)))</f>
        <v>148.84285714285713</v>
      </c>
      <c r="BZ18" s="13">
        <f>BY18*VLOOKUP('Données projet'!$B$12,Paramètres!$A$1:$I$89,3,0)*VLOOKUP('Données projet'!$B$12,Paramètres!$A$1:$I$89,5,0)</f>
        <v>69.658457142857131</v>
      </c>
      <c r="CA18" s="13">
        <f t="shared" si="39"/>
        <v>19.588616313230013</v>
      </c>
      <c r="CB18" s="20">
        <f t="shared" si="10"/>
        <v>155.43865293601846</v>
      </c>
      <c r="CC18" s="59">
        <f t="shared" si="11"/>
        <v>430.43865293601846</v>
      </c>
      <c r="CD18" s="59">
        <f ca="1">AVERAGE(OFFSET($CC$3,0,0,'Données projet'!$E$12+1,1))-AVERAGE(OFFSET($H$3,0,0,'Données projet'!$E$12+1,1))</f>
        <v>356.22620301934836</v>
      </c>
      <c r="CE18" s="59">
        <f t="shared" si="40"/>
        <v>342.25495410715513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3.8113157894736847</v>
      </c>
      <c r="CT18" s="12">
        <f>IF('Données projet'!$A$140&gt;35,CT17+CS18-DB17,IF(A18&lt;'Données projet'!$A$140,$CQ$205^A18,IF(A18='Données projet'!$A$140,'Données projet'!$B$140,CT17+CS18-DB17)))</f>
        <v>57.169736842105252</v>
      </c>
      <c r="CU18" s="17">
        <f>CT18*VLOOKUP('Données projet'!$B$13,Paramètres!$A$1:$I$89,3,0)*VLOOKUP('Données projet'!$B$13,Paramètres!$A$1:$I$89,5,0)</f>
        <v>65.10489631578946</v>
      </c>
      <c r="CV18" s="13">
        <f t="shared" si="41"/>
        <v>18.452749554146699</v>
      </c>
      <c r="CW18" s="20">
        <f t="shared" si="13"/>
        <v>145.52956655680546</v>
      </c>
      <c r="CX18" s="59">
        <f t="shared" si="14"/>
        <v>420.52956655680543</v>
      </c>
      <c r="CY18" s="59">
        <f ca="1">AVERAGE(OFFSET($CX$3,0,0,'Données projet'!$E$13+1,1))-AVERAGE(OFFSET($H$3,0,0,'Données projet'!$E$13+1,1))</f>
        <v>473.48875234867705</v>
      </c>
      <c r="CZ18" s="59">
        <f t="shared" si="42"/>
        <v>322.74347070996379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7.1952941176470588</v>
      </c>
      <c r="N19" s="13">
        <f>IF('Données projet'!$A$36&gt;35,N18+M19-V18,IF(A19&lt;'Données projet'!$A$36,$K$205^A19,IF(A19='Données projet'!$A$36,'Données projet'!$B$36,N18+M19-V18)))</f>
        <v>92.194179469570756</v>
      </c>
      <c r="O19" s="13">
        <f>N19*VLOOKUP('Données projet'!$B$9,Paramètres!$A$1:$I$89,3,0)*VLOOKUP('Données projet'!$B$9,Paramètres!$A$1:$I$89,5,0)</f>
        <v>55.13211932280332</v>
      </c>
      <c r="P19" s="13">
        <f t="shared" si="33"/>
        <v>15.931521231978957</v>
      </c>
      <c r="Q19" s="20">
        <f t="shared" si="2"/>
        <v>123.76917396624582</v>
      </c>
      <c r="R19" s="59">
        <f t="shared" si="0"/>
        <v>399.99139618846806</v>
      </c>
      <c r="S19" s="59">
        <f ca="1">AVERAGE(OFFSET($R$3,0,0,'Données projet'!$E$9+1,1))-AVERAGE(OFFSET($H$3,0,0,'Données projet'!$E$9+1,1))</f>
        <v>300.80663531652721</v>
      </c>
      <c r="T19" s="59">
        <f t="shared" si="34"/>
        <v>306.01967513533549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5.8668181818181813</v>
      </c>
      <c r="AI19" s="13">
        <f>IF('Données projet'!$A$62&gt;35,AI18+AH19-AQ18,IF(A19&lt;'Données projet'!$A$62,$AF$205^A19,IF(A19='Données projet'!$A$62,'Données projet'!$B$62,AI18+AH19-AQ18)))</f>
        <v>34.288278409507839</v>
      </c>
      <c r="AJ19" s="13">
        <f>AI19*VLOOKUP('Données projet'!$B$10,Paramètres!$A$1:$I$89,3,0)*VLOOKUP('Données projet'!$B$10,Paramètres!$A$1:$I$89,5,0)</f>
        <v>20.50439048888569</v>
      </c>
      <c r="AK19" s="13">
        <f t="shared" si="35"/>
        <v>6.6481368994289252</v>
      </c>
      <c r="AL19" s="20">
        <f t="shared" si="4"/>
        <v>47.290651867981289</v>
      </c>
      <c r="AM19" s="59">
        <f t="shared" si="5"/>
        <v>323.51287409020352</v>
      </c>
      <c r="AN19" s="59">
        <f ca="1">AVERAGE(OFFSET($AM$3,0,0,'Données projet'!$E$10+1,1))-AVERAGE(OFFSET($H$3,0,0,'Données projet'!$E$10+1,1))</f>
        <v>349.5718186624772</v>
      </c>
      <c r="AO19" s="59">
        <f t="shared" si="36"/>
        <v>258.14152930815959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5.8668181818181813</v>
      </c>
      <c r="BD19" s="12">
        <f>IF('Données projet'!$A$88&gt;35,BD18+BC19-BL18,IF(A19&lt;'Données projet'!$A$88,$BA$205^A19,IF(A19='Données projet'!$A$88,'Données projet'!$B$88,BD18+BC19-BL18)))</f>
        <v>34.288278409507839</v>
      </c>
      <c r="BE19" s="13">
        <f>BD19*VLOOKUP('Données projet'!$B$11,Paramètres!$A$1:$I$89,3,0)*VLOOKUP('Données projet'!$B$11,Paramètres!$A$1:$I$89,5,0)</f>
        <v>20.50439048888569</v>
      </c>
      <c r="BF19" s="13">
        <f t="shared" si="37"/>
        <v>6.6481368994289252</v>
      </c>
      <c r="BG19" s="20">
        <f t="shared" si="7"/>
        <v>47.290651867981289</v>
      </c>
      <c r="BH19" s="59">
        <f t="shared" si="8"/>
        <v>323.51287409020352</v>
      </c>
      <c r="BI19" s="59">
        <f ca="1">AVERAGE(OFFSET($BH$3,0,0,'Données projet'!$E$11+1,1))-AVERAGE(OFFSET($H$3,0,0,'Données projet'!$E$11+1,1))</f>
        <v>349.5718186624772</v>
      </c>
      <c r="BJ19" s="59">
        <f t="shared" si="38"/>
        <v>258.14152930815959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9.9228571428571435</v>
      </c>
      <c r="BY19" s="12">
        <f>IF('Données projet'!$A$114&gt;35,BY18+BX19-CG18,IF(A19&lt;'Données projet'!$A$114,$BV$205^A19,IF(A19='Données projet'!$A$114,'Données projet'!$B$114,BY18+BX19-CG18)))</f>
        <v>158.76571428571427</v>
      </c>
      <c r="BZ19" s="13">
        <f>BY19*VLOOKUP('Données projet'!$B$12,Paramètres!$A$1:$I$89,3,0)*VLOOKUP('Données projet'!$B$12,Paramètres!$A$1:$I$89,5,0)</f>
        <v>74.302354285714287</v>
      </c>
      <c r="CA19" s="13">
        <f t="shared" si="39"/>
        <v>20.738146582970735</v>
      </c>
      <c r="CB19" s="20">
        <f t="shared" si="10"/>
        <v>165.52887234629307</v>
      </c>
      <c r="CC19" s="59">
        <f t="shared" si="11"/>
        <v>441.75109456851533</v>
      </c>
      <c r="CD19" s="59">
        <f ca="1">AVERAGE(OFFSET($CC$3,0,0,'Données projet'!$E$12+1,1))-AVERAGE(OFFSET($H$3,0,0,'Données projet'!$E$12+1,1))</f>
        <v>356.22620301934836</v>
      </c>
      <c r="CE19" s="59">
        <f t="shared" si="40"/>
        <v>342.25495410715513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3.8113157894736847</v>
      </c>
      <c r="CT19" s="12">
        <f>IF('Données projet'!$A$140&gt;35,CT18+CS19-DB18,IF(A19&lt;'Données projet'!$A$140,$CQ$205^A19,IF(A19='Données projet'!$A$140,'Données projet'!$B$140,CT18+CS19-DB18)))</f>
        <v>60.981052631578933</v>
      </c>
      <c r="CU19" s="17">
        <f>CT19*VLOOKUP('Données projet'!$B$13,Paramètres!$A$1:$I$89,3,0)*VLOOKUP('Données projet'!$B$13,Paramètres!$A$1:$I$89,5,0)</f>
        <v>69.445222736842084</v>
      </c>
      <c r="CV19" s="13">
        <f t="shared" si="41"/>
        <v>19.535623088103733</v>
      </c>
      <c r="CW19" s="20">
        <f t="shared" si="13"/>
        <v>154.97497314511395</v>
      </c>
      <c r="CX19" s="59">
        <f t="shared" si="14"/>
        <v>431.19719536733618</v>
      </c>
      <c r="CY19" s="59">
        <f ca="1">AVERAGE(OFFSET($CX$3,0,0,'Données projet'!$E$13+1,1))-AVERAGE(OFFSET($H$3,0,0,'Données projet'!$E$13+1,1))</f>
        <v>473.48875234867705</v>
      </c>
      <c r="CZ19" s="59">
        <f t="shared" si="42"/>
        <v>322.74347070996379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122.32</v>
      </c>
      <c r="L20" s="12">
        <f>VLOOKUP(A20,'Données projet'!$A$35:$I$55,9,0)</f>
        <v>7.1952941176470588</v>
      </c>
      <c r="M20" s="12">
        <f t="array" ref="M20">INDEX(L:L,MIN(IF(ISNUMBER(L20:L216),ROW(L20:L216),"")))</f>
        <v>7.1952941176470588</v>
      </c>
      <c r="N20" s="13">
        <f>IF('Données projet'!$A$36&gt;35,N19+M20-V19,IF(A20&lt;'Données projet'!$A$36,$K$205^A20,IF(A20='Données projet'!$A$36,'Données projet'!$B$36,N19+M20-V19)))</f>
        <v>122.32</v>
      </c>
      <c r="O20" s="13">
        <f>N20*VLOOKUP('Données projet'!$B$9,Paramètres!$A$1:$I$89,3,0)*VLOOKUP('Données projet'!$B$9,Paramètres!$A$1:$I$89,5,0)</f>
        <v>73.147360000000006</v>
      </c>
      <c r="P20" s="13">
        <f t="shared" si="33"/>
        <v>20.453046120222783</v>
      </c>
      <c r="Q20" s="20">
        <f t="shared" si="2"/>
        <v>163.02070732605469</v>
      </c>
      <c r="R20" s="59">
        <f t="shared" si="0"/>
        <v>440.46515177049912</v>
      </c>
      <c r="S20" s="59">
        <f ca="1">AVERAGE(OFFSET($R$3,0,0,'Données projet'!$E$9+1,1))-AVERAGE(OFFSET($H$3,0,0,'Données projet'!$E$9+1,1))</f>
        <v>300.80663531652721</v>
      </c>
      <c r="T20" s="59">
        <f t="shared" si="34"/>
        <v>306.01967513533549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40.76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14.49315281448583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14.49315281448583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5.8668181818181813</v>
      </c>
      <c r="AI20" s="13">
        <f>IF('Données projet'!$A$62&gt;35,AI19+AH20-AQ19,IF(A20&lt;'Données projet'!$A$62,$AF$205^A20,IF(A20='Données projet'!$A$62,'Données projet'!$B$62,AI19+AH20-AQ19)))</f>
        <v>42.765375042297542</v>
      </c>
      <c r="AJ20" s="13">
        <f>AI20*VLOOKUP('Données projet'!$B$10,Paramètres!$A$1:$I$89,3,0)*VLOOKUP('Données projet'!$B$10,Paramètres!$A$1:$I$89,5,0)</f>
        <v>25.573694275293931</v>
      </c>
      <c r="AK20" s="13">
        <f t="shared" si="35"/>
        <v>8.0812468716773616</v>
      </c>
      <c r="AL20" s="20">
        <f t="shared" si="4"/>
        <v>58.615689164308343</v>
      </c>
      <c r="AM20" s="59">
        <f t="shared" si="5"/>
        <v>336.06013360875278</v>
      </c>
      <c r="AN20" s="59">
        <f ca="1">AVERAGE(OFFSET($AM$3,0,0,'Données projet'!$E$10+1,1))-AVERAGE(OFFSET($H$3,0,0,'Données projet'!$E$10+1,1))</f>
        <v>349.5718186624772</v>
      </c>
      <c r="AO20" s="59">
        <f t="shared" si="36"/>
        <v>258.14152930815959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5.8668181818181813</v>
      </c>
      <c r="BD20" s="12">
        <f>IF('Données projet'!$A$88&gt;35,BD19+BC20-BL19,IF(A20&lt;'Données projet'!$A$88,$BA$205^A20,IF(A20='Données projet'!$A$88,'Données projet'!$B$88,BD19+BC20-BL19)))</f>
        <v>42.765375042297542</v>
      </c>
      <c r="BE20" s="13">
        <f>BD20*VLOOKUP('Données projet'!$B$11,Paramètres!$A$1:$I$89,3,0)*VLOOKUP('Données projet'!$B$11,Paramètres!$A$1:$I$89,5,0)</f>
        <v>25.573694275293931</v>
      </c>
      <c r="BF20" s="13">
        <f t="shared" si="37"/>
        <v>8.0812468716773616</v>
      </c>
      <c r="BG20" s="20">
        <f t="shared" si="7"/>
        <v>58.615689164308343</v>
      </c>
      <c r="BH20" s="59">
        <f t="shared" si="8"/>
        <v>336.06013360875278</v>
      </c>
      <c r="BI20" s="59">
        <f ca="1">AVERAGE(OFFSET($BH$3,0,0,'Données projet'!$E$11+1,1))-AVERAGE(OFFSET($H$3,0,0,'Données projet'!$E$11+1,1))</f>
        <v>349.5718186624772</v>
      </c>
      <c r="BJ20" s="59">
        <f t="shared" si="38"/>
        <v>258.14152930815959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9.9228571428571435</v>
      </c>
      <c r="BY20" s="12">
        <f>IF('Données projet'!$A$114&gt;35,BY19+BX20-CG19,IF(A20&lt;'Données projet'!$A$114,$BV$205^A20,IF(A20='Données projet'!$A$114,'Données projet'!$B$114,BY19+BX20-CG19)))</f>
        <v>168.68857142857141</v>
      </c>
      <c r="BZ20" s="13">
        <f>BY20*VLOOKUP('Données projet'!$B$12,Paramètres!$A$1:$I$89,3,0)*VLOOKUP('Données projet'!$B$12,Paramètres!$A$1:$I$89,5,0)</f>
        <v>78.946251428571415</v>
      </c>
      <c r="CA20" s="13">
        <f t="shared" si="39"/>
        <v>21.879338637143992</v>
      </c>
      <c r="CB20" s="20">
        <f t="shared" si="10"/>
        <v>175.60456936445431</v>
      </c>
      <c r="CC20" s="59">
        <f t="shared" si="11"/>
        <v>453.04901380889874</v>
      </c>
      <c r="CD20" s="59">
        <f ca="1">AVERAGE(OFFSET($CC$3,0,0,'Données projet'!$E$12+1,1))-AVERAGE(OFFSET($H$3,0,0,'Données projet'!$E$12+1,1))</f>
        <v>356.22620301934836</v>
      </c>
      <c r="CE20" s="59">
        <f t="shared" si="40"/>
        <v>342.25495410715513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3.8113157894736847</v>
      </c>
      <c r="CT20" s="12">
        <f>IF('Données projet'!$A$140&gt;35,CT19+CS20-DB19,IF(A20&lt;'Données projet'!$A$140,$CQ$205^A20,IF(A20='Données projet'!$A$140,'Données projet'!$B$140,CT19+CS20-DB19)))</f>
        <v>64.792368421052615</v>
      </c>
      <c r="CU20" s="17">
        <f>CT20*VLOOKUP('Données projet'!$B$13,Paramètres!$A$1:$I$89,3,0)*VLOOKUP('Données projet'!$B$13,Paramètres!$A$1:$I$89,5,0)</f>
        <v>73.785549157894721</v>
      </c>
      <c r="CV20" s="13">
        <f t="shared" si="41"/>
        <v>20.610641906794818</v>
      </c>
      <c r="CW20" s="20">
        <f t="shared" si="13"/>
        <v>164.40669943766758</v>
      </c>
      <c r="CX20" s="59">
        <f t="shared" si="14"/>
        <v>441.85114388211207</v>
      </c>
      <c r="CY20" s="59">
        <f ca="1">AVERAGE(OFFSET($CX$3,0,0,'Données projet'!$E$13+1,1))-AVERAGE(OFFSET($H$3,0,0,'Données projet'!$E$13+1,1))</f>
        <v>473.48875234867705</v>
      </c>
      <c r="CZ20" s="59">
        <f t="shared" si="42"/>
        <v>322.74347070996379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17.686666666666667</v>
      </c>
      <c r="N21" s="13">
        <f>IF('Données projet'!$A$36&gt;35,N20+M21-V20,IF(A21&lt;'Données projet'!$A$36,$K$205^A21,IF(A21='Données projet'!$A$36,'Données projet'!$B$36,N20+M21-V20)))</f>
        <v>99.24666666666667</v>
      </c>
      <c r="O21" s="13">
        <f>N21*VLOOKUP('Données projet'!$B$9,Paramètres!$A$1:$I$89,3,0)*VLOOKUP('Données projet'!$B$9,Paramètres!$A$1:$I$89,5,0)</f>
        <v>59.34950666666667</v>
      </c>
      <c r="P21" s="13">
        <f t="shared" si="33"/>
        <v>17.003699693551216</v>
      </c>
      <c r="Q21" s="20">
        <f t="shared" si="2"/>
        <v>132.98183441071282</v>
      </c>
      <c r="R21" s="59">
        <f t="shared" si="0"/>
        <v>411.64850107737948</v>
      </c>
      <c r="S21" s="59">
        <f ca="1">AVERAGE(OFFSET($R$3,0,0,'Données projet'!$E$9+1,1))-AVERAGE(OFFSET($H$3,0,0,'Données projet'!$E$9+1,1))</f>
        <v>300.80663531652721</v>
      </c>
      <c r="T21" s="59">
        <f t="shared" si="34"/>
        <v>306.01967513533549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14.096836788611933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14.096836788611933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5.8668181818181813</v>
      </c>
      <c r="AI21" s="13">
        <f>IF('Données projet'!$A$62&gt;35,AI20+AH21-AQ20,IF(A21&lt;'Données projet'!$A$62,$AF$205^A21,IF(A21='Données projet'!$A$62,'Données projet'!$B$62,AI20+AH21-AQ20)))</f>
        <v>53.338265650608868</v>
      </c>
      <c r="AJ21" s="13">
        <f>AI21*VLOOKUP('Données projet'!$B$10,Paramètres!$A$1:$I$89,3,0)*VLOOKUP('Données projet'!$B$10,Paramètres!$A$1:$I$89,5,0)</f>
        <v>31.896282859064108</v>
      </c>
      <c r="AK21" s="13">
        <f t="shared" si="35"/>
        <v>9.8232861309767845</v>
      </c>
      <c r="AL21" s="20">
        <f t="shared" si="4"/>
        <v>72.661582657654549</v>
      </c>
      <c r="AM21" s="59">
        <f t="shared" si="5"/>
        <v>351.32824932432123</v>
      </c>
      <c r="AN21" s="59">
        <f ca="1">AVERAGE(OFFSET($AM$3,0,0,'Données projet'!$E$10+1,1))-AVERAGE(OFFSET($H$3,0,0,'Données projet'!$E$10+1,1))</f>
        <v>349.5718186624772</v>
      </c>
      <c r="AO21" s="59">
        <f t="shared" si="36"/>
        <v>258.14152930815959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5.8668181818181813</v>
      </c>
      <c r="BD21" s="12">
        <f>IF('Données projet'!$A$88&gt;35,BD20+BC21-BL20,IF(A21&lt;'Données projet'!$A$88,$BA$205^A21,IF(A21='Données projet'!$A$88,'Données projet'!$B$88,BD20+BC21-BL20)))</f>
        <v>53.338265650608868</v>
      </c>
      <c r="BE21" s="13">
        <f>BD21*VLOOKUP('Données projet'!$B$11,Paramètres!$A$1:$I$89,3,0)*VLOOKUP('Données projet'!$B$11,Paramètres!$A$1:$I$89,5,0)</f>
        <v>31.896282859064108</v>
      </c>
      <c r="BF21" s="13">
        <f t="shared" si="37"/>
        <v>9.8232861309767845</v>
      </c>
      <c r="BG21" s="20">
        <f t="shared" si="7"/>
        <v>72.661582657654549</v>
      </c>
      <c r="BH21" s="59">
        <f t="shared" si="8"/>
        <v>351.32824932432123</v>
      </c>
      <c r="BI21" s="59">
        <f ca="1">AVERAGE(OFFSET($BH$3,0,0,'Données projet'!$E$11+1,1))-AVERAGE(OFFSET($H$3,0,0,'Données projet'!$E$11+1,1))</f>
        <v>349.5718186624772</v>
      </c>
      <c r="BJ21" s="59">
        <f t="shared" si="38"/>
        <v>258.14152930815959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9.9228571428571435</v>
      </c>
      <c r="BY21" s="12">
        <f>IF('Données projet'!$A$114&gt;35,BY20+BX21-CG20,IF(A21&lt;'Données projet'!$A$114,$BV$205^A21,IF(A21='Données projet'!$A$114,'Données projet'!$B$114,BY20+BX21-CG20)))</f>
        <v>178.61142857142855</v>
      </c>
      <c r="BZ21" s="13">
        <f>BY21*VLOOKUP('Données projet'!$B$12,Paramètres!$A$1:$I$89,3,0)*VLOOKUP('Données projet'!$B$12,Paramètres!$A$1:$I$89,5,0)</f>
        <v>83.590148571428557</v>
      </c>
      <c r="CA21" s="13">
        <f t="shared" si="39"/>
        <v>23.012738829225075</v>
      </c>
      <c r="CB21" s="20">
        <f t="shared" si="10"/>
        <v>185.66669555613839</v>
      </c>
      <c r="CC21" s="59">
        <f t="shared" si="11"/>
        <v>464.33336222280508</v>
      </c>
      <c r="CD21" s="59">
        <f ca="1">AVERAGE(OFFSET($CC$3,0,0,'Données projet'!$E$12+1,1))-AVERAGE(OFFSET($H$3,0,0,'Données projet'!$E$12+1,1))</f>
        <v>356.22620301934836</v>
      </c>
      <c r="CE21" s="59">
        <f t="shared" si="40"/>
        <v>342.25495410715513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3.8113157894736847</v>
      </c>
      <c r="CT21" s="12">
        <f>IF('Données projet'!$A$140&gt;35,CT20+CS21-DB20,IF(A21&lt;'Données projet'!$A$140,$CQ$205^A21,IF(A21='Données projet'!$A$140,'Données projet'!$B$140,CT20+CS21-DB20)))</f>
        <v>68.603684210526296</v>
      </c>
      <c r="CU21" s="17">
        <f>CT21*VLOOKUP('Données projet'!$B$13,Paramètres!$A$1:$I$89,3,0)*VLOOKUP('Données projet'!$B$13,Paramètres!$A$1:$I$89,5,0)</f>
        <v>78.125875578947344</v>
      </c>
      <c r="CV21" s="13">
        <f t="shared" si="41"/>
        <v>21.678320682807627</v>
      </c>
      <c r="CW21" s="20">
        <f t="shared" si="13"/>
        <v>173.82564182255655</v>
      </c>
      <c r="CX21" s="59">
        <f t="shared" si="14"/>
        <v>452.49230848922321</v>
      </c>
      <c r="CY21" s="59">
        <f ca="1">AVERAGE(OFFSET($CX$3,0,0,'Données projet'!$E$13+1,1))-AVERAGE(OFFSET($H$3,0,0,'Données projet'!$E$13+1,1))</f>
        <v>473.48875234867705</v>
      </c>
      <c r="CZ21" s="59">
        <f t="shared" si="42"/>
        <v>322.74347070996379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17.686666666666667</v>
      </c>
      <c r="N22" s="13">
        <f>IF('Données projet'!$A$36&gt;35,N21+M22-V21,IF(A22&lt;'Données projet'!$A$36,$K$205^A22,IF(A22='Données projet'!$A$36,'Données projet'!$B$36,N21+M22-V21)))</f>
        <v>116.93333333333334</v>
      </c>
      <c r="O22" s="13">
        <f>N22*VLOOKUP('Données projet'!$B$9,Paramètres!$A$1:$I$89,3,0)*VLOOKUP('Données projet'!$B$9,Paramètres!$A$1:$I$89,5,0)</f>
        <v>69.92613333333334</v>
      </c>
      <c r="P22" s="13">
        <f t="shared" si="33"/>
        <v>19.655112747639016</v>
      </c>
      <c r="Q22" s="20">
        <f t="shared" si="2"/>
        <v>156.02067025769352</v>
      </c>
      <c r="R22" s="59">
        <f t="shared" si="0"/>
        <v>435.90955914658241</v>
      </c>
      <c r="S22" s="59">
        <f ca="1">AVERAGE(OFFSET($R$3,0,0,'Données projet'!$E$9+1,1))-AVERAGE(OFFSET($H$3,0,0,'Données projet'!$E$9+1,1))</f>
        <v>300.80663531652721</v>
      </c>
      <c r="T22" s="59">
        <f t="shared" si="34"/>
        <v>306.01967513533549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13.711358045306911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13.711358045306911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5.8668181818181813</v>
      </c>
      <c r="AI22" s="13">
        <f>IF('Données projet'!$A$62&gt;35,AI21+AH22-AQ21,IF(A22&lt;'Données projet'!$A$62,$AF$205^A22,IF(A22='Données projet'!$A$62,'Données projet'!$B$62,AI21+AH22-AQ21)))</f>
        <v>66.525093718950743</v>
      </c>
      <c r="AJ22" s="13">
        <f>AI22*VLOOKUP('Données projet'!$B$10,Paramètres!$A$1:$I$89,3,0)*VLOOKUP('Données projet'!$B$10,Paramètres!$A$1:$I$89,5,0)</f>
        <v>39.782006043932547</v>
      </c>
      <c r="AK22" s="13">
        <f t="shared" si="35"/>
        <v>11.940849220834615</v>
      </c>
      <c r="AL22" s="20">
        <f t="shared" si="4"/>
        <v>90.083972919469474</v>
      </c>
      <c r="AM22" s="59">
        <f t="shared" si="5"/>
        <v>369.97286180835835</v>
      </c>
      <c r="AN22" s="59">
        <f ca="1">AVERAGE(OFFSET($AM$3,0,0,'Données projet'!$E$10+1,1))-AVERAGE(OFFSET($H$3,0,0,'Données projet'!$E$10+1,1))</f>
        <v>349.5718186624772</v>
      </c>
      <c r="AO22" s="59">
        <f t="shared" si="36"/>
        <v>258.14152930815959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5.8668181818181813</v>
      </c>
      <c r="BD22" s="12">
        <f>IF('Données projet'!$A$88&gt;35,BD21+BC22-BL21,IF(A22&lt;'Données projet'!$A$88,$BA$205^A22,IF(A22='Données projet'!$A$88,'Données projet'!$B$88,BD21+BC22-BL21)))</f>
        <v>66.525093718950743</v>
      </c>
      <c r="BE22" s="13">
        <f>BD22*VLOOKUP('Données projet'!$B$11,Paramètres!$A$1:$I$89,3,0)*VLOOKUP('Données projet'!$B$11,Paramètres!$A$1:$I$89,5,0)</f>
        <v>39.782006043932547</v>
      </c>
      <c r="BF22" s="13">
        <f t="shared" si="37"/>
        <v>11.940849220834615</v>
      </c>
      <c r="BG22" s="20">
        <f t="shared" si="7"/>
        <v>90.083972919469474</v>
      </c>
      <c r="BH22" s="59">
        <f t="shared" si="8"/>
        <v>369.97286180835835</v>
      </c>
      <c r="BI22" s="59">
        <f ca="1">AVERAGE(OFFSET($BH$3,0,0,'Données projet'!$E$11+1,1))-AVERAGE(OFFSET($H$3,0,0,'Données projet'!$E$11+1,1))</f>
        <v>349.5718186624772</v>
      </c>
      <c r="BJ22" s="59">
        <f t="shared" si="38"/>
        <v>258.14152930815959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9.9228571428571435</v>
      </c>
      <c r="BY22" s="12">
        <f>IF('Données projet'!$A$114&gt;35,BY21+BX22-CG21,IF(A22&lt;'Données projet'!$A$114,$BV$205^A22,IF(A22='Données projet'!$A$114,'Données projet'!$B$114,BY21+BX22-CG21)))</f>
        <v>188.53428571428569</v>
      </c>
      <c r="BZ22" s="13">
        <f>BY22*VLOOKUP('Données projet'!$B$12,Paramètres!$A$1:$I$89,3,0)*VLOOKUP('Données projet'!$B$12,Paramètres!$A$1:$I$89,5,0)</f>
        <v>88.234045714285699</v>
      </c>
      <c r="CA22" s="13">
        <f t="shared" si="39"/>
        <v>24.138829378139974</v>
      </c>
      <c r="CB22" s="20">
        <f t="shared" si="10"/>
        <v>195.71609078597473</v>
      </c>
      <c r="CC22" s="59">
        <f t="shared" si="11"/>
        <v>475.60497967486356</v>
      </c>
      <c r="CD22" s="59">
        <f ca="1">AVERAGE(OFFSET($CC$3,0,0,'Données projet'!$E$12+1,1))-AVERAGE(OFFSET($H$3,0,0,'Données projet'!$E$12+1,1))</f>
        <v>356.22620301934836</v>
      </c>
      <c r="CE22" s="59">
        <f t="shared" si="40"/>
        <v>342.25495410715513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3.8113157894736847</v>
      </c>
      <c r="CT22" s="12">
        <f>IF('Données projet'!$A$140&gt;35,CT21+CS22-DB21,IF(A22&lt;'Données projet'!$A$140,$CQ$205^A22,IF(A22='Données projet'!$A$140,'Données projet'!$B$140,CT21+CS22-DB21)))</f>
        <v>72.414999999999978</v>
      </c>
      <c r="CU22" s="17">
        <f>CT22*VLOOKUP('Données projet'!$B$13,Paramètres!$A$1:$I$89,3,0)*VLOOKUP('Données projet'!$B$13,Paramètres!$A$1:$I$89,5,0)</f>
        <v>82.466201999999981</v>
      </c>
      <c r="CV22" s="13">
        <f t="shared" si="41"/>
        <v>22.739113673090674</v>
      </c>
      <c r="CW22" s="20">
        <f t="shared" si="13"/>
        <v>183.2325914639662</v>
      </c>
      <c r="CX22" s="59">
        <f t="shared" si="14"/>
        <v>463.12148035285509</v>
      </c>
      <c r="CY22" s="59">
        <f ca="1">AVERAGE(OFFSET($CX$3,0,0,'Données projet'!$E$13+1,1))-AVERAGE(OFFSET($H$3,0,0,'Données projet'!$E$13+1,1))</f>
        <v>473.48875234867705</v>
      </c>
      <c r="CZ22" s="59">
        <f t="shared" si="42"/>
        <v>322.74347070996379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17.686666666666667</v>
      </c>
      <c r="N23" s="13">
        <f>IF('Données projet'!$A$36&gt;35,N22+M23-V22,IF(A23&lt;'Données projet'!$A$36,$K$205^A23,IF(A23='Données projet'!$A$36,'Données projet'!$B$36,N22+M23-V22)))</f>
        <v>134.62</v>
      </c>
      <c r="O23" s="13">
        <f>N23*VLOOKUP('Données projet'!$B$9,Paramètres!$A$1:$I$89,3,0)*VLOOKUP('Données projet'!$B$9,Paramètres!$A$1:$I$89,5,0)</f>
        <v>80.502760000000009</v>
      </c>
      <c r="P23" s="13">
        <f t="shared" si="33"/>
        <v>22.260066705482632</v>
      </c>
      <c r="Q23" s="20">
        <f t="shared" si="2"/>
        <v>178.97858984538223</v>
      </c>
      <c r="R23" s="59">
        <f t="shared" si="0"/>
        <v>460.0897009564934</v>
      </c>
      <c r="S23" s="59">
        <f ca="1">AVERAGE(OFFSET($R$3,0,0,'Données projet'!$E$9+1,1))-AVERAGE(OFFSET($H$3,0,0,'Données projet'!$E$9+1,1))</f>
        <v>300.80663531652721</v>
      </c>
      <c r="T23" s="59">
        <f t="shared" si="34"/>
        <v>306.01967513533549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13.336420238509012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13.336420238509012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5.8668181818181813</v>
      </c>
      <c r="AI23" s="13">
        <f>IF('Données projet'!$A$62&gt;35,AI22+AH23-AQ22,IF(A23&lt;'Données projet'!$A$62,$AF$205^A23,IF(A23='Données projet'!$A$62,'Données projet'!$B$62,AI22+AH23-AQ22)))</f>
        <v>82.972103429550899</v>
      </c>
      <c r="AJ23" s="13">
        <f>AI23*VLOOKUP('Données projet'!$B$10,Paramètres!$A$1:$I$89,3,0)*VLOOKUP('Données projet'!$B$10,Paramètres!$A$1:$I$89,5,0)</f>
        <v>49.617317850871444</v>
      </c>
      <c r="AK23" s="13">
        <f t="shared" si="35"/>
        <v>14.514886181018609</v>
      </c>
      <c r="AL23" s="20">
        <f t="shared" si="4"/>
        <v>111.69692202220851</v>
      </c>
      <c r="AM23" s="59">
        <f t="shared" si="5"/>
        <v>392.80803313331967</v>
      </c>
      <c r="AN23" s="59">
        <f ca="1">AVERAGE(OFFSET($AM$3,0,0,'Données projet'!$E$10+1,1))-AVERAGE(OFFSET($H$3,0,0,'Données projet'!$E$10+1,1))</f>
        <v>349.5718186624772</v>
      </c>
      <c r="AO23" s="59">
        <f t="shared" si="36"/>
        <v>258.14152930815959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5.8668181818181813</v>
      </c>
      <c r="BD23" s="12">
        <f>IF('Données projet'!$A$88&gt;35,BD22+BC23-BL22,IF(A23&lt;'Données projet'!$A$88,$BA$205^A23,IF(A23='Données projet'!$A$88,'Données projet'!$B$88,BD22+BC23-BL22)))</f>
        <v>82.972103429550899</v>
      </c>
      <c r="BE23" s="13">
        <f>BD23*VLOOKUP('Données projet'!$B$11,Paramètres!$A$1:$I$89,3,0)*VLOOKUP('Données projet'!$B$11,Paramètres!$A$1:$I$89,5,0)</f>
        <v>49.617317850871444</v>
      </c>
      <c r="BF23" s="13">
        <f t="shared" si="37"/>
        <v>14.514886181018609</v>
      </c>
      <c r="BG23" s="20">
        <f t="shared" si="7"/>
        <v>111.69692202220851</v>
      </c>
      <c r="BH23" s="59">
        <f t="shared" si="8"/>
        <v>392.80803313331967</v>
      </c>
      <c r="BI23" s="59">
        <f ca="1">AVERAGE(OFFSET($BH$3,0,0,'Données projet'!$E$11+1,1))-AVERAGE(OFFSET($H$3,0,0,'Données projet'!$E$11+1,1))</f>
        <v>349.5718186624772</v>
      </c>
      <c r="BJ23" s="59">
        <f t="shared" si="38"/>
        <v>258.14152930815959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9.9228571428571435</v>
      </c>
      <c r="BY23" s="12">
        <f>IF('Données projet'!$A$114&gt;35,BY22+BX23-CG22,IF(A23&lt;'Données projet'!$A$114,$BV$205^A23,IF(A23='Données projet'!$A$114,'Données projet'!$B$114,BY22+BX23-CG22)))</f>
        <v>198.45714285714283</v>
      </c>
      <c r="BZ23" s="13">
        <f>BY23*VLOOKUP('Données projet'!$B$12,Paramètres!$A$1:$I$89,3,0)*VLOOKUP('Données projet'!$B$12,Paramètres!$A$1:$I$89,5,0)</f>
        <v>92.877942857142855</v>
      </c>
      <c r="CA23" s="13">
        <f t="shared" si="39"/>
        <v>25.258038876022667</v>
      </c>
      <c r="CB23" s="20">
        <f t="shared" si="10"/>
        <v>205.75350151859661</v>
      </c>
      <c r="CC23" s="59">
        <f t="shared" si="11"/>
        <v>486.86461262970772</v>
      </c>
      <c r="CD23" s="59">
        <f ca="1">AVERAGE(OFFSET($CC$3,0,0,'Données projet'!$E$12+1,1))-AVERAGE(OFFSET($H$3,0,0,'Données projet'!$E$12+1,1))</f>
        <v>356.22620301934836</v>
      </c>
      <c r="CE23" s="59">
        <f t="shared" si="40"/>
        <v>342.25495410715513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3.8113157894736847</v>
      </c>
      <c r="CT23" s="12">
        <f>IF('Données projet'!$A$140&gt;35,CT22+CS23-DB22,IF(A23&lt;'Données projet'!$A$140,$CQ$205^A23,IF(A23='Données projet'!$A$140,'Données projet'!$B$140,CT22+CS23-DB22)))</f>
        <v>76.226315789473659</v>
      </c>
      <c r="CU23" s="17">
        <f>CT23*VLOOKUP('Données projet'!$B$13,Paramètres!$A$1:$I$89,3,0)*VLOOKUP('Données projet'!$B$13,Paramètres!$A$1:$I$89,5,0)</f>
        <v>86.806528421052604</v>
      </c>
      <c r="CV23" s="13">
        <f t="shared" si="41"/>
        <v>23.793424617406973</v>
      </c>
      <c r="CW23" s="20">
        <f t="shared" si="13"/>
        <v>192.62825154198376</v>
      </c>
      <c r="CX23" s="59">
        <f t="shared" si="14"/>
        <v>473.73936265309487</v>
      </c>
      <c r="CY23" s="59">
        <f ca="1">AVERAGE(OFFSET($CX$3,0,0,'Données projet'!$E$13+1,1))-AVERAGE(OFFSET($H$3,0,0,'Données projet'!$E$13+1,1))</f>
        <v>473.48875234867705</v>
      </c>
      <c r="CZ23" s="59">
        <f t="shared" si="42"/>
        <v>322.74347070996379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17.686666666666667</v>
      </c>
      <c r="N24" s="13">
        <f>IF('Données projet'!$A$36&gt;35,N23+M24-V23,IF(A24&lt;'Données projet'!$A$36,$K$205^A24,IF(A24='Données projet'!$A$36,'Données projet'!$B$36,N23+M24-V23)))</f>
        <v>152.30666666666667</v>
      </c>
      <c r="O24" s="13">
        <f>N24*VLOOKUP('Données projet'!$B$9,Paramètres!$A$1:$I$89,3,0)*VLOOKUP('Données projet'!$B$9,Paramètres!$A$1:$I$89,5,0)</f>
        <v>91.079386666666679</v>
      </c>
      <c r="P24" s="13">
        <f t="shared" si="33"/>
        <v>24.825366166504242</v>
      </c>
      <c r="Q24" s="20">
        <f t="shared" si="2"/>
        <v>201.8674445177727</v>
      </c>
      <c r="R24" s="59">
        <f t="shared" si="0"/>
        <v>484.20077785110601</v>
      </c>
      <c r="S24" s="59">
        <f ca="1">AVERAGE(OFFSET($R$3,0,0,'Données projet'!$E$9+1,1))-AVERAGE(OFFSET($H$3,0,0,'Données projet'!$E$9+1,1))</f>
        <v>300.80663531652721</v>
      </c>
      <c r="T24" s="59">
        <f t="shared" si="34"/>
        <v>306.01967513533549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12.971735125755124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12.971735125755124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5.8668181818181813</v>
      </c>
      <c r="AI24" s="13">
        <f>IF('Données projet'!$A$62&gt;35,AI23+AH24-AQ23,IF(A24&lt;'Données projet'!$A$62,$AF$205^A24,IF(A24='Données projet'!$A$62,'Données projet'!$B$62,AI23+AH24-AQ23)))</f>
        <v>103.48531001863087</v>
      </c>
      <c r="AJ24" s="13">
        <f>AI24*VLOOKUP('Données projet'!$B$10,Paramètres!$A$1:$I$89,3,0)*VLOOKUP('Données projet'!$B$10,Paramètres!$A$1:$I$89,5,0)</f>
        <v>61.884215391141261</v>
      </c>
      <c r="AK24" s="13">
        <f t="shared" si="35"/>
        <v>17.643797099482939</v>
      </c>
      <c r="AL24" s="20">
        <f t="shared" si="4"/>
        <v>138.51128842117049</v>
      </c>
      <c r="AM24" s="59">
        <f t="shared" si="5"/>
        <v>420.84462175450381</v>
      </c>
      <c r="AN24" s="59">
        <f ca="1">AVERAGE(OFFSET($AM$3,0,0,'Données projet'!$E$10+1,1))-AVERAGE(OFFSET($H$3,0,0,'Données projet'!$E$10+1,1))</f>
        <v>349.5718186624772</v>
      </c>
      <c r="AO24" s="59">
        <f t="shared" si="36"/>
        <v>258.14152930815959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5.8668181818181813</v>
      </c>
      <c r="BD24" s="12">
        <f>IF('Données projet'!$A$88&gt;35,BD23+BC24-BL23,IF(A24&lt;'Données projet'!$A$88,$BA$205^A24,IF(A24='Données projet'!$A$88,'Données projet'!$B$88,BD23+BC24-BL23)))</f>
        <v>103.48531001863087</v>
      </c>
      <c r="BE24" s="13">
        <f>BD24*VLOOKUP('Données projet'!$B$11,Paramètres!$A$1:$I$89,3,0)*VLOOKUP('Données projet'!$B$11,Paramètres!$A$1:$I$89,5,0)</f>
        <v>61.884215391141261</v>
      </c>
      <c r="BF24" s="13">
        <f t="shared" si="37"/>
        <v>17.643797099482939</v>
      </c>
      <c r="BG24" s="20">
        <f t="shared" si="7"/>
        <v>138.51128842117049</v>
      </c>
      <c r="BH24" s="59">
        <f t="shared" si="8"/>
        <v>420.84462175450381</v>
      </c>
      <c r="BI24" s="59">
        <f ca="1">AVERAGE(OFFSET($BH$3,0,0,'Données projet'!$E$11+1,1))-AVERAGE(OFFSET($H$3,0,0,'Données projet'!$E$11+1,1))</f>
        <v>349.5718186624772</v>
      </c>
      <c r="BJ24" s="59">
        <f t="shared" si="38"/>
        <v>258.14152930815959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9.9228571428571435</v>
      </c>
      <c r="BY24" s="12">
        <f>IF('Données projet'!$A$114&gt;35,BY23+BX24-CG23,IF(A24&lt;'Données projet'!$A$114,$BV$205^A24,IF(A24='Données projet'!$A$114,'Données projet'!$B$114,BY23+BX24-CG23)))</f>
        <v>208.37999999999997</v>
      </c>
      <c r="BZ24" s="13">
        <f>BY24*VLOOKUP('Données projet'!$B$12,Paramètres!$A$1:$I$89,3,0)*VLOOKUP('Données projet'!$B$12,Paramètres!$A$1:$I$89,5,0)</f>
        <v>97.521839999999983</v>
      </c>
      <c r="CA24" s="13">
        <f t="shared" si="39"/>
        <v>26.370750634698393</v>
      </c>
      <c r="CB24" s="20">
        <f t="shared" si="10"/>
        <v>215.779595355433</v>
      </c>
      <c r="CC24" s="59">
        <f t="shared" si="11"/>
        <v>498.11292868876632</v>
      </c>
      <c r="CD24" s="59">
        <f ca="1">AVERAGE(OFFSET($CC$3,0,0,'Données projet'!$E$12+1,1))-AVERAGE(OFFSET($H$3,0,0,'Données projet'!$E$12+1,1))</f>
        <v>356.22620301934836</v>
      </c>
      <c r="CE24" s="59">
        <f t="shared" si="40"/>
        <v>342.25495410715513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3.8113157894736847</v>
      </c>
      <c r="CT24" s="12">
        <f>IF('Données projet'!$A$140&gt;35,CT23+CS24-DB23,IF(A24&lt;'Données projet'!$A$140,$CQ$205^A24,IF(A24='Données projet'!$A$140,'Données projet'!$B$140,CT23+CS24-DB23)))</f>
        <v>80.037631578947341</v>
      </c>
      <c r="CU24" s="17">
        <f>CT24*VLOOKUP('Données projet'!$B$13,Paramètres!$A$1:$I$89,3,0)*VLOOKUP('Données projet'!$B$13,Paramètres!$A$1:$I$89,5,0)</f>
        <v>91.146854842105242</v>
      </c>
      <c r="CV24" s="13">
        <f t="shared" si="41"/>
        <v>24.841614600837804</v>
      </c>
      <c r="CW24" s="20">
        <f t="shared" si="13"/>
        <v>202.01325094645912</v>
      </c>
      <c r="CX24" s="59">
        <f t="shared" si="14"/>
        <v>484.34658427979241</v>
      </c>
      <c r="CY24" s="59">
        <f ca="1">AVERAGE(OFFSET($CX$3,0,0,'Données projet'!$E$13+1,1))-AVERAGE(OFFSET($H$3,0,0,'Données projet'!$E$13+1,1))</f>
        <v>473.48875234867705</v>
      </c>
      <c r="CZ24" s="59">
        <f t="shared" si="42"/>
        <v>322.74347070996379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17.686666666666667</v>
      </c>
      <c r="N25" s="13">
        <f>IF('Données projet'!$A$36&gt;35,N24+M25-V24,IF(A25&lt;'Données projet'!$A$36,$K$205^A25,IF(A25='Données projet'!$A$36,'Données projet'!$B$36,N24+M25-V24)))</f>
        <v>169.99333333333334</v>
      </c>
      <c r="O25" s="13">
        <f>N25*VLOOKUP('Données projet'!$B$9,Paramètres!$A$1:$I$89,3,0)*VLOOKUP('Données projet'!$B$9,Paramètres!$A$1:$I$89,5,0)</f>
        <v>101.65601333333333</v>
      </c>
      <c r="P25" s="13">
        <f t="shared" si="33"/>
        <v>27.356141971554642</v>
      </c>
      <c r="Q25" s="20">
        <f t="shared" si="2"/>
        <v>224.6961704893466</v>
      </c>
      <c r="R25" s="59">
        <f t="shared" si="0"/>
        <v>508.25172604490217</v>
      </c>
      <c r="S25" s="59">
        <f ca="1">AVERAGE(OFFSET($R$3,0,0,'Données projet'!$E$9+1,1))-AVERAGE(OFFSET($H$3,0,0,'Données projet'!$E$9+1,1))</f>
        <v>300.80663531652721</v>
      </c>
      <c r="T25" s="59">
        <f t="shared" si="34"/>
        <v>306.01967513533549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12.617022346587447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12.617022346587447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129.07</v>
      </c>
      <c r="AG25" s="12">
        <f>VLOOKUP(A25,'Données projet'!$A$61:$I$81,9,0)</f>
        <v>5.8668181818181813</v>
      </c>
      <c r="AH25" s="12">
        <f t="array" ref="AH25">INDEX(AG:AG,MIN(IF(ISNUMBER(AG25:AG221),ROW(AG25:AG221),"")))</f>
        <v>5.8668181818181813</v>
      </c>
      <c r="AI25" s="13">
        <f>IF('Données projet'!$A$62&gt;35,AI24+AH25-AQ24,IF(A25&lt;'Données projet'!$A$62,$AF$205^A25,IF(A25='Données projet'!$A$62,'Données projet'!$B$62,AI24+AH25-AQ24)))</f>
        <v>129.07</v>
      </c>
      <c r="AJ25" s="13">
        <f>AI25*VLOOKUP('Données projet'!$B$10,Paramètres!$A$1:$I$89,3,0)*VLOOKUP('Données projet'!$B$10,Paramètres!$A$1:$I$89,5,0)</f>
        <v>77.183859999999996</v>
      </c>
      <c r="AK25" s="13">
        <f t="shared" si="35"/>
        <v>21.447193743401183</v>
      </c>
      <c r="AL25" s="20">
        <f t="shared" si="4"/>
        <v>171.78241860309038</v>
      </c>
      <c r="AM25" s="59">
        <f t="shared" si="5"/>
        <v>455.33797415864592</v>
      </c>
      <c r="AN25" s="59">
        <f ca="1">AVERAGE(OFFSET($AM$3,0,0,'Données projet'!$E$10+1,1))-AVERAGE(OFFSET($H$3,0,0,'Données projet'!$E$10+1,1))</f>
        <v>349.5718186624772</v>
      </c>
      <c r="AO25" s="59">
        <f t="shared" si="36"/>
        <v>258.14152930815959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52.41</v>
      </c>
      <c r="AR25" s="16">
        <f>IF(ISNA(VLOOKUP(A25,'Données projet'!$A$61:$I$81,5,0)),0%,VLOOKUP(A25,'Données projet'!$A$61:$I$81,5,0)*VLOOKUP('Données projet'!$B$10,Paramètres!$A$1:$I$89,7,0))</f>
        <v>4.5000000000000005E-2</v>
      </c>
      <c r="AS25" s="16">
        <f>IF(ISNA(VLOOKUP(A25,'Données projet'!$A$61:$I$81,6,0)),0%,VLOOKUP(A25,'Données projet'!$A$61:$I$81,6,0)*VLOOKUP('Données projet'!$B$10,Paramètres!$A$1:$I$89,7,0))</f>
        <v>0.36000000000000004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1.8709242920789675</v>
      </c>
      <c r="AV25" s="21">
        <f>EXP(-LN(2)/25)*AV24+(1-EXP(-LN(2)/25))/(LN(2)/25)*Calculateur!AQ25*Calculateur!AS25*VLOOKUP('Données projet'!$B$10,Paramètres!$A$1:$I$89,3,0)*0.475*44/12</f>
        <v>14.908462002104068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16.779386294183034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129.07</v>
      </c>
      <c r="BB25" s="12">
        <f>VLOOKUP(A25,'Données projet'!$A$87:$I$107,9,0)</f>
        <v>5.8668181818181813</v>
      </c>
      <c r="BC25" s="12">
        <f t="array" ref="BC25">INDEX(BB:BB,MIN(IF(ISNUMBER(BB25:BB221),ROW(BB25:BB221),"")))</f>
        <v>5.8668181818181813</v>
      </c>
      <c r="BD25" s="12">
        <f>IF('Données projet'!$A$88&gt;35,BD24+BC25-BL24,IF(A25&lt;'Données projet'!$A$88,$BA$205^A25,IF(A25='Données projet'!$A$88,'Données projet'!$B$88,BD24+BC25-BL24)))</f>
        <v>129.07</v>
      </c>
      <c r="BE25" s="13">
        <f>BD25*VLOOKUP('Données projet'!$B$11,Paramètres!$A$1:$I$89,3,0)*VLOOKUP('Données projet'!$B$11,Paramètres!$A$1:$I$89,5,0)</f>
        <v>77.183859999999996</v>
      </c>
      <c r="BF25" s="13">
        <f t="shared" si="37"/>
        <v>21.447193743401183</v>
      </c>
      <c r="BG25" s="20">
        <f t="shared" si="7"/>
        <v>171.78241860309038</v>
      </c>
      <c r="BH25" s="59">
        <f t="shared" si="8"/>
        <v>455.33797415864592</v>
      </c>
      <c r="BI25" s="59">
        <f ca="1">AVERAGE(OFFSET($BH$3,0,0,'Données projet'!$E$11+1,1))-AVERAGE(OFFSET($H$3,0,0,'Données projet'!$E$11+1,1))</f>
        <v>349.5718186624772</v>
      </c>
      <c r="BJ25" s="59">
        <f t="shared" si="38"/>
        <v>258.14152930815959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52.41</v>
      </c>
      <c r="BM25" s="16">
        <f>IF(ISNA(VLOOKUP(A25,'Données projet'!$A$87:$I$107,5,0)),0%,VLOOKUP(A25,'Données projet'!$A$87:$I$107,5,0)*VLOOKUP('Données projet'!$B$11,Paramètres!$A$1:$I$89,7,0))</f>
        <v>4.5000000000000005E-2</v>
      </c>
      <c r="BN25" s="16">
        <f>IF(ISNA(VLOOKUP(A25,'Données projet'!$A$87:$I$107,6,0)),0%,VLOOKUP(A25,'Données projet'!$A$87:$I$107,6,0)*VLOOKUP('Données projet'!$B$11,Paramètres!$A$1:$I$89,7,0))</f>
        <v>0.36000000000000004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1.8709242920789675</v>
      </c>
      <c r="BQ25" s="21">
        <f>EXP(-LN(2)/25)*BQ24+(1-EXP(-LN(2)/25))/(LN(2)/25)*Calculateur!BL25*Calculateur!BN25*VLOOKUP('Données projet'!$B$11,Paramètres!$A$1:$I$89,3,0)*0.475*44/12</f>
        <v>14.908462002104068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16.779386294183034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9.9228571428571435</v>
      </c>
      <c r="BY25" s="12">
        <f>IF('Données projet'!$A$114&gt;35,BY24+BX25-CG24,IF(A25&lt;'Données projet'!$A$114,$BV$205^A25,IF(A25='Données projet'!$A$114,'Données projet'!$B$114,BY24+BX25-CG24)))</f>
        <v>218.30285714285711</v>
      </c>
      <c r="BZ25" s="13">
        <f>BY25*VLOOKUP('Données projet'!$B$12,Paramètres!$A$1:$I$89,3,0)*VLOOKUP('Données projet'!$B$12,Paramètres!$A$1:$I$89,5,0)</f>
        <v>102.16573714285713</v>
      </c>
      <c r="CA25" s="13">
        <f t="shared" si="39"/>
        <v>27.477309397316059</v>
      </c>
      <c r="CB25" s="20">
        <f t="shared" si="10"/>
        <v>225.79497272413494</v>
      </c>
      <c r="CC25" s="59">
        <f t="shared" si="11"/>
        <v>509.35052827969048</v>
      </c>
      <c r="CD25" s="59">
        <f ca="1">AVERAGE(OFFSET($CC$3,0,0,'Données projet'!$E$12+1,1))-AVERAGE(OFFSET($H$3,0,0,'Données projet'!$E$12+1,1))</f>
        <v>356.22620301934836</v>
      </c>
      <c r="CE25" s="59">
        <f t="shared" si="40"/>
        <v>342.25495410715513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3.8113157894736847</v>
      </c>
      <c r="CT25" s="12">
        <f>IF('Données projet'!$A$140&gt;35,CT24+CS25-DB24,IF(A25&lt;'Données projet'!$A$140,$CQ$205^A25,IF(A25='Données projet'!$A$140,'Données projet'!$B$140,CT24+CS25-DB24)))</f>
        <v>83.848947368421022</v>
      </c>
      <c r="CU25" s="17">
        <f>CT25*VLOOKUP('Données projet'!$B$13,Paramètres!$A$1:$I$89,3,0)*VLOOKUP('Données projet'!$B$13,Paramètres!$A$1:$I$89,5,0)</f>
        <v>95.487181263157865</v>
      </c>
      <c r="CV25" s="13">
        <f t="shared" si="41"/>
        <v>25.884008376233734</v>
      </c>
      <c r="CW25" s="20">
        <f t="shared" si="13"/>
        <v>211.38815528860701</v>
      </c>
      <c r="CX25" s="59">
        <f t="shared" si="14"/>
        <v>494.94371084416252</v>
      </c>
      <c r="CY25" s="59">
        <f ca="1">AVERAGE(OFFSET($CX$3,0,0,'Données projet'!$E$13+1,1))-AVERAGE(OFFSET($H$3,0,0,'Données projet'!$E$13+1,1))</f>
        <v>473.48875234867705</v>
      </c>
      <c r="CZ25" s="59">
        <f t="shared" si="42"/>
        <v>322.74347070996379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187.68</v>
      </c>
      <c r="L26" s="12">
        <f>VLOOKUP(A26,'Données projet'!$A$35:$I$55,9,0)</f>
        <v>17.686666666666667</v>
      </c>
      <c r="M26" s="12">
        <f t="array" ref="M26">INDEX(L:L,MIN(IF(ISNUMBER(L26:L222),ROW(L26:L222),"")))</f>
        <v>17.686666666666667</v>
      </c>
      <c r="N26" s="13">
        <f>IF('Données projet'!$A$36&gt;35,N25+M26-V25,IF(A26&lt;'Données projet'!$A$36,$K$205^A26,IF(A26='Données projet'!$A$36,'Données projet'!$B$36,N25+M26-V25)))</f>
        <v>187.68</v>
      </c>
      <c r="O26" s="13">
        <f>N26*VLOOKUP('Données projet'!$B$9,Paramètres!$A$1:$I$89,3,0)*VLOOKUP('Données projet'!$B$9,Paramètres!$A$1:$I$89,5,0)</f>
        <v>112.23264000000002</v>
      </c>
      <c r="P26" s="13">
        <f t="shared" si="33"/>
        <v>29.85639523393861</v>
      </c>
      <c r="Q26" s="20">
        <f t="shared" si="2"/>
        <v>247.47173636577645</v>
      </c>
      <c r="R26" s="59">
        <f t="shared" si="0"/>
        <v>532.24951414355428</v>
      </c>
      <c r="S26" s="59">
        <f ca="1">AVERAGE(OFFSET($R$3,0,0,'Données projet'!$E$9+1,1))-AVERAGE(OFFSET($H$3,0,0,'Données projet'!$E$9+1,1))</f>
        <v>300.80663531652721</v>
      </c>
      <c r="T26" s="59">
        <f t="shared" si="34"/>
        <v>306.01967513533549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57.75</v>
      </c>
      <c r="W26" s="16">
        <f>IF(ISNA(VLOOKUP(A26,'Données projet'!$A$35:$I$55,5,0)),0%,VLOOKUP(A26,'Données projet'!$A$35:$I$55,5,0)*VLOOKUP('Données projet'!$B$9,Paramètres!$A$1:$I$89,7,0))</f>
        <v>4.5000000000000005E-2</v>
      </c>
      <c r="X26" s="16">
        <f>IF(ISNA(VLOOKUP(A26,'Données projet'!$A$35:$I$55,6,0)),0%,VLOOKUP(A26,'Données projet'!$A$35:$I$55,6,0)*VLOOKUP('Données projet'!$B$9,Paramètres!$A$1:$I$89,7,0))</f>
        <v>0.36000000000000004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2.0615508083869565</v>
      </c>
      <c r="AA26" s="21">
        <f>EXP(-LN(2)/25)*AA25+(1-EXP(-LN(2)/25))/(LN(2)/25)*Calculateur!V26*Calculateur!X26*VLOOKUP('Données projet'!$B$9,Paramètres!$A$1:$I$89,3,0)*0.475*44/12</f>
        <v>28.699478785754813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30.761029594141771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15.766000000000002</v>
      </c>
      <c r="AI26" s="13">
        <f>IF('Données projet'!$A$62&gt;35,AI25+AH26-AQ25,IF(A26&lt;'Données projet'!$A$62,$AF$205^A26,IF(A26='Données projet'!$A$62,'Données projet'!$B$62,AI25+AH26-AQ25)))</f>
        <v>92.425999999999988</v>
      </c>
      <c r="AJ26" s="13">
        <f>AI26*VLOOKUP('Données projet'!$B$10,Paramètres!$A$1:$I$89,3,0)*VLOOKUP('Données projet'!$B$10,Paramètres!$A$1:$I$89,5,0)</f>
        <v>55.27074799999999</v>
      </c>
      <c r="AK26" s="13">
        <f t="shared" si="35"/>
        <v>15.966912640281619</v>
      </c>
      <c r="AL26" s="20">
        <f t="shared" si="4"/>
        <v>124.07225894849046</v>
      </c>
      <c r="AM26" s="59">
        <f t="shared" si="5"/>
        <v>408.85003672626823</v>
      </c>
      <c r="AN26" s="59">
        <f ca="1">AVERAGE(OFFSET($AM$3,0,0,'Données projet'!$E$10+1,1))-AVERAGE(OFFSET($H$3,0,0,'Données projet'!$E$10+1,1))</f>
        <v>349.5718186624772</v>
      </c>
      <c r="AO26" s="59">
        <f t="shared" si="36"/>
        <v>258.14152930815959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1.8342366078624377</v>
      </c>
      <c r="AV26" s="21">
        <f>EXP(-LN(2)/25)*AV25+(1-EXP(-LN(2)/25))/(LN(2)/25)*Calculateur!AQ26*Calculateur!AS26*VLOOKUP('Données projet'!$B$10,Paramètres!$A$1:$I$89,3,0)*0.475*44/12</f>
        <v>14.500789324654589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16.335025932517027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15.766000000000002</v>
      </c>
      <c r="BD26" s="12">
        <f>IF('Données projet'!$A$88&gt;35,BD25+BC26-BL25,IF(A26&lt;'Données projet'!$A$88,$BA$205^A26,IF(A26='Données projet'!$A$88,'Données projet'!$B$88,BD25+BC26-BL25)))</f>
        <v>92.425999999999988</v>
      </c>
      <c r="BE26" s="13">
        <f>BD26*VLOOKUP('Données projet'!$B$11,Paramètres!$A$1:$I$89,3,0)*VLOOKUP('Données projet'!$B$11,Paramètres!$A$1:$I$89,5,0)</f>
        <v>55.27074799999999</v>
      </c>
      <c r="BF26" s="13">
        <f t="shared" si="37"/>
        <v>15.966912640281619</v>
      </c>
      <c r="BG26" s="20">
        <f t="shared" si="7"/>
        <v>124.07225894849046</v>
      </c>
      <c r="BH26" s="59">
        <f t="shared" si="8"/>
        <v>408.85003672626823</v>
      </c>
      <c r="BI26" s="59">
        <f ca="1">AVERAGE(OFFSET($BH$3,0,0,'Données projet'!$E$11+1,1))-AVERAGE(OFFSET($H$3,0,0,'Données projet'!$E$11+1,1))</f>
        <v>349.5718186624772</v>
      </c>
      <c r="BJ26" s="59">
        <f t="shared" si="38"/>
        <v>258.14152930815959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1.8342366078624377</v>
      </c>
      <c r="BQ26" s="21">
        <f>EXP(-LN(2)/25)*BQ25+(1-EXP(-LN(2)/25))/(LN(2)/25)*Calculateur!BL26*Calculateur!BN26*VLOOKUP('Données projet'!$B$11,Paramètres!$A$1:$I$89,3,0)*0.475*44/12</f>
        <v>14.500789324654589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16.335025932517027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9.9228571428571435</v>
      </c>
      <c r="BY26" s="12">
        <f>IF('Données projet'!$A$114&gt;35,BY25+BX26-CG25,IF(A26&lt;'Données projet'!$A$114,$BV$205^A26,IF(A26='Données projet'!$A$114,'Données projet'!$B$114,BY25+BX26-CG25)))</f>
        <v>228.22571428571425</v>
      </c>
      <c r="BZ26" s="13">
        <f>BY26*VLOOKUP('Données projet'!$B$12,Paramètres!$A$1:$I$89,3,0)*VLOOKUP('Données projet'!$B$12,Paramètres!$A$1:$I$89,5,0)</f>
        <v>106.80963428571427</v>
      </c>
      <c r="CA26" s="13">
        <f t="shared" si="39"/>
        <v>28.578026795188716</v>
      </c>
      <c r="CB26" s="20">
        <f t="shared" si="10"/>
        <v>235.80017638257266</v>
      </c>
      <c r="CC26" s="59">
        <f t="shared" si="11"/>
        <v>520.57795416035037</v>
      </c>
      <c r="CD26" s="59">
        <f ca="1">AVERAGE(OFFSET($CC$3,0,0,'Données projet'!$E$12+1,1))-AVERAGE(OFFSET($H$3,0,0,'Données projet'!$E$12+1,1))</f>
        <v>356.22620301934836</v>
      </c>
      <c r="CE26" s="59">
        <f t="shared" si="40"/>
        <v>342.25495410715513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3.8113157894736847</v>
      </c>
      <c r="CT26" s="12">
        <f>IF('Données projet'!$A$140&gt;35,CT25+CS26-DB25,IF(A26&lt;'Données projet'!$A$140,$CQ$205^A26,IF(A26='Données projet'!$A$140,'Données projet'!$B$140,CT25+CS26-DB25)))</f>
        <v>87.660263157894704</v>
      </c>
      <c r="CU26" s="17">
        <f>CT26*VLOOKUP('Données projet'!$B$13,Paramètres!$A$1:$I$89,3,0)*VLOOKUP('Données projet'!$B$13,Paramètres!$A$1:$I$89,5,0)</f>
        <v>99.827507684210488</v>
      </c>
      <c r="CV26" s="13">
        <f t="shared" si="41"/>
        <v>26.920899504634573</v>
      </c>
      <c r="CW26" s="20">
        <f t="shared" si="13"/>
        <v>220.75347585390514</v>
      </c>
      <c r="CX26" s="59">
        <f t="shared" si="14"/>
        <v>505.53125363168294</v>
      </c>
      <c r="CY26" s="59">
        <f ca="1">AVERAGE(OFFSET($CX$3,0,0,'Données projet'!$E$13+1,1))-AVERAGE(OFFSET($H$3,0,0,'Données projet'!$E$13+1,1))</f>
        <v>473.48875234867705</v>
      </c>
      <c r="CZ26" s="59">
        <f t="shared" si="42"/>
        <v>322.74347070996379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18.613333333333333</v>
      </c>
      <c r="N27" s="13">
        <f>IF('Données projet'!$A$36&gt;35,N26+M27-V26,IF(A27&lt;'Données projet'!$A$36,$K$205^A27,IF(A27='Données projet'!$A$36,'Données projet'!$B$36,N26+M27-V26)))</f>
        <v>148.54333333333335</v>
      </c>
      <c r="O27" s="13">
        <f>N27*VLOOKUP('Données projet'!$B$9,Paramètres!$A$1:$I$89,3,0)*VLOOKUP('Données projet'!$B$9,Paramètres!$A$1:$I$89,5,0)</f>
        <v>88.828913333333347</v>
      </c>
      <c r="P27" s="13">
        <f t="shared" si="33"/>
        <v>24.282572155728136</v>
      </c>
      <c r="Q27" s="20">
        <f t="shared" si="2"/>
        <v>197.00250389344876</v>
      </c>
      <c r="R27" s="59">
        <f t="shared" si="0"/>
        <v>483.00250389344876</v>
      </c>
      <c r="S27" s="59">
        <f ca="1">AVERAGE(OFFSET($R$3,0,0,'Données projet'!$E$9+1,1))-AVERAGE(OFFSET($H$3,0,0,'Données projet'!$E$9+1,1))</f>
        <v>300.80663531652721</v>
      </c>
      <c r="T27" s="59">
        <f t="shared" si="34"/>
        <v>306.01967513533549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2.0211250544563213</v>
      </c>
      <c r="AA27" s="21">
        <f>EXP(-LN(2)/25)*AA26+(1-EXP(-LN(2)/25))/(LN(2)/25)*Calculateur!V27*Calculateur!X27*VLOOKUP('Données projet'!$B$9,Paramètres!$A$1:$I$89,3,0)*0.475*44/12</f>
        <v>27.914690029118351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29.935815083574671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15.766000000000002</v>
      </c>
      <c r="AI27" s="13">
        <f>IF('Données projet'!$A$62&gt;35,AI26+AH27-AQ26,IF(A27&lt;'Données projet'!$A$62,$AF$205^A27,IF(A27='Données projet'!$A$62,'Données projet'!$B$62,AI26+AH27-AQ26)))</f>
        <v>108.19199999999999</v>
      </c>
      <c r="AJ27" s="13">
        <f>AI27*VLOOKUP('Données projet'!$B$10,Paramètres!$A$1:$I$89,3,0)*VLOOKUP('Données projet'!$B$10,Paramètres!$A$1:$I$89,5,0)</f>
        <v>64.698815999999994</v>
      </c>
      <c r="AK27" s="13">
        <f t="shared" si="35"/>
        <v>18.351013925322782</v>
      </c>
      <c r="AL27" s="20">
        <f t="shared" si="4"/>
        <v>144.64512045327049</v>
      </c>
      <c r="AM27" s="59">
        <f t="shared" si="5"/>
        <v>430.64512045327047</v>
      </c>
      <c r="AN27" s="59">
        <f ca="1">AVERAGE(OFFSET($AM$3,0,0,'Données projet'!$E$10+1,1))-AVERAGE(OFFSET($H$3,0,0,'Données projet'!$E$10+1,1))</f>
        <v>349.5718186624772</v>
      </c>
      <c r="AO27" s="59">
        <f t="shared" si="36"/>
        <v>258.14152930815959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1.7982683467561162</v>
      </c>
      <c r="AV27" s="21">
        <f>EXP(-LN(2)/25)*AV26+(1-EXP(-LN(2)/25))/(LN(2)/25)*Calculateur!AQ27*Calculateur!AS27*VLOOKUP('Données projet'!$B$10,Paramètres!$A$1:$I$89,3,0)*0.475*44/12</f>
        <v>14.10426447800854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15.902532824764656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15.766000000000002</v>
      </c>
      <c r="BD27" s="12">
        <f>IF('Données projet'!$A$88&gt;35,BD26+BC27-BL26,IF(A27&lt;'Données projet'!$A$88,$BA$205^A27,IF(A27='Données projet'!$A$88,'Données projet'!$B$88,BD26+BC27-BL26)))</f>
        <v>108.19199999999999</v>
      </c>
      <c r="BE27" s="13">
        <f>BD27*VLOOKUP('Données projet'!$B$11,Paramètres!$A$1:$I$89,3,0)*VLOOKUP('Données projet'!$B$11,Paramètres!$A$1:$I$89,5,0)</f>
        <v>64.698815999999994</v>
      </c>
      <c r="BF27" s="13">
        <f t="shared" si="37"/>
        <v>18.351013925322782</v>
      </c>
      <c r="BG27" s="20">
        <f t="shared" si="7"/>
        <v>144.64512045327049</v>
      </c>
      <c r="BH27" s="59">
        <f t="shared" si="8"/>
        <v>430.64512045327047</v>
      </c>
      <c r="BI27" s="59">
        <f ca="1">AVERAGE(OFFSET($BH$3,0,0,'Données projet'!$E$11+1,1))-AVERAGE(OFFSET($H$3,0,0,'Données projet'!$E$11+1,1))</f>
        <v>349.5718186624772</v>
      </c>
      <c r="BJ27" s="59">
        <f t="shared" si="38"/>
        <v>258.14152930815959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1.7982683467561162</v>
      </c>
      <c r="BQ27" s="21">
        <f>EXP(-LN(2)/25)*BQ26+(1-EXP(-LN(2)/25))/(LN(2)/25)*Calculateur!BL27*Calculateur!BN27*VLOOKUP('Données projet'!$B$11,Paramètres!$A$1:$I$89,3,0)*0.475*44/12</f>
        <v>14.10426447800854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15.902532824764656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9.9228571428571435</v>
      </c>
      <c r="BY27" s="12">
        <f>IF('Données projet'!$A$114&gt;35,BY26+BX27-CG26,IF(A27&lt;'Données projet'!$A$114,$BV$205^A27,IF(A27='Données projet'!$A$114,'Données projet'!$B$114,BY26+BX27-CG26)))</f>
        <v>238.14857142857139</v>
      </c>
      <c r="BZ27" s="13">
        <f>BY27*VLOOKUP('Données projet'!$B$12,Paramètres!$A$1:$I$89,3,0)*VLOOKUP('Données projet'!$B$12,Paramètres!$A$1:$I$89,5,0)</f>
        <v>111.45353142857141</v>
      </c>
      <c r="CA27" s="13">
        <f t="shared" si="39"/>
        <v>29.673185828840097</v>
      </c>
      <c r="CB27" s="20">
        <f t="shared" si="10"/>
        <v>245.79569922332504</v>
      </c>
      <c r="CC27" s="59">
        <f t="shared" si="11"/>
        <v>531.79569922332507</v>
      </c>
      <c r="CD27" s="59">
        <f ca="1">AVERAGE(OFFSET($CC$3,0,0,'Données projet'!$E$12+1,1))-AVERAGE(OFFSET($H$3,0,0,'Données projet'!$E$12+1,1))</f>
        <v>356.22620301934836</v>
      </c>
      <c r="CE27" s="59">
        <f t="shared" si="40"/>
        <v>342.25495410715513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3.8113157894736847</v>
      </c>
      <c r="CT27" s="12">
        <f>IF('Données projet'!$A$140&gt;35,CT26+CS27-DB26,IF(A27&lt;'Données projet'!$A$140,$CQ$205^A27,IF(A27='Données projet'!$A$140,'Données projet'!$B$140,CT26+CS27-DB26)))</f>
        <v>91.471578947368386</v>
      </c>
      <c r="CU27" s="17">
        <f>CT27*VLOOKUP('Données projet'!$B$13,Paramètres!$A$1:$I$89,3,0)*VLOOKUP('Données projet'!$B$13,Paramètres!$A$1:$I$89,5,0)</f>
        <v>104.16783410526311</v>
      </c>
      <c r="CV27" s="13">
        <f t="shared" si="41"/>
        <v>27.952554576477571</v>
      </c>
      <c r="CW27" s="20">
        <f t="shared" si="13"/>
        <v>230.10967695403167</v>
      </c>
      <c r="CX27" s="59">
        <f t="shared" si="14"/>
        <v>516.10967695403167</v>
      </c>
      <c r="CY27" s="59">
        <f ca="1">AVERAGE(OFFSET($CX$3,0,0,'Données projet'!$E$13+1,1))-AVERAGE(OFFSET($H$3,0,0,'Données projet'!$E$13+1,1))</f>
        <v>473.48875234867705</v>
      </c>
      <c r="CZ27" s="59">
        <f t="shared" si="42"/>
        <v>322.74347070996379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18.613333333333333</v>
      </c>
      <c r="N28" s="13">
        <f>IF('Données projet'!$A$36&gt;35,N27+M28-V27,IF(A28&lt;'Données projet'!$A$36,$K$205^A28,IF(A28='Données projet'!$A$36,'Données projet'!$B$36,N27+M28-V27)))</f>
        <v>167.15666666666669</v>
      </c>
      <c r="O28" s="13">
        <f>N28*VLOOKUP('Données projet'!$B$9,Paramètres!$A$1:$I$89,3,0)*VLOOKUP('Données projet'!$B$9,Paramètres!$A$1:$I$89,5,0)</f>
        <v>99.959686666666684</v>
      </c>
      <c r="P28" s="13">
        <f t="shared" si="33"/>
        <v>26.952393227223038</v>
      </c>
      <c r="Q28" s="20">
        <f t="shared" si="2"/>
        <v>221.03853914852459</v>
      </c>
      <c r="R28" s="59">
        <f t="shared" si="0"/>
        <v>508.26076137074682</v>
      </c>
      <c r="S28" s="59">
        <f ca="1">AVERAGE(OFFSET($R$3,0,0,'Données projet'!$E$9+1,1))-AVERAGE(OFFSET($H$3,0,0,'Données projet'!$E$9+1,1))</f>
        <v>300.80663531652721</v>
      </c>
      <c r="T28" s="59">
        <f t="shared" si="34"/>
        <v>306.01967513533549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1.9814920249029906</v>
      </c>
      <c r="AA28" s="21">
        <f>EXP(-LN(2)/25)*AA27+(1-EXP(-LN(2)/25))/(LN(2)/25)*Calculateur!V28*Calculateur!X28*VLOOKUP('Données projet'!$B$9,Paramètres!$A$1:$I$89,3,0)*0.475*44/12</f>
        <v>27.15136136230236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29.132853387205351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15.766000000000002</v>
      </c>
      <c r="AI28" s="13">
        <f>IF('Données projet'!$A$62&gt;35,AI27+AH28-AQ27,IF(A28&lt;'Données projet'!$A$62,$AF$205^A28,IF(A28='Données projet'!$A$62,'Données projet'!$B$62,AI27+AH28-AQ27)))</f>
        <v>123.958</v>
      </c>
      <c r="AJ28" s="13">
        <f>AI28*VLOOKUP('Données projet'!$B$10,Paramètres!$A$1:$I$89,3,0)*VLOOKUP('Données projet'!$B$10,Paramètres!$A$1:$I$89,5,0)</f>
        <v>74.126884000000004</v>
      </c>
      <c r="AK28" s="13">
        <f t="shared" si="35"/>
        <v>20.694866668390631</v>
      </c>
      <c r="AL28" s="20">
        <f t="shared" si="4"/>
        <v>165.1478824141137</v>
      </c>
      <c r="AM28" s="59">
        <f t="shared" si="5"/>
        <v>452.3701046363359</v>
      </c>
      <c r="AN28" s="59">
        <f ca="1">AVERAGE(OFFSET($AM$3,0,0,'Données projet'!$E$10+1,1))-AVERAGE(OFFSET($H$3,0,0,'Données projet'!$E$10+1,1))</f>
        <v>349.5718186624772</v>
      </c>
      <c r="AO28" s="59">
        <f t="shared" si="36"/>
        <v>258.14152930815959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1.7630054013116168</v>
      </c>
      <c r="AV28" s="21">
        <f>EXP(-LN(2)/25)*AV27+(1-EXP(-LN(2)/25))/(LN(2)/25)*Calculateur!AQ28*Calculateur!AS28*VLOOKUP('Données projet'!$B$10,Paramètres!$A$1:$I$89,3,0)*0.475*44/12</f>
        <v>13.718582624146363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15.481588025457979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15.766000000000002</v>
      </c>
      <c r="BD28" s="12">
        <f>IF('Données projet'!$A$88&gt;35,BD27+BC28-BL27,IF(A28&lt;'Données projet'!$A$88,$BA$205^A28,IF(A28='Données projet'!$A$88,'Données projet'!$B$88,BD27+BC28-BL27)))</f>
        <v>123.958</v>
      </c>
      <c r="BE28" s="13">
        <f>BD28*VLOOKUP('Données projet'!$B$11,Paramètres!$A$1:$I$89,3,0)*VLOOKUP('Données projet'!$B$11,Paramètres!$A$1:$I$89,5,0)</f>
        <v>74.126884000000004</v>
      </c>
      <c r="BF28" s="13">
        <f t="shared" si="37"/>
        <v>20.694866668390631</v>
      </c>
      <c r="BG28" s="20">
        <f t="shared" si="7"/>
        <v>165.1478824141137</v>
      </c>
      <c r="BH28" s="59">
        <f t="shared" si="8"/>
        <v>452.3701046363359</v>
      </c>
      <c r="BI28" s="59">
        <f ca="1">AVERAGE(OFFSET($BH$3,0,0,'Données projet'!$E$11+1,1))-AVERAGE(OFFSET($H$3,0,0,'Données projet'!$E$11+1,1))</f>
        <v>349.5718186624772</v>
      </c>
      <c r="BJ28" s="59">
        <f t="shared" si="38"/>
        <v>258.14152930815959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1.7630054013116168</v>
      </c>
      <c r="BQ28" s="21">
        <f>EXP(-LN(2)/25)*BQ27+(1-EXP(-LN(2)/25))/(LN(2)/25)*Calculateur!BL28*Calculateur!BN28*VLOOKUP('Données projet'!$B$11,Paramètres!$A$1:$I$89,3,0)*0.475*44/12</f>
        <v>13.718582624146363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15.481588025457979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9.9228571428571435</v>
      </c>
      <c r="BY28" s="12">
        <f>IF('Données projet'!$A$114&gt;35,BY27+BX28-CG27,IF(A28&lt;'Données projet'!$A$114,$BV$205^A28,IF(A28='Données projet'!$A$114,'Données projet'!$B$114,BY27+BX28-CG27)))</f>
        <v>248.07142857142853</v>
      </c>
      <c r="BZ28" s="13">
        <f>BY28*VLOOKUP('Données projet'!$B$12,Paramètres!$A$1:$I$89,3,0)*VLOOKUP('Données projet'!$B$12,Paramètres!$A$1:$I$89,5,0)</f>
        <v>116.09742857142854</v>
      </c>
      <c r="CA28" s="13">
        <f t="shared" si="39"/>
        <v>30.763044581165421</v>
      </c>
      <c r="CB28" s="20">
        <f t="shared" si="10"/>
        <v>255.78199074076778</v>
      </c>
      <c r="CC28" s="59">
        <f t="shared" si="11"/>
        <v>543.00421296298998</v>
      </c>
      <c r="CD28" s="59">
        <f ca="1">AVERAGE(OFFSET($CC$3,0,0,'Données projet'!$E$12+1,1))-AVERAGE(OFFSET($H$3,0,0,'Données projet'!$E$12+1,1))</f>
        <v>356.22620301934836</v>
      </c>
      <c r="CE28" s="59">
        <f t="shared" si="40"/>
        <v>342.25495410715513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3.8113157894736847</v>
      </c>
      <c r="CT28" s="12">
        <f>IF('Données projet'!$A$140&gt;35,CT27+CS28-DB27,IF(A28&lt;'Données projet'!$A$140,$CQ$205^A28,IF(A28='Données projet'!$A$140,'Données projet'!$B$140,CT27+CS28-DB27)))</f>
        <v>95.282894736842067</v>
      </c>
      <c r="CU28" s="17">
        <f>CT28*VLOOKUP('Données projet'!$B$13,Paramètres!$A$1:$I$89,3,0)*VLOOKUP('Données projet'!$B$13,Paramètres!$A$1:$I$89,5,0)</f>
        <v>108.50816052631576</v>
      </c>
      <c r="CV28" s="13">
        <f t="shared" si="41"/>
        <v>28.979216709446693</v>
      </c>
      <c r="CW28" s="20">
        <f t="shared" si="13"/>
        <v>239.45718201895295</v>
      </c>
      <c r="CX28" s="59">
        <f t="shared" si="14"/>
        <v>526.67940424117523</v>
      </c>
      <c r="CY28" s="59">
        <f ca="1">AVERAGE(OFFSET($CX$3,0,0,'Données projet'!$E$13+1,1))-AVERAGE(OFFSET($H$3,0,0,'Données projet'!$E$13+1,1))</f>
        <v>473.48875234867705</v>
      </c>
      <c r="CZ28" s="59">
        <f t="shared" si="42"/>
        <v>322.74347070996379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18.613333333333333</v>
      </c>
      <c r="N29" s="13">
        <f>IF('Données projet'!$A$36&gt;35,N28+M29-V28,IF(A29&lt;'Données projet'!$A$36,$K$205^A29,IF(A29='Données projet'!$A$36,'Données projet'!$B$36,N28+M29-V28)))</f>
        <v>185.77000000000004</v>
      </c>
      <c r="O29" s="13">
        <f>N29*VLOOKUP('Données projet'!$B$9,Paramètres!$A$1:$I$89,3,0)*VLOOKUP('Données projet'!$B$9,Paramètres!$A$1:$I$89,5,0)</f>
        <v>111.09046000000004</v>
      </c>
      <c r="P29" s="13">
        <f t="shared" si="33"/>
        <v>29.587757766677999</v>
      </c>
      <c r="Q29" s="20">
        <f t="shared" si="2"/>
        <v>245.01456261029759</v>
      </c>
      <c r="R29" s="59">
        <f t="shared" si="0"/>
        <v>533.45900705474207</v>
      </c>
      <c r="S29" s="59">
        <f ca="1">AVERAGE(OFFSET($R$3,0,0,'Données projet'!$E$9+1,1))-AVERAGE(OFFSET($H$3,0,0,'Données projet'!$E$9+1,1))</f>
        <v>300.80663531652721</v>
      </c>
      <c r="T29" s="59">
        <f t="shared" si="34"/>
        <v>306.01967513533549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1.9426361748854397</v>
      </c>
      <c r="AA29" s="21">
        <f>EXP(-LN(2)/25)*AA28+(1-EXP(-LN(2)/25))/(LN(2)/25)*Calculateur!V29*Calculateur!X29*VLOOKUP('Données projet'!$B$9,Paramètres!$A$1:$I$89,3,0)*0.475*44/12</f>
        <v>26.408905958022164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28.351542132907603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15.766000000000002</v>
      </c>
      <c r="AI29" s="13">
        <f>IF('Données projet'!$A$62&gt;35,AI28+AH29-AQ28,IF(A29&lt;'Données projet'!$A$62,$AF$205^A29,IF(A29='Données projet'!$A$62,'Données projet'!$B$62,AI28+AH29-AQ28)))</f>
        <v>139.72399999999999</v>
      </c>
      <c r="AJ29" s="13">
        <f>AI29*VLOOKUP('Données projet'!$B$10,Paramètres!$A$1:$I$89,3,0)*VLOOKUP('Données projet'!$B$10,Paramètres!$A$1:$I$89,5,0)</f>
        <v>83.554952</v>
      </c>
      <c r="AK29" s="13">
        <f t="shared" si="35"/>
        <v>23.004176736574664</v>
      </c>
      <c r="AL29" s="20">
        <f t="shared" si="4"/>
        <v>185.59048254953419</v>
      </c>
      <c r="AM29" s="59">
        <f t="shared" si="5"/>
        <v>474.03492699397862</v>
      </c>
      <c r="AN29" s="59">
        <f ca="1">AVERAGE(OFFSET($AM$3,0,0,'Données projet'!$E$10+1,1))-AVERAGE(OFFSET($H$3,0,0,'Données projet'!$E$10+1,1))</f>
        <v>349.5718186624772</v>
      </c>
      <c r="AO29" s="59">
        <f t="shared" si="36"/>
        <v>258.14152930815959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1.728433940719011</v>
      </c>
      <c r="AV29" s="21">
        <f>EXP(-LN(2)/25)*AV28+(1-EXP(-LN(2)/25))/(LN(2)/25)*Calculateur!AQ29*Calculateur!AS29*VLOOKUP('Données projet'!$B$10,Paramètres!$A$1:$I$89,3,0)*0.475*44/12</f>
        <v>13.343447260860174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15.071881201579185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15.766000000000002</v>
      </c>
      <c r="BD29" s="12">
        <f>IF('Données projet'!$A$88&gt;35,BD28+BC29-BL28,IF(A29&lt;'Données projet'!$A$88,$BA$205^A29,IF(A29='Données projet'!$A$88,'Données projet'!$B$88,BD28+BC29-BL28)))</f>
        <v>139.72399999999999</v>
      </c>
      <c r="BE29" s="13">
        <f>BD29*VLOOKUP('Données projet'!$B$11,Paramètres!$A$1:$I$89,3,0)*VLOOKUP('Données projet'!$B$11,Paramètres!$A$1:$I$89,5,0)</f>
        <v>83.554952</v>
      </c>
      <c r="BF29" s="13">
        <f t="shared" si="37"/>
        <v>23.004176736574664</v>
      </c>
      <c r="BG29" s="20">
        <f t="shared" si="7"/>
        <v>185.59048254953419</v>
      </c>
      <c r="BH29" s="59">
        <f t="shared" si="8"/>
        <v>474.03492699397862</v>
      </c>
      <c r="BI29" s="59">
        <f ca="1">AVERAGE(OFFSET($BH$3,0,0,'Données projet'!$E$11+1,1))-AVERAGE(OFFSET($H$3,0,0,'Données projet'!$E$11+1,1))</f>
        <v>349.5718186624772</v>
      </c>
      <c r="BJ29" s="59">
        <f t="shared" si="38"/>
        <v>258.14152930815959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1.728433940719011</v>
      </c>
      <c r="BQ29" s="21">
        <f>EXP(-LN(2)/25)*BQ28+(1-EXP(-LN(2)/25))/(LN(2)/25)*Calculateur!BL29*Calculateur!BN29*VLOOKUP('Données projet'!$B$11,Paramètres!$A$1:$I$89,3,0)*0.475*44/12</f>
        <v>13.343447260860174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15.071881201579185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9.9228571428571435</v>
      </c>
      <c r="BY29" s="12">
        <f>IF('Données projet'!$A$114&gt;35,BY28+BX29-CG28,IF(A29&lt;'Données projet'!$A$114,$BV$205^A29,IF(A29='Données projet'!$A$114,'Données projet'!$B$114,BY28+BX29-CG28)))</f>
        <v>257.9942857142857</v>
      </c>
      <c r="BZ29" s="13">
        <f>BY29*VLOOKUP('Données projet'!$B$12,Paramètres!$A$1:$I$89,3,0)*VLOOKUP('Données projet'!$B$12,Paramètres!$A$1:$I$89,5,0)</f>
        <v>120.74132571428569</v>
      </c>
      <c r="CA29" s="13">
        <f t="shared" si="39"/>
        <v>31.847839319762979</v>
      </c>
      <c r="CB29" s="20">
        <f t="shared" si="10"/>
        <v>265.75946243430144</v>
      </c>
      <c r="CC29" s="59">
        <f t="shared" si="11"/>
        <v>554.2039068787459</v>
      </c>
      <c r="CD29" s="59">
        <f ca="1">AVERAGE(OFFSET($CC$3,0,0,'Données projet'!$E$12+1,1))-AVERAGE(OFFSET($H$3,0,0,'Données projet'!$E$12+1,1))</f>
        <v>356.22620301934836</v>
      </c>
      <c r="CE29" s="59">
        <f t="shared" si="40"/>
        <v>342.25495410715513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3.8113157894736847</v>
      </c>
      <c r="CT29" s="12">
        <f>IF('Données projet'!$A$140&gt;35,CT28+CS29-DB28,IF(A29&lt;'Données projet'!$A$140,$CQ$205^A29,IF(A29='Données projet'!$A$140,'Données projet'!$B$140,CT28+CS29-DB28)))</f>
        <v>99.094210526315749</v>
      </c>
      <c r="CU29" s="17">
        <f>CT29*VLOOKUP('Données projet'!$B$13,Paramètres!$A$1:$I$89,3,0)*VLOOKUP('Données projet'!$B$13,Paramètres!$A$1:$I$89,5,0)</f>
        <v>112.84848694736837</v>
      </c>
      <c r="CV29" s="13">
        <f t="shared" si="41"/>
        <v>30.001108470912108</v>
      </c>
      <c r="CW29" s="20">
        <f t="shared" si="13"/>
        <v>248.79637868683847</v>
      </c>
      <c r="CX29" s="59">
        <f t="shared" si="14"/>
        <v>537.24082313128292</v>
      </c>
      <c r="CY29" s="59">
        <f ca="1">AVERAGE(OFFSET($CX$3,0,0,'Données projet'!$E$13+1,1))-AVERAGE(OFFSET($H$3,0,0,'Données projet'!$E$13+1,1))</f>
        <v>473.48875234867705</v>
      </c>
      <c r="CZ29" s="59">
        <f t="shared" si="42"/>
        <v>322.74347070996379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18.613333333333333</v>
      </c>
      <c r="N30" s="13">
        <f>IF('Données projet'!$A$36&gt;35,N29+M30-V29,IF(A30&lt;'Données projet'!$A$36,$K$205^A30,IF(A30='Données projet'!$A$36,'Données projet'!$B$36,N29+M30-V29)))</f>
        <v>204.38333333333338</v>
      </c>
      <c r="O30" s="13">
        <f>N30*VLOOKUP('Données projet'!$B$9,Paramètres!$A$1:$I$89,3,0)*VLOOKUP('Données projet'!$B$9,Paramètres!$A$1:$I$89,5,0)</f>
        <v>122.22123333333337</v>
      </c>
      <c r="P30" s="13">
        <f t="shared" si="33"/>
        <v>32.192511187778997</v>
      </c>
      <c r="Q30" s="20">
        <f t="shared" si="2"/>
        <v>268.937271707604</v>
      </c>
      <c r="R30" s="59">
        <f t="shared" si="0"/>
        <v>558.60393837427068</v>
      </c>
      <c r="S30" s="59">
        <f ca="1">AVERAGE(OFFSET($R$3,0,0,'Données projet'!$E$9+1,1))-AVERAGE(OFFSET($H$3,0,0,'Données projet'!$E$9+1,1))</f>
        <v>300.80663531652721</v>
      </c>
      <c r="T30" s="59">
        <f t="shared" si="34"/>
        <v>306.01967513533549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1.9045422643870047</v>
      </c>
      <c r="AA30" s="21">
        <f>EXP(-LN(2)/25)*AA29+(1-EXP(-LN(2)/25))/(LN(2)/25)*Calculateur!V30*Calculateur!X30*VLOOKUP('Données projet'!$B$9,Paramètres!$A$1:$I$89,3,0)*0.475*44/12</f>
        <v>25.686753035816043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27.591295300203047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155.49</v>
      </c>
      <c r="AG30" s="12">
        <f>VLOOKUP(A30,'Données projet'!$A$61:$I$81,9,0)</f>
        <v>15.766000000000002</v>
      </c>
      <c r="AH30" s="12">
        <f t="array" ref="AH30">INDEX(AG:AG,MIN(IF(ISNUMBER(AG30:AG226),ROW(AG30:AG226),"")))</f>
        <v>15.766000000000002</v>
      </c>
      <c r="AI30" s="13">
        <f>IF('Données projet'!$A$62&gt;35,AI29+AH30-AQ29,IF(A30&lt;'Données projet'!$A$62,$AF$205^A30,IF(A30='Données projet'!$A$62,'Données projet'!$B$62,AI29+AH30-AQ29)))</f>
        <v>155.48999999999998</v>
      </c>
      <c r="AJ30" s="13">
        <f>AI30*VLOOKUP('Données projet'!$B$10,Paramètres!$A$1:$I$89,3,0)*VLOOKUP('Données projet'!$B$10,Paramètres!$A$1:$I$89,5,0)</f>
        <v>92.983019999999996</v>
      </c>
      <c r="AK30" s="13">
        <f t="shared" si="35"/>
        <v>25.283286610692237</v>
      </c>
      <c r="AL30" s="20">
        <f t="shared" si="4"/>
        <v>205.98048401362226</v>
      </c>
      <c r="AM30" s="59">
        <f t="shared" si="5"/>
        <v>495.64715068028897</v>
      </c>
      <c r="AN30" s="59">
        <f ca="1">AVERAGE(OFFSET($AM$3,0,0,'Données projet'!$E$10+1,1))-AVERAGE(OFFSET($H$3,0,0,'Données projet'!$E$10+1,1))</f>
        <v>349.5718186624772</v>
      </c>
      <c r="AO30" s="59">
        <f t="shared" si="36"/>
        <v>258.14152930815959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37.840000000000003</v>
      </c>
      <c r="AR30" s="16">
        <f>IF(ISNA(VLOOKUP(A30,'Données projet'!$A$61:$I$81,5,0)),0%,VLOOKUP(A30,'Données projet'!$A$61:$I$81,5,0)*VLOOKUP('Données projet'!$B$10,Paramètres!$A$1:$I$89,7,0))</f>
        <v>4.5000000000000005E-2</v>
      </c>
      <c r="AS30" s="16">
        <f>IF(ISNA(VLOOKUP(A30,'Données projet'!$A$61:$I$81,6,0)),0%,VLOOKUP(A30,'Données projet'!$A$61:$I$81,6,0)*VLOOKUP('Données projet'!$B$10,Paramètres!$A$1:$I$89,7,0))</f>
        <v>0.36000000000000004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3.0453470303061421</v>
      </c>
      <c r="AV30" s="21">
        <f>EXP(-LN(2)/25)*AV29+(1-EXP(-LN(2)/25))/(LN(2)/25)*Calculateur!AQ30*Calculateur!AS30*VLOOKUP('Données projet'!$B$10,Paramètres!$A$1:$I$89,3,0)*0.475*44/12</f>
        <v>23.742473870162744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26.787820900468887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>
        <f>VLOOKUP(A30,'Données projet'!$A$87:$I$107,2,0)</f>
        <v>155.49</v>
      </c>
      <c r="BB30" s="12">
        <f>VLOOKUP(A30,'Données projet'!$A$87:$I$107,9,0)</f>
        <v>15.766000000000002</v>
      </c>
      <c r="BC30" s="12">
        <f t="array" ref="BC30">INDEX(BB:BB,MIN(IF(ISNUMBER(BB30:BB226),ROW(BB30:BB226),"")))</f>
        <v>15.766000000000002</v>
      </c>
      <c r="BD30" s="12">
        <f>IF('Données projet'!$A$88&gt;35,BD29+BC30-BL29,IF(A30&lt;'Données projet'!$A$88,$BA$205^A30,IF(A30='Données projet'!$A$88,'Données projet'!$B$88,BD29+BC30-BL29)))</f>
        <v>155.48999999999998</v>
      </c>
      <c r="BE30" s="13">
        <f>BD30*VLOOKUP('Données projet'!$B$11,Paramètres!$A$1:$I$89,3,0)*VLOOKUP('Données projet'!$B$11,Paramètres!$A$1:$I$89,5,0)</f>
        <v>92.983019999999996</v>
      </c>
      <c r="BF30" s="13">
        <f t="shared" si="37"/>
        <v>25.283286610692237</v>
      </c>
      <c r="BG30" s="20">
        <f t="shared" si="7"/>
        <v>205.98048401362226</v>
      </c>
      <c r="BH30" s="59">
        <f t="shared" si="8"/>
        <v>495.64715068028897</v>
      </c>
      <c r="BI30" s="59">
        <f ca="1">AVERAGE(OFFSET($BH$3,0,0,'Données projet'!$E$11+1,1))-AVERAGE(OFFSET($H$3,0,0,'Données projet'!$E$11+1,1))</f>
        <v>349.5718186624772</v>
      </c>
      <c r="BJ30" s="59">
        <f t="shared" si="38"/>
        <v>258.14152930815959</v>
      </c>
      <c r="BK30" s="15">
        <f>IF(ISNA(VLOOKUP(A30,'Données projet'!$A$87:$I$107,3,0)),0,VLOOKUP(A30,'Données projet'!$A$87:$I$107,3,0))</f>
        <v>2</v>
      </c>
      <c r="BL30" s="15">
        <f>IF(ISNA(VLOOKUP(A30,'Données projet'!$A$87:$I$107,4,0)),0,VLOOKUP(A30,'Données projet'!$A$87:$I$107,4,0))</f>
        <v>37.840000000000003</v>
      </c>
      <c r="BM30" s="16">
        <f>IF(ISNA(VLOOKUP(A30,'Données projet'!$A$87:$I$107,5,0)),0%,VLOOKUP(A30,'Données projet'!$A$87:$I$107,5,0)*VLOOKUP('Données projet'!$B$11,Paramètres!$A$1:$I$89,7,0))</f>
        <v>4.5000000000000005E-2</v>
      </c>
      <c r="BN30" s="16">
        <f>IF(ISNA(VLOOKUP(A30,'Données projet'!$A$87:$I$107,6,0)),0%,VLOOKUP(A30,'Données projet'!$A$87:$I$107,6,0)*VLOOKUP('Données projet'!$B$11,Paramètres!$A$1:$I$89,7,0))</f>
        <v>0.36000000000000004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3.0453470303061421</v>
      </c>
      <c r="BQ30" s="21">
        <f>EXP(-LN(2)/25)*BQ29+(1-EXP(-LN(2)/25))/(LN(2)/25)*Calculateur!BL30*Calculateur!BN30*VLOOKUP('Données projet'!$B$11,Paramètres!$A$1:$I$89,3,0)*0.475*44/12</f>
        <v>23.742473870162744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26.787820900468887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9.9228571428571435</v>
      </c>
      <c r="BY30" s="12">
        <f>IF('Données projet'!$A$114&gt;35,BY29+BX30-CG29,IF(A30&lt;'Données projet'!$A$114,$BV$205^A30,IF(A30='Données projet'!$A$114,'Données projet'!$B$114,BY29+BX30-CG29)))</f>
        <v>267.91714285714284</v>
      </c>
      <c r="BZ30" s="13">
        <f>BY30*VLOOKUP('Données projet'!$B$12,Paramètres!$A$1:$I$89,3,0)*VLOOKUP('Données projet'!$B$12,Paramètres!$A$1:$I$89,5,0)</f>
        <v>125.38522285714285</v>
      </c>
      <c r="CA30" s="13">
        <f t="shared" si="39"/>
        <v>32.927787108559478</v>
      </c>
      <c r="CB30" s="20">
        <f t="shared" si="10"/>
        <v>275.72849235693155</v>
      </c>
      <c r="CC30" s="59">
        <f t="shared" si="11"/>
        <v>565.39515902359824</v>
      </c>
      <c r="CD30" s="59">
        <f ca="1">AVERAGE(OFFSET($CC$3,0,0,'Données projet'!$E$12+1,1))-AVERAGE(OFFSET($H$3,0,0,'Données projet'!$E$12+1,1))</f>
        <v>356.22620301934836</v>
      </c>
      <c r="CE30" s="59">
        <f t="shared" si="40"/>
        <v>342.25495410715513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3.8113157894736847</v>
      </c>
      <c r="CT30" s="12">
        <f>IF('Données projet'!$A$140&gt;35,CT29+CS30-DB29,IF(A30&lt;'Données projet'!$A$140,$CQ$205^A30,IF(A30='Données projet'!$A$140,'Données projet'!$B$140,CT29+CS30-DB29)))</f>
        <v>102.90552631578943</v>
      </c>
      <c r="CU30" s="17">
        <f>CT30*VLOOKUP('Données projet'!$B$13,Paramètres!$A$1:$I$89,3,0)*VLOOKUP('Données projet'!$B$13,Paramètres!$A$1:$I$89,5,0)</f>
        <v>117.18881336842099</v>
      </c>
      <c r="CV30" s="13">
        <f t="shared" si="41"/>
        <v>31.018434338117775</v>
      </c>
      <c r="CW30" s="20">
        <f t="shared" si="13"/>
        <v>258.12762308888836</v>
      </c>
      <c r="CX30" s="59">
        <f t="shared" si="14"/>
        <v>547.79428975555504</v>
      </c>
      <c r="CY30" s="59">
        <f ca="1">AVERAGE(OFFSET($CX$3,0,0,'Données projet'!$E$13+1,1))-AVERAGE(OFFSET($H$3,0,0,'Données projet'!$E$13+1,1))</f>
        <v>473.48875234867705</v>
      </c>
      <c r="CZ30" s="59">
        <f t="shared" si="42"/>
        <v>322.74347070996379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18.613333333333333</v>
      </c>
      <c r="N31" s="13">
        <f>IF('Données projet'!$A$36&gt;35,N30+M31-V30,IF(A31&lt;'Données projet'!$A$36,$K$205^A31,IF(A31='Données projet'!$A$36,'Données projet'!$B$36,N30+M31-V30)))</f>
        <v>222.99666666666673</v>
      </c>
      <c r="O31" s="13">
        <f>N31*VLOOKUP('Données projet'!$B$9,Paramètres!$A$1:$I$89,3,0)*VLOOKUP('Données projet'!$B$9,Paramètres!$A$1:$I$89,5,0)</f>
        <v>133.35200666666671</v>
      </c>
      <c r="P31" s="13">
        <f t="shared" si="33"/>
        <v>34.769758316414304</v>
      </c>
      <c r="Q31" s="20">
        <f t="shared" si="2"/>
        <v>292.81207401219939</v>
      </c>
      <c r="R31" s="59">
        <f t="shared" si="0"/>
        <v>583.70096290108825</v>
      </c>
      <c r="S31" s="59">
        <f ca="1">AVERAGE(OFFSET($R$3,0,0,'Données projet'!$E$9+1,1))-AVERAGE(OFFSET($H$3,0,0,'Données projet'!$E$9+1,1))</f>
        <v>300.80663531652721</v>
      </c>
      <c r="T31" s="59">
        <f t="shared" si="34"/>
        <v>306.01967513533549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1.8671953522384528</v>
      </c>
      <c r="AA31" s="21">
        <f>EXP(-LN(2)/25)*AA30+(1-EXP(-LN(2)/25))/(LN(2)/25)*Calculateur!V31*Calculateur!X31*VLOOKUP('Données projet'!$B$9,Paramètres!$A$1:$I$89,3,0)*0.475*44/12</f>
        <v>24.984347423244017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26.851542775482471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16.614999999999998</v>
      </c>
      <c r="AI31" s="13">
        <f>IF('Données projet'!$A$62&gt;35,AI30+AH31-AQ30,IF(A31&lt;'Données projet'!$A$62,$AF$205^A31,IF(A31='Données projet'!$A$62,'Données projet'!$B$62,AI30+AH31-AQ30)))</f>
        <v>134.26499999999999</v>
      </c>
      <c r="AJ31" s="13">
        <f>AI31*VLOOKUP('Données projet'!$B$10,Paramètres!$A$1:$I$89,3,0)*VLOOKUP('Données projet'!$B$10,Paramètres!$A$1:$I$89,5,0)</f>
        <v>80.290469999999999</v>
      </c>
      <c r="AK31" s="13">
        <f t="shared" si="35"/>
        <v>22.208190565938402</v>
      </c>
      <c r="AL31" s="20">
        <f t="shared" si="4"/>
        <v>178.51850048567601</v>
      </c>
      <c r="AM31" s="59">
        <f t="shared" si="5"/>
        <v>469.4073893745649</v>
      </c>
      <c r="AN31" s="59">
        <f ca="1">AVERAGE(OFFSET($AM$3,0,0,'Données projet'!$E$10+1,1))-AVERAGE(OFFSET($H$3,0,0,'Données projet'!$E$10+1,1))</f>
        <v>349.5718186624772</v>
      </c>
      <c r="AO31" s="59">
        <f t="shared" si="36"/>
        <v>258.14152930815959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2.9856296325201162</v>
      </c>
      <c r="AV31" s="21">
        <f>EXP(-LN(2)/25)*AV30+(1-EXP(-LN(2)/25))/(LN(2)/25)*Calculateur!AQ31*Calculateur!AS31*VLOOKUP('Données projet'!$B$10,Paramètres!$A$1:$I$89,3,0)*0.475*44/12</f>
        <v>23.093234673620707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26.078864306140822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16.614999999999998</v>
      </c>
      <c r="BD31" s="12">
        <f>IF('Données projet'!$A$88&gt;35,BD30+BC31-BL30,IF(A31&lt;'Données projet'!$A$88,$BA$205^A31,IF(A31='Données projet'!$A$88,'Données projet'!$B$88,BD30+BC31-BL30)))</f>
        <v>134.26499999999999</v>
      </c>
      <c r="BE31" s="13">
        <f>BD31*VLOOKUP('Données projet'!$B$11,Paramètres!$A$1:$I$89,3,0)*VLOOKUP('Données projet'!$B$11,Paramètres!$A$1:$I$89,5,0)</f>
        <v>80.290469999999999</v>
      </c>
      <c r="BF31" s="13">
        <f t="shared" si="37"/>
        <v>22.208190565938402</v>
      </c>
      <c r="BG31" s="20">
        <f t="shared" si="7"/>
        <v>178.51850048567601</v>
      </c>
      <c r="BH31" s="59">
        <f t="shared" si="8"/>
        <v>469.4073893745649</v>
      </c>
      <c r="BI31" s="59">
        <f ca="1">AVERAGE(OFFSET($BH$3,0,0,'Données projet'!$E$11+1,1))-AVERAGE(OFFSET($H$3,0,0,'Données projet'!$E$11+1,1))</f>
        <v>349.5718186624772</v>
      </c>
      <c r="BJ31" s="59">
        <f t="shared" si="38"/>
        <v>258.14152930815959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2.9856296325201162</v>
      </c>
      <c r="BQ31" s="21">
        <f>EXP(-LN(2)/25)*BQ30+(1-EXP(-LN(2)/25))/(LN(2)/25)*Calculateur!BL31*Calculateur!BN31*VLOOKUP('Données projet'!$B$11,Paramètres!$A$1:$I$89,3,0)*0.475*44/12</f>
        <v>23.093234673620707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26.078864306140822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9.9228571428571435</v>
      </c>
      <c r="BY31" s="12">
        <f>IF('Données projet'!$A$114&gt;35,BY30+BX31-CG30,IF(A31&lt;'Données projet'!$A$114,$BV$205^A31,IF(A31='Données projet'!$A$114,'Données projet'!$B$114,BY30+BX31-CG30)))</f>
        <v>277.83999999999997</v>
      </c>
      <c r="BZ31" s="13">
        <f>BY31*VLOOKUP('Données projet'!$B$12,Paramètres!$A$1:$I$89,3,0)*VLOOKUP('Données projet'!$B$12,Paramètres!$A$1:$I$89,5,0)</f>
        <v>130.02912000000001</v>
      </c>
      <c r="CA31" s="13">
        <f t="shared" si="39"/>
        <v>34.003088021651131</v>
      </c>
      <c r="CB31" s="20">
        <f t="shared" si="10"/>
        <v>285.68942897104239</v>
      </c>
      <c r="CC31" s="59">
        <f t="shared" si="11"/>
        <v>576.5783178599313</v>
      </c>
      <c r="CD31" s="59">
        <f ca="1">AVERAGE(OFFSET($CC$3,0,0,'Données projet'!$E$12+1,1))-AVERAGE(OFFSET($H$3,0,0,'Données projet'!$E$12+1,1))</f>
        <v>356.22620301934836</v>
      </c>
      <c r="CE31" s="59">
        <f t="shared" si="40"/>
        <v>342.25495410715513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3.8113157894736847</v>
      </c>
      <c r="CT31" s="12">
        <f>IF('Données projet'!$A$140&gt;35,CT30+CS31-DB30,IF(A31&lt;'Données projet'!$A$140,$CQ$205^A31,IF(A31='Données projet'!$A$140,'Données projet'!$B$140,CT30+CS31-DB30)))</f>
        <v>106.71684210526311</v>
      </c>
      <c r="CU31" s="17">
        <f>CT31*VLOOKUP('Données projet'!$B$13,Paramètres!$A$1:$I$89,3,0)*VLOOKUP('Données projet'!$B$13,Paramètres!$A$1:$I$89,5,0)</f>
        <v>121.52913978947363</v>
      </c>
      <c r="CV31" s="13">
        <f t="shared" si="41"/>
        <v>32.031382783650614</v>
      </c>
      <c r="CW31" s="20">
        <f t="shared" si="13"/>
        <v>267.45124348152473</v>
      </c>
      <c r="CX31" s="59">
        <f t="shared" si="14"/>
        <v>558.34013237041358</v>
      </c>
      <c r="CY31" s="59">
        <f ca="1">AVERAGE(OFFSET($CX$3,0,0,'Données projet'!$E$13+1,1))-AVERAGE(OFFSET($H$3,0,0,'Données projet'!$E$13+1,1))</f>
        <v>473.48875234867705</v>
      </c>
      <c r="CZ31" s="59">
        <f t="shared" si="42"/>
        <v>322.74347070996379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241.61</v>
      </c>
      <c r="L32" s="12">
        <f>VLOOKUP(A32,'Données projet'!$A$35:$I$55,9,0)</f>
        <v>18.613333333333333</v>
      </c>
      <c r="M32" s="12">
        <f t="array" ref="M32">INDEX(L:L,MIN(IF(ISNUMBER(L32:L228),ROW(L32:L228),"")))</f>
        <v>18.613333333333333</v>
      </c>
      <c r="N32" s="13">
        <f>IF('Données projet'!$A$36&gt;35,N31+M32-V31,IF(A32&lt;'Données projet'!$A$36,$K$205^A32,IF(A32='Données projet'!$A$36,'Données projet'!$B$36,N31+M32-V31)))</f>
        <v>241.61000000000007</v>
      </c>
      <c r="O32" s="13">
        <f>N32*VLOOKUP('Données projet'!$B$9,Paramètres!$A$1:$I$89,3,0)*VLOOKUP('Données projet'!$B$9,Paramètres!$A$1:$I$89,5,0)</f>
        <v>144.48278000000005</v>
      </c>
      <c r="P32" s="13">
        <f t="shared" si="33"/>
        <v>37.322056105193219</v>
      </c>
      <c r="Q32" s="20">
        <f t="shared" si="2"/>
        <v>316.6434228832116</v>
      </c>
      <c r="R32" s="59">
        <f t="shared" si="0"/>
        <v>608.75453399432274</v>
      </c>
      <c r="S32" s="59">
        <f ca="1">AVERAGE(OFFSET($R$3,0,0,'Données projet'!$E$9+1,1))-AVERAGE(OFFSET($H$3,0,0,'Données projet'!$E$9+1,1))</f>
        <v>300.80663531652721</v>
      </c>
      <c r="T32" s="59">
        <f t="shared" si="34"/>
        <v>306.01967513533549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54.64</v>
      </c>
      <c r="W32" s="16">
        <f>IF(ISNA(VLOOKUP(A32,'Données projet'!$A$35:$I$55,5,0)),0%,VLOOKUP(A32,'Données projet'!$A$35:$I$55,5,0)*VLOOKUP('Données projet'!$B$9,Paramètres!$A$1:$I$89,7,0))</f>
        <v>4.5000000000000005E-2</v>
      </c>
      <c r="X32" s="16">
        <f>IF(ISNA(VLOOKUP(A32,'Données projet'!$A$35:$I$55,6,0)),0%,VLOOKUP(A32,'Données projet'!$A$35:$I$55,6,0)*VLOOKUP('Données projet'!$B$9,Paramètres!$A$1:$I$89,7,0))</f>
        <v>0.36000000000000004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3.7811112867125427</v>
      </c>
      <c r="AA32" s="21">
        <f>EXP(-LN(2)/25)*AA31+(1-EXP(-LN(2)/25))/(LN(2)/25)*Calculateur!V32*Calculateur!X32*VLOOKUP('Données projet'!$B$9,Paramètres!$A$1:$I$89,3,0)*0.475*44/12</f>
        <v>39.843953246524457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43.625064533237001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16.614999999999998</v>
      </c>
      <c r="AI32" s="13">
        <f>IF('Données projet'!$A$62&gt;35,AI31+AH32-AQ31,IF(A32&lt;'Données projet'!$A$62,$AF$205^A32,IF(A32='Données projet'!$A$62,'Données projet'!$B$62,AI31+AH32-AQ31)))</f>
        <v>150.88</v>
      </c>
      <c r="AJ32" s="13">
        <f>AI32*VLOOKUP('Données projet'!$B$10,Paramètres!$A$1:$I$89,3,0)*VLOOKUP('Données projet'!$B$10,Paramètres!$A$1:$I$89,5,0)</f>
        <v>90.22623999999999</v>
      </c>
      <c r="AK32" s="13">
        <f t="shared" si="35"/>
        <v>24.619780658757083</v>
      </c>
      <c r="AL32" s="20">
        <f t="shared" si="4"/>
        <v>200.02348598066854</v>
      </c>
      <c r="AM32" s="59">
        <f t="shared" si="5"/>
        <v>492.13459709177971</v>
      </c>
      <c r="AN32" s="59">
        <f ca="1">AVERAGE(OFFSET($AM$3,0,0,'Données projet'!$E$10+1,1))-AVERAGE(OFFSET($H$3,0,0,'Données projet'!$E$10+1,1))</f>
        <v>349.5718186624772</v>
      </c>
      <c r="AO32" s="59">
        <f t="shared" si="36"/>
        <v>258.14152930815959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2.9270832564806581</v>
      </c>
      <c r="AV32" s="21">
        <f>EXP(-LN(2)/25)*AV31+(1-EXP(-LN(2)/25))/(LN(2)/25)*Calculateur!AQ32*Calculateur!AS32*VLOOKUP('Données projet'!$B$10,Paramètres!$A$1:$I$89,3,0)*0.475*44/12</f>
        <v>22.461748957050116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25.388832213530772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16.614999999999998</v>
      </c>
      <c r="BD32" s="12">
        <f>IF('Données projet'!$A$88&gt;35,BD31+BC32-BL31,IF(A32&lt;'Données projet'!$A$88,$BA$205^A32,IF(A32='Données projet'!$A$88,'Données projet'!$B$88,BD31+BC32-BL31)))</f>
        <v>150.88</v>
      </c>
      <c r="BE32" s="13">
        <f>BD32*VLOOKUP('Données projet'!$B$11,Paramètres!$A$1:$I$89,3,0)*VLOOKUP('Données projet'!$B$11,Paramètres!$A$1:$I$89,5,0)</f>
        <v>90.22623999999999</v>
      </c>
      <c r="BF32" s="13">
        <f t="shared" si="37"/>
        <v>24.619780658757083</v>
      </c>
      <c r="BG32" s="20">
        <f t="shared" si="7"/>
        <v>200.02348598066854</v>
      </c>
      <c r="BH32" s="59">
        <f t="shared" si="8"/>
        <v>492.13459709177971</v>
      </c>
      <c r="BI32" s="59">
        <f ca="1">AVERAGE(OFFSET($BH$3,0,0,'Données projet'!$E$11+1,1))-AVERAGE(OFFSET($H$3,0,0,'Données projet'!$E$11+1,1))</f>
        <v>349.5718186624772</v>
      </c>
      <c r="BJ32" s="59">
        <f t="shared" si="38"/>
        <v>258.14152930815959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2.9270832564806581</v>
      </c>
      <c r="BQ32" s="21">
        <f>EXP(-LN(2)/25)*BQ31+(1-EXP(-LN(2)/25))/(LN(2)/25)*Calculateur!BL32*Calculateur!BN32*VLOOKUP('Données projet'!$B$11,Paramètres!$A$1:$I$89,3,0)*0.475*44/12</f>
        <v>22.461748957050116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25.388832213530772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9.9228571428571435</v>
      </c>
      <c r="BY32" s="12">
        <f>IF('Données projet'!$A$114&gt;35,BY31+BX32-CG31,IF(A32&lt;'Données projet'!$A$114,$BV$205^A32,IF(A32='Données projet'!$A$114,'Données projet'!$B$114,BY31+BX32-CG31)))</f>
        <v>287.76285714285711</v>
      </c>
      <c r="BZ32" s="13">
        <f>BY32*VLOOKUP('Données projet'!$B$12,Paramètres!$A$1:$I$89,3,0)*VLOOKUP('Données projet'!$B$12,Paramètres!$A$1:$I$89,5,0)</f>
        <v>134.67301714285713</v>
      </c>
      <c r="CA32" s="13">
        <f t="shared" si="39"/>
        <v>35.073927031994522</v>
      </c>
      <c r="CB32" s="20">
        <f t="shared" si="10"/>
        <v>295.64259443786659</v>
      </c>
      <c r="CC32" s="59">
        <f t="shared" si="11"/>
        <v>587.75370554897768</v>
      </c>
      <c r="CD32" s="59">
        <f ca="1">AVERAGE(OFFSET($CC$3,0,0,'Données projet'!$E$12+1,1))-AVERAGE(OFFSET($H$3,0,0,'Données projet'!$E$12+1,1))</f>
        <v>356.22620301934836</v>
      </c>
      <c r="CE32" s="59">
        <f t="shared" si="40"/>
        <v>342.25495410715513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3.8113157894736847</v>
      </c>
      <c r="CT32" s="12">
        <f>IF('Données projet'!$A$140&gt;35,CT31+CS32-DB31,IF(A32&lt;'Données projet'!$A$140,$CQ$205^A32,IF(A32='Données projet'!$A$140,'Données projet'!$B$140,CT31+CS32-DB31)))</f>
        <v>110.52815789473679</v>
      </c>
      <c r="CU32" s="17">
        <f>CT32*VLOOKUP('Données projet'!$B$13,Paramètres!$A$1:$I$89,3,0)*VLOOKUP('Données projet'!$B$13,Paramètres!$A$1:$I$89,5,0)</f>
        <v>125.86946621052626</v>
      </c>
      <c r="CV32" s="13">
        <f t="shared" si="41"/>
        <v>33.040128054613483</v>
      </c>
      <c r="CW32" s="20">
        <f t="shared" si="13"/>
        <v>276.76754334511838</v>
      </c>
      <c r="CX32" s="59">
        <f t="shared" si="14"/>
        <v>568.87865445622947</v>
      </c>
      <c r="CY32" s="59">
        <f ca="1">AVERAGE(OFFSET($CX$3,0,0,'Données projet'!$E$13+1,1))-AVERAGE(OFFSET($H$3,0,0,'Données projet'!$E$13+1,1))</f>
        <v>473.48875234867705</v>
      </c>
      <c r="CZ32" s="59">
        <f t="shared" si="42"/>
        <v>322.74347070996379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17.737142857142853</v>
      </c>
      <c r="N33" s="13">
        <f>IF('Données projet'!$A$36&gt;35,N32+M33-V32,IF(A33&lt;'Données projet'!$A$36,$K$205^A33,IF(A33='Données projet'!$A$36,'Données projet'!$B$36,N32+M33-V32)))</f>
        <v>204.70714285714291</v>
      </c>
      <c r="O33" s="13">
        <f>N33*VLOOKUP('Données projet'!$B$9,Paramètres!$A$1:$I$89,3,0)*VLOOKUP('Données projet'!$B$9,Paramètres!$A$1:$I$89,5,0)</f>
        <v>122.41487142857147</v>
      </c>
      <c r="P33" s="13">
        <f t="shared" si="33"/>
        <v>32.237573625209684</v>
      </c>
      <c r="Q33" s="20">
        <f t="shared" si="2"/>
        <v>269.35300846866886</v>
      </c>
      <c r="R33" s="59">
        <f t="shared" si="0"/>
        <v>562.68634180200218</v>
      </c>
      <c r="S33" s="59">
        <f ca="1">AVERAGE(OFFSET($R$3,0,0,'Données projet'!$E$9+1,1))-AVERAGE(OFFSET($H$3,0,0,'Données projet'!$E$9+1,1))</f>
        <v>300.80663531652721</v>
      </c>
      <c r="T33" s="59">
        <f t="shared" si="34"/>
        <v>306.01967513533549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3.7069660006302714</v>
      </c>
      <c r="AA33" s="21">
        <f>EXP(-LN(2)/25)*AA32+(1-EXP(-LN(2)/25))/(LN(2)/25)*Calculateur!V33*Calculateur!X33*VLOOKUP('Données projet'!$B$9,Paramètres!$A$1:$I$89,3,0)*0.475*44/12</f>
        <v>38.75441824969581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42.461384250326084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16.614999999999998</v>
      </c>
      <c r="AI33" s="13">
        <f>IF('Données projet'!$A$62&gt;35,AI32+AH33-AQ32,IF(A33&lt;'Données projet'!$A$62,$AF$205^A33,IF(A33='Données projet'!$A$62,'Données projet'!$B$62,AI32+AH33-AQ32)))</f>
        <v>167.495</v>
      </c>
      <c r="AJ33" s="13">
        <f>AI33*VLOOKUP('Données projet'!$B$10,Paramètres!$A$1:$I$89,3,0)*VLOOKUP('Données projet'!$B$10,Paramètres!$A$1:$I$89,5,0)</f>
        <v>100.16201000000001</v>
      </c>
      <c r="AK33" s="13">
        <f t="shared" si="35"/>
        <v>27.000590559708886</v>
      </c>
      <c r="AL33" s="20">
        <f t="shared" si="4"/>
        <v>221.47486264149299</v>
      </c>
      <c r="AM33" s="59">
        <f t="shared" si="5"/>
        <v>514.80819597482628</v>
      </c>
      <c r="AN33" s="59">
        <f ca="1">AVERAGE(OFFSET($AM$3,0,0,'Données projet'!$E$10+1,1))-AVERAGE(OFFSET($H$3,0,0,'Données projet'!$E$10+1,1))</f>
        <v>349.5718186624772</v>
      </c>
      <c r="AO33" s="59">
        <f t="shared" si="36"/>
        <v>258.14152930815959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2.8696849391655705</v>
      </c>
      <c r="AV33" s="21">
        <f>EXP(-LN(2)/25)*AV32+(1-EXP(-LN(2)/25))/(LN(2)/25)*Calculateur!AQ33*Calculateur!AS33*VLOOKUP('Données projet'!$B$10,Paramètres!$A$1:$I$89,3,0)*0.475*44/12</f>
        <v>21.847531250607538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24.717216189773108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16.614999999999998</v>
      </c>
      <c r="BD33" s="12">
        <f>IF('Données projet'!$A$88&gt;35,BD32+BC33-BL32,IF(A33&lt;'Données projet'!$A$88,$BA$205^A33,IF(A33='Données projet'!$A$88,'Données projet'!$B$88,BD32+BC33-BL32)))</f>
        <v>167.495</v>
      </c>
      <c r="BE33" s="13">
        <f>BD33*VLOOKUP('Données projet'!$B$11,Paramètres!$A$1:$I$89,3,0)*VLOOKUP('Données projet'!$B$11,Paramètres!$A$1:$I$89,5,0)</f>
        <v>100.16201000000001</v>
      </c>
      <c r="BF33" s="13">
        <f t="shared" si="37"/>
        <v>27.000590559708886</v>
      </c>
      <c r="BG33" s="20">
        <f t="shared" si="7"/>
        <v>221.47486264149299</v>
      </c>
      <c r="BH33" s="59">
        <f t="shared" si="8"/>
        <v>514.80819597482628</v>
      </c>
      <c r="BI33" s="59">
        <f ca="1">AVERAGE(OFFSET($BH$3,0,0,'Données projet'!$E$11+1,1))-AVERAGE(OFFSET($H$3,0,0,'Données projet'!$E$11+1,1))</f>
        <v>349.5718186624772</v>
      </c>
      <c r="BJ33" s="59">
        <f t="shared" si="38"/>
        <v>258.14152930815959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2.8696849391655705</v>
      </c>
      <c r="BQ33" s="21">
        <f>EXP(-LN(2)/25)*BQ32+(1-EXP(-LN(2)/25))/(LN(2)/25)*Calculateur!BL33*Calculateur!BN33*VLOOKUP('Données projet'!$B$11,Paramètres!$A$1:$I$89,3,0)*0.475*44/12</f>
        <v>21.847531250607538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24.717216189773108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9.9228571428571435</v>
      </c>
      <c r="BY33" s="12">
        <f>IF('Données projet'!$A$114&gt;35,BY32+BX33-CG32,IF(A33&lt;'Données projet'!$A$114,$BV$205^A33,IF(A33='Données projet'!$A$114,'Données projet'!$B$114,BY32+BX33-CG32)))</f>
        <v>297.68571428571425</v>
      </c>
      <c r="BZ33" s="13">
        <f>BY33*VLOOKUP('Données projet'!$B$12,Paramètres!$A$1:$I$89,3,0)*VLOOKUP('Données projet'!$B$12,Paramètres!$A$1:$I$89,5,0)</f>
        <v>139.31691428571426</v>
      </c>
      <c r="CA33" s="13">
        <f t="shared" si="39"/>
        <v>36.14047563226957</v>
      </c>
      <c r="CB33" s="20">
        <f t="shared" si="10"/>
        <v>305.58828744048856</v>
      </c>
      <c r="CC33" s="59">
        <f t="shared" si="11"/>
        <v>598.92162077382181</v>
      </c>
      <c r="CD33" s="59">
        <f ca="1">AVERAGE(OFFSET($CC$3,0,0,'Données projet'!$E$12+1,1))-AVERAGE(OFFSET($H$3,0,0,'Données projet'!$E$12+1,1))</f>
        <v>356.22620301934836</v>
      </c>
      <c r="CE33" s="59">
        <f t="shared" si="40"/>
        <v>342.25495410715513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3.8113157894736847</v>
      </c>
      <c r="CT33" s="12">
        <f>IF('Données projet'!$A$140&gt;35,CT32+CS33-DB32,IF(A33&lt;'Données projet'!$A$140,$CQ$205^A33,IF(A33='Données projet'!$A$140,'Données projet'!$B$140,CT32+CS33-DB32)))</f>
        <v>114.33947368421047</v>
      </c>
      <c r="CU33" s="17">
        <f>CT33*VLOOKUP('Données projet'!$B$13,Paramètres!$A$1:$I$89,3,0)*VLOOKUP('Données projet'!$B$13,Paramètres!$A$1:$I$89,5,0)</f>
        <v>130.20979263157889</v>
      </c>
      <c r="CV33" s="13">
        <f t="shared" si="41"/>
        <v>34.044831699500818</v>
      </c>
      <c r="CW33" s="20">
        <f t="shared" si="13"/>
        <v>286.0768040432971</v>
      </c>
      <c r="CX33" s="59">
        <f t="shared" si="14"/>
        <v>579.41013737663047</v>
      </c>
      <c r="CY33" s="59">
        <f ca="1">AVERAGE(OFFSET($CX$3,0,0,'Données projet'!$E$13+1,1))-AVERAGE(OFFSET($H$3,0,0,'Données projet'!$E$13+1,1))</f>
        <v>473.48875234867705</v>
      </c>
      <c r="CZ33" s="59">
        <f t="shared" si="42"/>
        <v>322.74347070996379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17.737142857142853</v>
      </c>
      <c r="N34" s="13">
        <f>IF('Données projet'!$A$36&gt;35,N33+M34-V33,IF(A34&lt;'Données projet'!$A$36,$K$205^A34,IF(A34='Données projet'!$A$36,'Données projet'!$B$36,N33+M34-V33)))</f>
        <v>222.44428571428577</v>
      </c>
      <c r="O34" s="13">
        <f>N34*VLOOKUP('Données projet'!$B$9,Paramètres!$A$1:$I$89,3,0)*VLOOKUP('Données projet'!$B$9,Paramètres!$A$1:$I$89,5,0)</f>
        <v>133.02168285714291</v>
      </c>
      <c r="P34" s="13">
        <f t="shared" si="33"/>
        <v>34.693645048951552</v>
      </c>
      <c r="Q34" s="20">
        <f t="shared" si="2"/>
        <v>292.10419610311448</v>
      </c>
      <c r="R34" s="59">
        <f t="shared" si="0"/>
        <v>585.43752943644779</v>
      </c>
      <c r="S34" s="59">
        <f ca="1">AVERAGE(OFFSET($R$3,0,0,'Données projet'!$E$9+1,1))-AVERAGE(OFFSET($H$3,0,0,'Données projet'!$E$9+1,1))</f>
        <v>300.80663531652721</v>
      </c>
      <c r="T34" s="59">
        <f t="shared" si="34"/>
        <v>306.01967513533549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3.6342746583839145</v>
      </c>
      <c r="AA34" s="21">
        <f>EXP(-LN(2)/25)*AA33+(1-EXP(-LN(2)/25))/(LN(2)/25)*Calculateur!V34*Calculateur!X34*VLOOKUP('Données projet'!$B$9,Paramètres!$A$1:$I$89,3,0)*0.475*44/12</f>
        <v>37.694676644651594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41.32895130303551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16.614999999999998</v>
      </c>
      <c r="AI34" s="13">
        <f>IF('Données projet'!$A$62&gt;35,AI33+AH34-AQ33,IF(A34&lt;'Données projet'!$A$62,$AF$205^A34,IF(A34='Données projet'!$A$62,'Données projet'!$B$62,AI33+AH34-AQ33)))</f>
        <v>184.11</v>
      </c>
      <c r="AJ34" s="13">
        <f>AI34*VLOOKUP('Données projet'!$B$10,Paramètres!$A$1:$I$89,3,0)*VLOOKUP('Données projet'!$B$10,Paramètres!$A$1:$I$89,5,0)</f>
        <v>110.09778000000001</v>
      </c>
      <c r="AK34" s="13">
        <f t="shared" si="35"/>
        <v>29.354021111763256</v>
      </c>
      <c r="AL34" s="20">
        <f t="shared" si="4"/>
        <v>242.87855360298769</v>
      </c>
      <c r="AM34" s="59">
        <f t="shared" si="5"/>
        <v>536.21188693632098</v>
      </c>
      <c r="AN34" s="59">
        <f ca="1">AVERAGE(OFFSET($AM$3,0,0,'Données projet'!$E$10+1,1))-AVERAGE(OFFSET($H$3,0,0,'Données projet'!$E$10+1,1))</f>
        <v>349.5718186624772</v>
      </c>
      <c r="AO34" s="59">
        <f t="shared" si="36"/>
        <v>258.14152930815959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2.8134121678435156</v>
      </c>
      <c r="AV34" s="21">
        <f>EXP(-LN(2)/25)*AV33+(1-EXP(-LN(2)/25))/(LN(2)/25)*Calculateur!AQ34*Calculateur!AS34*VLOOKUP('Données projet'!$B$10,Paramètres!$A$1:$I$89,3,0)*0.475*44/12</f>
        <v>21.25010935964794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24.063521527491456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16.614999999999998</v>
      </c>
      <c r="BD34" s="12">
        <f>IF('Données projet'!$A$88&gt;35,BD33+BC34-BL33,IF(A34&lt;'Données projet'!$A$88,$BA$205^A34,IF(A34='Données projet'!$A$88,'Données projet'!$B$88,BD33+BC34-BL33)))</f>
        <v>184.11</v>
      </c>
      <c r="BE34" s="13">
        <f>BD34*VLOOKUP('Données projet'!$B$11,Paramètres!$A$1:$I$89,3,0)*VLOOKUP('Données projet'!$B$11,Paramètres!$A$1:$I$89,5,0)</f>
        <v>110.09778000000001</v>
      </c>
      <c r="BF34" s="13">
        <f t="shared" si="37"/>
        <v>29.354021111763256</v>
      </c>
      <c r="BG34" s="20">
        <f t="shared" si="7"/>
        <v>242.87855360298769</v>
      </c>
      <c r="BH34" s="59">
        <f t="shared" si="8"/>
        <v>536.21188693632098</v>
      </c>
      <c r="BI34" s="59">
        <f ca="1">AVERAGE(OFFSET($BH$3,0,0,'Données projet'!$E$11+1,1))-AVERAGE(OFFSET($H$3,0,0,'Données projet'!$E$11+1,1))</f>
        <v>349.5718186624772</v>
      </c>
      <c r="BJ34" s="59">
        <f t="shared" si="38"/>
        <v>258.14152930815959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2.8134121678435156</v>
      </c>
      <c r="BQ34" s="21">
        <f>EXP(-LN(2)/25)*BQ33+(1-EXP(-LN(2)/25))/(LN(2)/25)*Calculateur!BL34*Calculateur!BN34*VLOOKUP('Données projet'!$B$11,Paramètres!$A$1:$I$89,3,0)*0.475*44/12</f>
        <v>21.25010935964794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24.063521527491456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9.9228571428571435</v>
      </c>
      <c r="BY34" s="12">
        <f>IF('Données projet'!$A$114&gt;35,BY33+BX34-CG33,IF(A34&lt;'Données projet'!$A$114,$BV$205^A34,IF(A34='Données projet'!$A$114,'Données projet'!$B$114,BY33+BX34-CG33)))</f>
        <v>307.60857142857139</v>
      </c>
      <c r="BZ34" s="13">
        <f>BY34*VLOOKUP('Données projet'!$B$12,Paramètres!$A$1:$I$89,3,0)*VLOOKUP('Données projet'!$B$12,Paramètres!$A$1:$I$89,5,0)</f>
        <v>143.96081142857142</v>
      </c>
      <c r="CA34" s="13">
        <f t="shared" si="39"/>
        <v>37.202893233556154</v>
      </c>
      <c r="CB34" s="20">
        <f t="shared" si="10"/>
        <v>315.52678561987216</v>
      </c>
      <c r="CC34" s="59">
        <f t="shared" si="11"/>
        <v>608.86011895320553</v>
      </c>
      <c r="CD34" s="59">
        <f ca="1">AVERAGE(OFFSET($CC$3,0,0,'Données projet'!$E$12+1,1))-AVERAGE(OFFSET($H$3,0,0,'Données projet'!$E$12+1,1))</f>
        <v>356.22620301934836</v>
      </c>
      <c r="CE34" s="59">
        <f t="shared" si="40"/>
        <v>342.25495410715513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3.8113157894736847</v>
      </c>
      <c r="CT34" s="12">
        <f>IF('Données projet'!$A$140&gt;35,CT33+CS34-DB33,IF(A34&lt;'Données projet'!$A$140,$CQ$205^A34,IF(A34='Données projet'!$A$140,'Données projet'!$B$140,CT33+CS34-DB33)))</f>
        <v>118.15078947368416</v>
      </c>
      <c r="CU34" s="17">
        <f>CT34*VLOOKUP('Données projet'!$B$13,Paramètres!$A$1:$I$89,3,0)*VLOOKUP('Données projet'!$B$13,Paramètres!$A$1:$I$89,5,0)</f>
        <v>134.55011905263152</v>
      </c>
      <c r="CV34" s="13">
        <f t="shared" si="41"/>
        <v>35.045643885771327</v>
      </c>
      <c r="CW34" s="20">
        <f t="shared" si="13"/>
        <v>295.37928711771832</v>
      </c>
      <c r="CX34" s="59">
        <f t="shared" si="14"/>
        <v>588.71262045105163</v>
      </c>
      <c r="CY34" s="59">
        <f ca="1">AVERAGE(OFFSET($CX$3,0,0,'Données projet'!$E$13+1,1))-AVERAGE(OFFSET($H$3,0,0,'Données projet'!$E$13+1,1))</f>
        <v>473.48875234867705</v>
      </c>
      <c r="CZ34" s="59">
        <f t="shared" si="42"/>
        <v>322.74347070996379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17.737142857142853</v>
      </c>
      <c r="N35" s="13">
        <f>IF('Données projet'!$A$36&gt;35,N34+M35-V34,IF(A35&lt;'Données projet'!$A$36,$K$205^A35,IF(A35='Données projet'!$A$36,'Données projet'!$B$36,N34+M35-V34)))</f>
        <v>240.18142857142863</v>
      </c>
      <c r="O35" s="13">
        <f>N35*VLOOKUP('Données projet'!$B$9,Paramètres!$A$1:$I$89,3,0)*VLOOKUP('Données projet'!$B$9,Paramètres!$A$1:$I$89,5,0)</f>
        <v>143.62849428571434</v>
      </c>
      <c r="P35" s="13">
        <f t="shared" si="33"/>
        <v>37.127000660847131</v>
      </c>
      <c r="Q35" s="20">
        <f t="shared" ref="Q35:Q66" si="53">(O35+P35)*0.475*44/12</f>
        <v>314.81582036526123</v>
      </c>
      <c r="R35" s="59">
        <f t="shared" si="0"/>
        <v>608.14915369859455</v>
      </c>
      <c r="S35" s="59">
        <f ca="1">AVERAGE(OFFSET($R$3,0,0,'Données projet'!$E$9+1,1))-AVERAGE(OFFSET($H$3,0,0,'Données projet'!$E$9+1,1))</f>
        <v>300.80663531652721</v>
      </c>
      <c r="T35" s="59">
        <f t="shared" si="34"/>
        <v>306.01967513533549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3.5630087490216678</v>
      </c>
      <c r="AA35" s="21">
        <f>EXP(-LN(2)/25)*AA34+(1-EXP(-LN(2)/25))/(LN(2)/25)*Calculateur!V35*Calculateur!X35*VLOOKUP('Données projet'!$B$9,Paramètres!$A$1:$I$89,3,0)*0.475*44/12</f>
        <v>36.663913729526705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40.226922478548374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16.614999999999998</v>
      </c>
      <c r="AI35" s="13">
        <f>IF('Données projet'!$A$62&gt;35,AI34+AH35-AQ34,IF(A35&lt;'Données projet'!$A$62,$AF$205^A35,IF(A35='Données projet'!$A$62,'Données projet'!$B$62,AI34+AH35-AQ34)))</f>
        <v>200.72500000000002</v>
      </c>
      <c r="AJ35" s="13">
        <f>AI35*VLOOKUP('Données projet'!$B$10,Paramètres!$A$1:$I$89,3,0)*VLOOKUP('Données projet'!$B$10,Paramètres!$A$1:$I$89,5,0)</f>
        <v>120.03355000000002</v>
      </c>
      <c r="AK35" s="13">
        <f t="shared" si="35"/>
        <v>31.68282415335652</v>
      </c>
      <c r="AL35" s="20">
        <f t="shared" si="4"/>
        <v>264.23935165042923</v>
      </c>
      <c r="AM35" s="59">
        <f t="shared" si="5"/>
        <v>557.57268498376254</v>
      </c>
      <c r="AN35" s="59">
        <f ca="1">AVERAGE(OFFSET($AM$3,0,0,'Données projet'!$E$10+1,1))-AVERAGE(OFFSET($H$3,0,0,'Données projet'!$E$10+1,1))</f>
        <v>349.5718186624772</v>
      </c>
      <c r="AO35" s="59">
        <f t="shared" si="36"/>
        <v>258.14152930815959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2.7582428712440845</v>
      </c>
      <c r="AV35" s="21">
        <f>EXP(-LN(2)/25)*AV34+(1-EXP(-LN(2)/25))/(LN(2)/25)*Calculateur!AQ35*Calculateur!AS35*VLOOKUP('Données projet'!$B$10,Paramètres!$A$1:$I$89,3,0)*0.475*44/12</f>
        <v>20.669024001713684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23.42726687295777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16.614999999999998</v>
      </c>
      <c r="BD35" s="12">
        <f>IF('Données projet'!$A$88&gt;35,BD34+BC35-BL34,IF(A35&lt;'Données projet'!$A$88,$BA$205^A35,IF(A35='Données projet'!$A$88,'Données projet'!$B$88,BD34+BC35-BL34)))</f>
        <v>200.72500000000002</v>
      </c>
      <c r="BE35" s="13">
        <f>BD35*VLOOKUP('Données projet'!$B$11,Paramètres!$A$1:$I$89,3,0)*VLOOKUP('Données projet'!$B$11,Paramètres!$A$1:$I$89,5,0)</f>
        <v>120.03355000000002</v>
      </c>
      <c r="BF35" s="13">
        <f t="shared" si="37"/>
        <v>31.68282415335652</v>
      </c>
      <c r="BG35" s="20">
        <f t="shared" si="7"/>
        <v>264.23935165042923</v>
      </c>
      <c r="BH35" s="59">
        <f t="shared" si="8"/>
        <v>557.57268498376254</v>
      </c>
      <c r="BI35" s="59">
        <f ca="1">AVERAGE(OFFSET($BH$3,0,0,'Données projet'!$E$11+1,1))-AVERAGE(OFFSET($H$3,0,0,'Données projet'!$E$11+1,1))</f>
        <v>349.5718186624772</v>
      </c>
      <c r="BJ35" s="59">
        <f t="shared" si="38"/>
        <v>258.14152930815959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2.7582428712440845</v>
      </c>
      <c r="BQ35" s="21">
        <f>EXP(-LN(2)/25)*BQ34+(1-EXP(-LN(2)/25))/(LN(2)/25)*Calculateur!BL35*Calculateur!BN35*VLOOKUP('Données projet'!$B$11,Paramètres!$A$1:$I$89,3,0)*0.475*44/12</f>
        <v>20.669024001713684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23.42726687295777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9.9228571428571435</v>
      </c>
      <c r="BY35" s="12">
        <f>IF('Données projet'!$A$114&gt;35,BY34+BX35-CG34,IF(A35&lt;'Données projet'!$A$114,$BV$205^A35,IF(A35='Données projet'!$A$114,'Données projet'!$B$114,BY34+BX35-CG34)))</f>
        <v>317.53142857142853</v>
      </c>
      <c r="BZ35" s="13">
        <f>BY35*VLOOKUP('Données projet'!$B$12,Paramètres!$A$1:$I$89,3,0)*VLOOKUP('Données projet'!$B$12,Paramètres!$A$1:$I$89,5,0)</f>
        <v>148.60470857142857</v>
      </c>
      <c r="CA35" s="13">
        <f t="shared" si="39"/>
        <v>38.261328378466914</v>
      </c>
      <c r="CB35" s="20">
        <f t="shared" si="10"/>
        <v>325.4583476877346</v>
      </c>
      <c r="CC35" s="59">
        <f t="shared" si="11"/>
        <v>618.79168102106792</v>
      </c>
      <c r="CD35" s="59">
        <f ca="1">AVERAGE(OFFSET($CC$3,0,0,'Données projet'!$E$12+1,1))-AVERAGE(OFFSET($H$3,0,0,'Données projet'!$E$12+1,1))</f>
        <v>356.22620301934836</v>
      </c>
      <c r="CE35" s="59">
        <f t="shared" si="40"/>
        <v>342.25495410715513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3.8113157894736847</v>
      </c>
      <c r="CT35" s="12">
        <f>IF('Données projet'!$A$140&gt;35,CT34+CS35-DB34,IF(A35&lt;'Données projet'!$A$140,$CQ$205^A35,IF(A35='Données projet'!$A$140,'Données projet'!$B$140,CT34+CS35-DB34)))</f>
        <v>121.96210526315784</v>
      </c>
      <c r="CU35" s="17">
        <f>CT35*VLOOKUP('Données projet'!$B$13,Paramètres!$A$1:$I$89,3,0)*VLOOKUP('Données projet'!$B$13,Paramètres!$A$1:$I$89,5,0)</f>
        <v>138.89044547368417</v>
      </c>
      <c r="CV35" s="13">
        <f t="shared" si="41"/>
        <v>36.042704542636343</v>
      </c>
      <c r="CW35" s="20">
        <f t="shared" si="13"/>
        <v>304.67523627842485</v>
      </c>
      <c r="CX35" s="59">
        <f t="shared" si="14"/>
        <v>598.00856961175816</v>
      </c>
      <c r="CY35" s="59">
        <f ca="1">AVERAGE(OFFSET($CX$3,0,0,'Données projet'!$E$13+1,1))-AVERAGE(OFFSET($H$3,0,0,'Données projet'!$E$13+1,1))</f>
        <v>473.48875234867705</v>
      </c>
      <c r="CZ35" s="59">
        <f t="shared" si="42"/>
        <v>322.74347070996379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17.737142857142853</v>
      </c>
      <c r="N36" s="13">
        <f>IF('Données projet'!$A$36&gt;35,N35+M36-V35,IF(A36&lt;'Données projet'!$A$36,$K$205^A36,IF(A36='Données projet'!$A$36,'Données projet'!$B$36,N35+M36-V35)))</f>
        <v>257.91857142857145</v>
      </c>
      <c r="O36" s="13">
        <f>N36*VLOOKUP('Données projet'!$B$9,Paramètres!$A$1:$I$89,3,0)*VLOOKUP('Données projet'!$B$9,Paramètres!$A$1:$I$89,5,0)</f>
        <v>154.23530571428574</v>
      </c>
      <c r="P36" s="13">
        <f t="shared" si="33"/>
        <v>39.539508761330566</v>
      </c>
      <c r="Q36" s="20">
        <f t="shared" si="53"/>
        <v>337.49113521169841</v>
      </c>
      <c r="R36" s="59">
        <f t="shared" si="0"/>
        <v>630.82446854503178</v>
      </c>
      <c r="S36" s="59">
        <f ca="1">AVERAGE(OFFSET($R$3,0,0,'Données projet'!$E$9+1,1))-AVERAGE(OFFSET($H$3,0,0,'Données projet'!$E$9+1,1))</f>
        <v>300.80663531652721</v>
      </c>
      <c r="T36" s="59">
        <f t="shared" si="34"/>
        <v>306.01967513533549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3.4931403206741019</v>
      </c>
      <c r="AA36" s="21">
        <f>EXP(-LN(2)/25)*AA35+(1-EXP(-LN(2)/25))/(LN(2)/25)*Calculateur!V36*Calculateur!X36*VLOOKUP('Données projet'!$B$9,Paramètres!$A$1:$I$89,3,0)*0.475*44/12</f>
        <v>35.661337080521371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39.154477401195471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217.34</v>
      </c>
      <c r="AG36" s="12">
        <f>VLOOKUP(A36,'Données projet'!$A$61:$I$81,9,0)</f>
        <v>16.614999999999998</v>
      </c>
      <c r="AH36" s="12">
        <f t="array" ref="AH36">INDEX(AG:AG,MIN(IF(ISNUMBER(AG36:AG232),ROW(AG36:AG232),"")))</f>
        <v>16.614999999999998</v>
      </c>
      <c r="AI36" s="13">
        <f>IF('Données projet'!$A$62&gt;35,AI35+AH36-AQ35,IF(A36&lt;'Données projet'!$A$62,$AF$205^A36,IF(A36='Données projet'!$A$62,'Données projet'!$B$62,AI35+AH36-AQ35)))</f>
        <v>217.34000000000003</v>
      </c>
      <c r="AJ36" s="13">
        <f>AI36*VLOOKUP('Données projet'!$B$10,Paramètres!$A$1:$I$89,3,0)*VLOOKUP('Données projet'!$B$10,Paramètres!$A$1:$I$89,5,0)</f>
        <v>129.96932000000001</v>
      </c>
      <c r="AK36" s="13">
        <f t="shared" si="35"/>
        <v>33.989269987755954</v>
      </c>
      <c r="AL36" s="20">
        <f t="shared" si="4"/>
        <v>285.56121089534162</v>
      </c>
      <c r="AM36" s="59">
        <f t="shared" si="5"/>
        <v>578.89454422867493</v>
      </c>
      <c r="AN36" s="59">
        <f ca="1">AVERAGE(OFFSET($AM$3,0,0,'Données projet'!$E$10+1,1))-AVERAGE(OFFSET($H$3,0,0,'Données projet'!$E$10+1,1))</f>
        <v>349.5718186624772</v>
      </c>
      <c r="AO36" s="59">
        <f t="shared" si="36"/>
        <v>258.14152930815959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50.41</v>
      </c>
      <c r="AR36" s="16">
        <f>IF(ISNA(VLOOKUP(A36,'Données projet'!$A$61:$I$81,5,0)),0%,VLOOKUP(A36,'Données projet'!$A$61:$I$81,5,0)*VLOOKUP('Données projet'!$B$10,Paramètres!$A$1:$I$89,7,0))</f>
        <v>0.13500000000000001</v>
      </c>
      <c r="AS36" s="16">
        <f>IF(ISNA(VLOOKUP(A36,'Données projet'!$A$61:$I$81,6,0)),0%,VLOOKUP(A36,'Données projet'!$A$61:$I$81,6,0)*VLOOKUP('Données projet'!$B$10,Paramètres!$A$1:$I$89,7,0))</f>
        <v>0.22500000000000001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8.1027411901626536</v>
      </c>
      <c r="AV36" s="21">
        <f>EXP(-LN(2)/25)*AV35+(1-EXP(-LN(2)/25))/(LN(2)/25)*Calculateur!AQ36*Calculateur!AS36*VLOOKUP('Données projet'!$B$10,Paramètres!$A$1:$I$89,3,0)*0.475*44/12</f>
        <v>29.066044270160475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37.168785460323129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>
        <f>VLOOKUP(A36,'Données projet'!$A$87:$I$107,2,0)</f>
        <v>217.34</v>
      </c>
      <c r="BB36" s="12">
        <f>VLOOKUP(A36,'Données projet'!$A$87:$I$107,9,0)</f>
        <v>16.614999999999998</v>
      </c>
      <c r="BC36" s="12">
        <f t="array" ref="BC36">INDEX(BB:BB,MIN(IF(ISNUMBER(BB36:BB232),ROW(BB36:BB232),"")))</f>
        <v>16.614999999999998</v>
      </c>
      <c r="BD36" s="12">
        <f>IF('Données projet'!$A$88&gt;35,BD35+BC36-BL35,IF(A36&lt;'Données projet'!$A$88,$BA$205^A36,IF(A36='Données projet'!$A$88,'Données projet'!$B$88,BD35+BC36-BL35)))</f>
        <v>217.34000000000003</v>
      </c>
      <c r="BE36" s="13">
        <f>BD36*VLOOKUP('Données projet'!$B$11,Paramètres!$A$1:$I$89,3,0)*VLOOKUP('Données projet'!$B$11,Paramètres!$A$1:$I$89,5,0)</f>
        <v>129.96932000000001</v>
      </c>
      <c r="BF36" s="13">
        <f t="shared" si="37"/>
        <v>33.989269987755954</v>
      </c>
      <c r="BG36" s="20">
        <f t="shared" si="7"/>
        <v>285.56121089534162</v>
      </c>
      <c r="BH36" s="59">
        <f t="shared" si="8"/>
        <v>578.89454422867493</v>
      </c>
      <c r="BI36" s="59">
        <f ca="1">AVERAGE(OFFSET($BH$3,0,0,'Données projet'!$E$11+1,1))-AVERAGE(OFFSET($H$3,0,0,'Données projet'!$E$11+1,1))</f>
        <v>349.5718186624772</v>
      </c>
      <c r="BJ36" s="59">
        <f t="shared" si="38"/>
        <v>258.14152930815959</v>
      </c>
      <c r="BK36" s="15">
        <f>IF(ISNA(VLOOKUP(A36,'Données projet'!$A$87:$I$107,3,0)),0,VLOOKUP(A36,'Données projet'!$A$87:$I$107,3,0))</f>
        <v>3</v>
      </c>
      <c r="BL36" s="15">
        <f>IF(ISNA(VLOOKUP(A36,'Données projet'!$A$87:$I$107,4,0)),0,VLOOKUP(A36,'Données projet'!$A$87:$I$107,4,0))</f>
        <v>50.41</v>
      </c>
      <c r="BM36" s="16">
        <f>IF(ISNA(VLOOKUP(A36,'Données projet'!$A$87:$I$107,5,0)),0%,VLOOKUP(A36,'Données projet'!$A$87:$I$107,5,0)*VLOOKUP('Données projet'!$B$11,Paramètres!$A$1:$I$89,7,0))</f>
        <v>0.13500000000000001</v>
      </c>
      <c r="BN36" s="16">
        <f>IF(ISNA(VLOOKUP(A36,'Données projet'!$A$87:$I$107,6,0)),0%,VLOOKUP(A36,'Données projet'!$A$87:$I$107,6,0)*VLOOKUP('Données projet'!$B$11,Paramètres!$A$1:$I$89,7,0))</f>
        <v>0.22500000000000001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8.1027411901626536</v>
      </c>
      <c r="BQ36" s="21">
        <f>EXP(-LN(2)/25)*BQ35+(1-EXP(-LN(2)/25))/(LN(2)/25)*Calculateur!BL36*Calculateur!BN36*VLOOKUP('Données projet'!$B$11,Paramètres!$A$1:$I$89,3,0)*0.475*44/12</f>
        <v>29.066044270160475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37.168785460323129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9.9228571428571435</v>
      </c>
      <c r="BY36" s="12">
        <f>IF('Données projet'!$A$114&gt;35,BY35+BX36-CG35,IF(A36&lt;'Données projet'!$A$114,$BV$205^A36,IF(A36='Données projet'!$A$114,'Données projet'!$B$114,BY35+BX36-CG35)))</f>
        <v>327.45428571428567</v>
      </c>
      <c r="BZ36" s="13">
        <f>BY36*VLOOKUP('Données projet'!$B$12,Paramètres!$A$1:$I$89,3,0)*VLOOKUP('Données projet'!$B$12,Paramètres!$A$1:$I$89,5,0)</f>
        <v>153.2486057142857</v>
      </c>
      <c r="CA36" s="13">
        <f t="shared" si="39"/>
        <v>39.315919798378474</v>
      </c>
      <c r="CB36" s="20">
        <f t="shared" si="10"/>
        <v>335.38321526789008</v>
      </c>
      <c r="CC36" s="59">
        <f t="shared" si="11"/>
        <v>628.71654860122339</v>
      </c>
      <c r="CD36" s="59">
        <f ca="1">AVERAGE(OFFSET($CC$3,0,0,'Données projet'!$E$12+1,1))-AVERAGE(OFFSET($H$3,0,0,'Données projet'!$E$12+1,1))</f>
        <v>356.22620301934836</v>
      </c>
      <c r="CE36" s="59">
        <f t="shared" si="40"/>
        <v>342.25495410715513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3.8113157894736847</v>
      </c>
      <c r="CT36" s="12">
        <f>IF('Données projet'!$A$140&gt;35,CT35+CS36-DB35,IF(A36&lt;'Données projet'!$A$140,$CQ$205^A36,IF(A36='Données projet'!$A$140,'Données projet'!$B$140,CT35+CS36-DB35)))</f>
        <v>125.77342105263152</v>
      </c>
      <c r="CU36" s="17">
        <f>CT36*VLOOKUP('Données projet'!$B$13,Paramètres!$A$1:$I$89,3,0)*VLOOKUP('Données projet'!$B$13,Paramètres!$A$1:$I$89,5,0)</f>
        <v>143.23077189473676</v>
      </c>
      <c r="CV36" s="13">
        <f t="shared" si="41"/>
        <v>37.036144356985908</v>
      </c>
      <c r="CW36" s="20">
        <f t="shared" si="13"/>
        <v>313.96487913841696</v>
      </c>
      <c r="CX36" s="59">
        <f t="shared" si="14"/>
        <v>607.29821247175028</v>
      </c>
      <c r="CY36" s="59">
        <f ca="1">AVERAGE(OFFSET($CX$3,0,0,'Données projet'!$E$13+1,1))-AVERAGE(OFFSET($H$3,0,0,'Données projet'!$E$13+1,1))</f>
        <v>473.48875234867705</v>
      </c>
      <c r="CZ36" s="59">
        <f t="shared" si="42"/>
        <v>322.74347070996379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17.737142857142853</v>
      </c>
      <c r="N37" s="13">
        <f>IF('Données projet'!$A$36&gt;35,N36+M37-V36,IF(A37&lt;'Données projet'!$A$36,$K$205^A37,IF(A37='Données projet'!$A$36,'Données projet'!$B$36,N36+M37-V36)))</f>
        <v>275.65571428571428</v>
      </c>
      <c r="O37" s="13">
        <f>N37*VLOOKUP('Données projet'!$B$9,Paramètres!$A$1:$I$89,3,0)*VLOOKUP('Données projet'!$B$9,Paramètres!$A$1:$I$89,5,0)</f>
        <v>164.84211714285715</v>
      </c>
      <c r="P37" s="13">
        <f t="shared" si="33"/>
        <v>41.932766136496305</v>
      </c>
      <c r="Q37" s="20">
        <f t="shared" si="53"/>
        <v>360.13292171154058</v>
      </c>
      <c r="R37" s="59">
        <f t="shared" si="0"/>
        <v>653.46625504487383</v>
      </c>
      <c r="S37" s="59">
        <f ca="1">AVERAGE(OFFSET($R$3,0,0,'Données projet'!$E$9+1,1))-AVERAGE(OFFSET($H$3,0,0,'Données projet'!$E$9+1,1))</f>
        <v>300.80663531652721</v>
      </c>
      <c r="T37" s="59">
        <f t="shared" si="34"/>
        <v>306.01967513533549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3.4246419695908985</v>
      </c>
      <c r="AA37" s="21">
        <f>EXP(-LN(2)/25)*AA36+(1-EXP(-LN(2)/25))/(LN(2)/25)*Calculateur!V37*Calculateur!X37*VLOOKUP('Données projet'!$B$9,Paramètres!$A$1:$I$89,3,0)*0.475*44/12</f>
        <v>34.686175942706299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38.1108179122972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16.701250000000002</v>
      </c>
      <c r="AI37" s="13">
        <f>IF('Données projet'!$A$62&gt;35,AI36+AH37-AQ36,IF(A37&lt;'Données projet'!$A$62,$AF$205^A37,IF(A37='Données projet'!$A$62,'Données projet'!$B$62,AI36+AH37-AQ36)))</f>
        <v>183.63125000000005</v>
      </c>
      <c r="AJ37" s="13">
        <f>AI37*VLOOKUP('Données projet'!$B$10,Paramètres!$A$1:$I$89,3,0)*VLOOKUP('Données projet'!$B$10,Paramètres!$A$1:$I$89,5,0)</f>
        <v>109.81148750000004</v>
      </c>
      <c r="AK37" s="13">
        <f t="shared" si="35"/>
        <v>29.286565124423376</v>
      </c>
      <c r="AL37" s="20">
        <f t="shared" si="4"/>
        <v>242.26244165420408</v>
      </c>
      <c r="AM37" s="59">
        <f t="shared" si="5"/>
        <v>535.59577498753742</v>
      </c>
      <c r="AN37" s="59">
        <f ca="1">AVERAGE(OFFSET($AM$3,0,0,'Données projet'!$E$10+1,1))-AVERAGE(OFFSET($H$3,0,0,'Données projet'!$E$10+1,1))</f>
        <v>349.5718186624772</v>
      </c>
      <c r="AO37" s="59">
        <f t="shared" si="36"/>
        <v>258.14152930815959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7.9438513776076896</v>
      </c>
      <c r="AV37" s="21">
        <f>EXP(-LN(2)/25)*AV36+(1-EXP(-LN(2)/25))/(LN(2)/25)*Calculateur!AQ37*Calculateur!AS37*VLOOKUP('Données projet'!$B$10,Paramètres!$A$1:$I$89,3,0)*0.475*44/12</f>
        <v>28.271231761076098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36.215083138683788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16.701250000000002</v>
      </c>
      <c r="BD37" s="12">
        <f>IF('Données projet'!$A$88&gt;35,BD36+BC37-BL36,IF(A37&lt;'Données projet'!$A$88,$BA$205^A37,IF(A37='Données projet'!$A$88,'Données projet'!$B$88,BD36+BC37-BL36)))</f>
        <v>183.63125000000005</v>
      </c>
      <c r="BE37" s="13">
        <f>BD37*VLOOKUP('Données projet'!$B$11,Paramètres!$A$1:$I$89,3,0)*VLOOKUP('Données projet'!$B$11,Paramètres!$A$1:$I$89,5,0)</f>
        <v>109.81148750000004</v>
      </c>
      <c r="BF37" s="13">
        <f t="shared" si="37"/>
        <v>29.286565124423376</v>
      </c>
      <c r="BG37" s="20">
        <f t="shared" si="7"/>
        <v>242.26244165420408</v>
      </c>
      <c r="BH37" s="59">
        <f t="shared" si="8"/>
        <v>535.59577498753742</v>
      </c>
      <c r="BI37" s="59">
        <f ca="1">AVERAGE(OFFSET($BH$3,0,0,'Données projet'!$E$11+1,1))-AVERAGE(OFFSET($H$3,0,0,'Données projet'!$E$11+1,1))</f>
        <v>349.5718186624772</v>
      </c>
      <c r="BJ37" s="59">
        <f t="shared" si="38"/>
        <v>258.14152930815959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7.9438513776076896</v>
      </c>
      <c r="BQ37" s="21">
        <f>EXP(-LN(2)/25)*BQ36+(1-EXP(-LN(2)/25))/(LN(2)/25)*Calculateur!BL37*Calculateur!BN37*VLOOKUP('Données projet'!$B$11,Paramètres!$A$1:$I$89,3,0)*0.475*44/12</f>
        <v>28.271231761076098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36.215083138683788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9.9228571428571435</v>
      </c>
      <c r="BY37" s="12">
        <f>IF('Données projet'!$A$114&gt;35,BY36+BX37-CG36,IF(A37&lt;'Données projet'!$A$114,$BV$205^A37,IF(A37='Données projet'!$A$114,'Données projet'!$B$114,BY36+BX37-CG36)))</f>
        <v>337.37714285714281</v>
      </c>
      <c r="BZ37" s="13">
        <f>BY37*VLOOKUP('Données projet'!$B$12,Paramètres!$A$1:$I$89,3,0)*VLOOKUP('Données projet'!$B$12,Paramètres!$A$1:$I$89,5,0)</f>
        <v>157.89250285714283</v>
      </c>
      <c r="CA37" s="13">
        <f t="shared" si="39"/>
        <v>40.366797338912775</v>
      </c>
      <c r="CB37" s="20">
        <f t="shared" si="10"/>
        <v>345.30161450813017</v>
      </c>
      <c r="CC37" s="59">
        <f t="shared" si="11"/>
        <v>638.63494784146349</v>
      </c>
      <c r="CD37" s="59">
        <f ca="1">AVERAGE(OFFSET($CC$3,0,0,'Données projet'!$E$12+1,1))-AVERAGE(OFFSET($H$3,0,0,'Données projet'!$E$12+1,1))</f>
        <v>356.22620301934836</v>
      </c>
      <c r="CE37" s="59">
        <f t="shared" si="40"/>
        <v>342.25495410715513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3.8113157894736847</v>
      </c>
      <c r="CT37" s="12">
        <f>IF('Données projet'!$A$140&gt;35,CT36+CS37-DB36,IF(A37&lt;'Données projet'!$A$140,$CQ$205^A37,IF(A37='Données projet'!$A$140,'Données projet'!$B$140,CT36+CS37-DB36)))</f>
        <v>129.5847368421052</v>
      </c>
      <c r="CU37" s="17">
        <f>CT37*VLOOKUP('Données projet'!$B$13,Paramètres!$A$1:$I$89,3,0)*VLOOKUP('Données projet'!$B$13,Paramètres!$A$1:$I$89,5,0)</f>
        <v>147.57109831578941</v>
      </c>
      <c r="CV37" s="13">
        <f t="shared" si="41"/>
        <v>38.026085645205406</v>
      </c>
      <c r="CW37" s="20">
        <f t="shared" si="13"/>
        <v>323.24842873206597</v>
      </c>
      <c r="CX37" s="59">
        <f t="shared" si="14"/>
        <v>616.58176206539929</v>
      </c>
      <c r="CY37" s="59">
        <f ca="1">AVERAGE(OFFSET($CX$3,0,0,'Données projet'!$E$13+1,1))-AVERAGE(OFFSET($H$3,0,0,'Données projet'!$E$13+1,1))</f>
        <v>473.48875234867705</v>
      </c>
      <c r="CZ37" s="59">
        <f t="shared" si="42"/>
        <v>322.74347070996379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17.737142857142853</v>
      </c>
      <c r="N38" s="13">
        <f>IF('Données projet'!$A$36&gt;35,N37+M38-V37,IF(A38&lt;'Données projet'!$A$36,$K$205^A38,IF(A38='Données projet'!$A$36,'Données projet'!$B$36,N37+M38-V37)))</f>
        <v>293.39285714285711</v>
      </c>
      <c r="O38" s="13">
        <f>N38*VLOOKUP('Données projet'!$B$9,Paramètres!$A$1:$I$89,3,0)*VLOOKUP('Données projet'!$B$9,Paramètres!$A$1:$I$89,5,0)</f>
        <v>175.44892857142858</v>
      </c>
      <c r="P38" s="13">
        <f t="shared" si="33"/>
        <v>44.308152462369684</v>
      </c>
      <c r="Q38" s="20">
        <f t="shared" si="53"/>
        <v>382.7435828005319</v>
      </c>
      <c r="R38" s="59">
        <f t="shared" si="0"/>
        <v>676.07691613386521</v>
      </c>
      <c r="S38" s="59">
        <f ca="1">AVERAGE(OFFSET($R$3,0,0,'Données projet'!$E$9+1,1))-AVERAGE(OFFSET($H$3,0,0,'Données projet'!$E$9+1,1))</f>
        <v>300.80663531652721</v>
      </c>
      <c r="T38" s="59">
        <f t="shared" si="34"/>
        <v>306.01967513533549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3.3574868293925682</v>
      </c>
      <c r="AA38" s="21">
        <f>EXP(-LN(2)/25)*AA37+(1-EXP(-LN(2)/25))/(LN(2)/25)*Calculateur!V38*Calculateur!X38*VLOOKUP('Données projet'!$B$9,Paramètres!$A$1:$I$89,3,0)*0.475*44/12</f>
        <v>33.737680637486278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37.095167466878848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16.701250000000002</v>
      </c>
      <c r="AI38" s="13">
        <f>IF('Données projet'!$A$62&gt;35,AI37+AH38-AQ37,IF(A38&lt;'Données projet'!$A$62,$AF$205^A38,IF(A38='Données projet'!$A$62,'Données projet'!$B$62,AI37+AH38-AQ37)))</f>
        <v>200.33250000000004</v>
      </c>
      <c r="AJ38" s="13">
        <f>AI38*VLOOKUP('Données projet'!$B$10,Paramètres!$A$1:$I$89,3,0)*VLOOKUP('Données projet'!$B$10,Paramètres!$A$1:$I$89,5,0)</f>
        <v>119.79883500000003</v>
      </c>
      <c r="AK38" s="13">
        <f t="shared" si="35"/>
        <v>31.628076280921128</v>
      </c>
      <c r="AL38" s="20">
        <f t="shared" si="4"/>
        <v>263.73520381427102</v>
      </c>
      <c r="AM38" s="59">
        <f t="shared" si="5"/>
        <v>557.06853714760427</v>
      </c>
      <c r="AN38" s="59">
        <f ca="1">AVERAGE(OFFSET($AM$3,0,0,'Données projet'!$E$10+1,1))-AVERAGE(OFFSET($H$3,0,0,'Données projet'!$E$10+1,1))</f>
        <v>349.5718186624772</v>
      </c>
      <c r="AO38" s="59">
        <f t="shared" si="36"/>
        <v>258.14152930815959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7.7880772973637127</v>
      </c>
      <c r="AV38" s="21">
        <f>EXP(-LN(2)/25)*AV37+(1-EXP(-LN(2)/25))/(LN(2)/25)*Calculateur!AQ38*Calculateur!AS38*VLOOKUP('Données projet'!$B$10,Paramètres!$A$1:$I$89,3,0)*0.475*44/12</f>
        <v>27.498153441850008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35.286230739213721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16.701250000000002</v>
      </c>
      <c r="BD38" s="12">
        <f>IF('Données projet'!$A$88&gt;35,BD37+BC38-BL37,IF(A38&lt;'Données projet'!$A$88,$BA$205^A38,IF(A38='Données projet'!$A$88,'Données projet'!$B$88,BD37+BC38-BL37)))</f>
        <v>200.33250000000004</v>
      </c>
      <c r="BE38" s="13">
        <f>BD38*VLOOKUP('Données projet'!$B$11,Paramètres!$A$1:$I$89,3,0)*VLOOKUP('Données projet'!$B$11,Paramètres!$A$1:$I$89,5,0)</f>
        <v>119.79883500000003</v>
      </c>
      <c r="BF38" s="13">
        <f t="shared" si="37"/>
        <v>31.628076280921128</v>
      </c>
      <c r="BG38" s="20">
        <f t="shared" si="7"/>
        <v>263.73520381427102</v>
      </c>
      <c r="BH38" s="59">
        <f t="shared" si="8"/>
        <v>557.06853714760427</v>
      </c>
      <c r="BI38" s="59">
        <f ca="1">AVERAGE(OFFSET($BH$3,0,0,'Données projet'!$E$11+1,1))-AVERAGE(OFFSET($H$3,0,0,'Données projet'!$E$11+1,1))</f>
        <v>349.5718186624772</v>
      </c>
      <c r="BJ38" s="59">
        <f t="shared" si="38"/>
        <v>258.14152930815959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7.7880772973637127</v>
      </c>
      <c r="BQ38" s="21">
        <f>EXP(-LN(2)/25)*BQ37+(1-EXP(-LN(2)/25))/(LN(2)/25)*Calculateur!BL38*Calculateur!BN38*VLOOKUP('Données projet'!$B$11,Paramètres!$A$1:$I$89,3,0)*0.475*44/12</f>
        <v>27.498153441850008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35.286230739213721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9.9228571428571435</v>
      </c>
      <c r="BY38" s="12">
        <f>IF('Données projet'!$A$114&gt;35,BY37+BX38-CG37,IF(A38&lt;'Données projet'!$A$114,$BV$205^A38,IF(A38='Données projet'!$A$114,'Données projet'!$B$114,BY37+BX38-CG37)))</f>
        <v>347.29999999999995</v>
      </c>
      <c r="BZ38" s="13">
        <f>BY38*VLOOKUP('Données projet'!$B$12,Paramètres!$A$1:$I$89,3,0)*VLOOKUP('Données projet'!$B$12,Paramètres!$A$1:$I$89,5,0)</f>
        <v>162.53639999999999</v>
      </c>
      <c r="CA38" s="13">
        <f t="shared" si="39"/>
        <v>41.414082773478739</v>
      </c>
      <c r="CB38" s="20">
        <f t="shared" si="10"/>
        <v>355.21375749714207</v>
      </c>
      <c r="CC38" s="59">
        <f t="shared" si="11"/>
        <v>648.54709083047533</v>
      </c>
      <c r="CD38" s="59">
        <f ca="1">AVERAGE(OFFSET($CC$3,0,0,'Données projet'!$E$12+1,1))-AVERAGE(OFFSET($H$3,0,0,'Données projet'!$E$12+1,1))</f>
        <v>356.22620301934836</v>
      </c>
      <c r="CE38" s="59">
        <f t="shared" si="40"/>
        <v>342.25495410715513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3.8113157894736847</v>
      </c>
      <c r="CT38" s="12">
        <f>IF('Données projet'!$A$140&gt;35,CT37+CS38-DB37,IF(A38&lt;'Données projet'!$A$140,$CQ$205^A38,IF(A38='Données projet'!$A$140,'Données projet'!$B$140,CT37+CS38-DB37)))</f>
        <v>133.3960526315789</v>
      </c>
      <c r="CU38" s="17">
        <f>CT38*VLOOKUP('Données projet'!$B$13,Paramètres!$A$1:$I$89,3,0)*VLOOKUP('Données projet'!$B$13,Paramètres!$A$1:$I$89,5,0)</f>
        <v>151.91142473684206</v>
      </c>
      <c r="CV38" s="13">
        <f t="shared" si="41"/>
        <v>39.012643119543149</v>
      </c>
      <c r="CW38" s="20">
        <f t="shared" si="13"/>
        <v>332.52608484987087</v>
      </c>
      <c r="CX38" s="59">
        <f t="shared" si="14"/>
        <v>625.85941818320418</v>
      </c>
      <c r="CY38" s="59">
        <f ca="1">AVERAGE(OFFSET($CX$3,0,0,'Données projet'!$E$13+1,1))-AVERAGE(OFFSET($H$3,0,0,'Données projet'!$E$13+1,1))</f>
        <v>473.48875234867705</v>
      </c>
      <c r="CZ38" s="59">
        <f t="shared" si="42"/>
        <v>322.74347070996379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311.13</v>
      </c>
      <c r="L39" s="12">
        <f>VLOOKUP(A39,'Données projet'!$A$35:$I$55,9,0)</f>
        <v>17.737142857142853</v>
      </c>
      <c r="M39" s="12">
        <f t="array" ref="M39">INDEX(L:L,MIN(IF(ISNUMBER(L39:L235),ROW(L39:L235),"")))</f>
        <v>17.737142857142853</v>
      </c>
      <c r="N39" s="13">
        <f>IF('Données projet'!$A$36&gt;35,N38+M39-V38,IF(A39&lt;'Données projet'!$A$36,$K$205^A39,IF(A39='Données projet'!$A$36,'Données projet'!$B$36,N38+M39-V38)))</f>
        <v>311.12999999999994</v>
      </c>
      <c r="O39" s="13">
        <f>N39*VLOOKUP('Données projet'!$B$9,Paramètres!$A$1:$I$89,3,0)*VLOOKUP('Données projet'!$B$9,Paramètres!$A$1:$I$89,5,0)</f>
        <v>186.05573999999996</v>
      </c>
      <c r="P39" s="13">
        <f t="shared" si="33"/>
        <v>46.66687117215772</v>
      </c>
      <c r="Q39" s="20">
        <f t="shared" si="53"/>
        <v>405.32521445817457</v>
      </c>
      <c r="R39" s="59">
        <f t="shared" si="0"/>
        <v>698.65854779150789</v>
      </c>
      <c r="S39" s="59">
        <f ca="1">AVERAGE(OFFSET($R$3,0,0,'Données projet'!$E$9+1,1))-AVERAGE(OFFSET($H$3,0,0,'Données projet'!$E$9+1,1))</f>
        <v>300.80663531652721</v>
      </c>
      <c r="T39" s="59">
        <f t="shared" si="34"/>
        <v>306.01967513533549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76.069999999999993</v>
      </c>
      <c r="W39" s="16">
        <f>IF(ISNA(VLOOKUP(A39,'Données projet'!$A$35:$I$55,5,0)),0%,VLOOKUP(A39,'Données projet'!$A$35:$I$55,5,0)*VLOOKUP('Données projet'!$B$9,Paramètres!$A$1:$I$89,7,0))</f>
        <v>0.13500000000000001</v>
      </c>
      <c r="X39" s="16">
        <f>IF(ISNA(VLOOKUP(A39,'Données projet'!$A$35:$I$55,6,0)),0%,VLOOKUP(A39,'Données projet'!$A$35:$I$55,6,0)*VLOOKUP('Données projet'!$B$9,Paramètres!$A$1:$I$89,7,0))</f>
        <v>0.22500000000000001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11.438254793987262</v>
      </c>
      <c r="AA39" s="21">
        <f>EXP(-LN(2)/25)*AA38+(1-EXP(-LN(2)/25))/(LN(2)/25)*Calculateur!V39*Calculateur!X39*VLOOKUP('Données projet'!$B$9,Paramètres!$A$1:$I$89,3,0)*0.475*44/12</f>
        <v>46.339338553954832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57.777593347942094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16.701250000000002</v>
      </c>
      <c r="AI39" s="13">
        <f>IF('Données projet'!$A$62&gt;35,AI38+AH39-AQ38,IF(A39&lt;'Données projet'!$A$62,$AF$205^A39,IF(A39='Données projet'!$A$62,'Données projet'!$B$62,AI38+AH39-AQ38)))</f>
        <v>217.03375000000005</v>
      </c>
      <c r="AJ39" s="13">
        <f>AI39*VLOOKUP('Données projet'!$B$10,Paramètres!$A$1:$I$89,3,0)*VLOOKUP('Données projet'!$B$10,Paramètres!$A$1:$I$89,5,0)</f>
        <v>129.78618250000005</v>
      </c>
      <c r="AK39" s="13">
        <f t="shared" si="35"/>
        <v>33.946947653586037</v>
      </c>
      <c r="AL39" s="20">
        <f t="shared" si="4"/>
        <v>285.1685350174958</v>
      </c>
      <c r="AM39" s="59">
        <f t="shared" si="5"/>
        <v>578.50186835082911</v>
      </c>
      <c r="AN39" s="59">
        <f ca="1">AVERAGE(OFFSET($AM$3,0,0,'Données projet'!$E$10+1,1))-AVERAGE(OFFSET($H$3,0,0,'Données projet'!$E$10+1,1))</f>
        <v>349.5718186624772</v>
      </c>
      <c r="AO39" s="59">
        <f t="shared" si="36"/>
        <v>258.14152930815959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7.6353578518205127</v>
      </c>
      <c r="AV39" s="21">
        <f>EXP(-LN(2)/25)*AV38+(1-EXP(-LN(2)/25))/(LN(2)/25)*Calculateur!AQ39*Calculateur!AS39*VLOOKUP('Données projet'!$B$10,Paramètres!$A$1:$I$89,3,0)*0.475*44/12</f>
        <v>26.746214989917579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34.381572841738091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16.701250000000002</v>
      </c>
      <c r="BD39" s="12">
        <f>IF('Données projet'!$A$88&gt;35,BD38+BC39-BL38,IF(A39&lt;'Données projet'!$A$88,$BA$205^A39,IF(A39='Données projet'!$A$88,'Données projet'!$B$88,BD38+BC39-BL38)))</f>
        <v>217.03375000000005</v>
      </c>
      <c r="BE39" s="13">
        <f>BD39*VLOOKUP('Données projet'!$B$11,Paramètres!$A$1:$I$89,3,0)*VLOOKUP('Données projet'!$B$11,Paramètres!$A$1:$I$89,5,0)</f>
        <v>129.78618250000005</v>
      </c>
      <c r="BF39" s="13">
        <f t="shared" si="37"/>
        <v>33.946947653586037</v>
      </c>
      <c r="BG39" s="20">
        <f t="shared" si="7"/>
        <v>285.1685350174958</v>
      </c>
      <c r="BH39" s="59">
        <f t="shared" si="8"/>
        <v>578.50186835082911</v>
      </c>
      <c r="BI39" s="59">
        <f ca="1">AVERAGE(OFFSET($BH$3,0,0,'Données projet'!$E$11+1,1))-AVERAGE(OFFSET($H$3,0,0,'Données projet'!$E$11+1,1))</f>
        <v>349.5718186624772</v>
      </c>
      <c r="BJ39" s="59">
        <f t="shared" si="38"/>
        <v>258.14152930815959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7.6353578518205127</v>
      </c>
      <c r="BQ39" s="21">
        <f>EXP(-LN(2)/25)*BQ38+(1-EXP(-LN(2)/25))/(LN(2)/25)*Calculateur!BL39*Calculateur!BN39*VLOOKUP('Données projet'!$B$11,Paramètres!$A$1:$I$89,3,0)*0.475*44/12</f>
        <v>26.746214989917579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34.381572841738091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9.9228571428571435</v>
      </c>
      <c r="BY39" s="12">
        <f>IF('Données projet'!$A$114&gt;35,BY38+BX39-CG38,IF(A39&lt;'Données projet'!$A$114,$BV$205^A39,IF(A39='Données projet'!$A$114,'Données projet'!$B$114,BY38+BX39-CG38)))</f>
        <v>357.22285714285709</v>
      </c>
      <c r="BZ39" s="13">
        <f>BY39*VLOOKUP('Données projet'!$B$12,Paramètres!$A$1:$I$89,3,0)*VLOOKUP('Données projet'!$B$12,Paramètres!$A$1:$I$89,5,0)</f>
        <v>167.18029714285711</v>
      </c>
      <c r="CA39" s="13">
        <f t="shared" si="39"/>
        <v>42.457890521224527</v>
      </c>
      <c r="CB39" s="20">
        <f t="shared" si="10"/>
        <v>365.1198435149422</v>
      </c>
      <c r="CC39" s="59">
        <f t="shared" si="11"/>
        <v>658.45317684827546</v>
      </c>
      <c r="CD39" s="59">
        <f ca="1">AVERAGE(OFFSET($CC$3,0,0,'Données projet'!$E$12+1,1))-AVERAGE(OFFSET($H$3,0,0,'Données projet'!$E$12+1,1))</f>
        <v>356.22620301934836</v>
      </c>
      <c r="CE39" s="59">
        <f t="shared" si="40"/>
        <v>342.25495410715513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3.8113157894736847</v>
      </c>
      <c r="CT39" s="12">
        <f>IF('Données projet'!$A$140&gt;35,CT38+CS39-DB38,IF(A39&lt;'Données projet'!$A$140,$CQ$205^A39,IF(A39='Données projet'!$A$140,'Données projet'!$B$140,CT38+CS39-DB38)))</f>
        <v>137.20736842105259</v>
      </c>
      <c r="CU39" s="17">
        <f>CT39*VLOOKUP('Données projet'!$B$13,Paramètres!$A$1:$I$89,3,0)*VLOOKUP('Données projet'!$B$13,Paramètres!$A$1:$I$89,5,0)</f>
        <v>156.25175115789469</v>
      </c>
      <c r="CV39" s="13">
        <f t="shared" si="41"/>
        <v>39.995924564431228</v>
      </c>
      <c r="CW39" s="20">
        <f t="shared" si="13"/>
        <v>341.79803521638428</v>
      </c>
      <c r="CX39" s="59">
        <f t="shared" si="14"/>
        <v>635.13136854971754</v>
      </c>
      <c r="CY39" s="59">
        <f ca="1">AVERAGE(OFFSET($CX$3,0,0,'Données projet'!$E$13+1,1))-AVERAGE(OFFSET($H$3,0,0,'Données projet'!$E$13+1,1))</f>
        <v>473.48875234867705</v>
      </c>
      <c r="CZ39" s="59">
        <f t="shared" si="42"/>
        <v>322.74347070996379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16.536250000000003</v>
      </c>
      <c r="N40" s="13">
        <f>IF('Données projet'!$A$36&gt;35,N39+M40-V39,IF(A40&lt;'Données projet'!$A$36,$K$205^A40,IF(A40='Données projet'!$A$36,'Données projet'!$B$36,N39+M40-V39)))</f>
        <v>251.59624999999994</v>
      </c>
      <c r="O40" s="13">
        <f>N40*VLOOKUP('Données projet'!$B$9,Paramètres!$A$1:$I$89,3,0)*VLOOKUP('Données projet'!$B$9,Paramètres!$A$1:$I$89,5,0)</f>
        <v>150.45455749999999</v>
      </c>
      <c r="P40" s="13">
        <f t="shared" si="33"/>
        <v>38.681867245543785</v>
      </c>
      <c r="Q40" s="20">
        <f t="shared" si="53"/>
        <v>329.4126064318221</v>
      </c>
      <c r="R40" s="59">
        <f t="shared" si="0"/>
        <v>622.74593976515541</v>
      </c>
      <c r="S40" s="59">
        <f ca="1">AVERAGE(OFFSET($R$3,0,0,'Données projet'!$E$9+1,1))-AVERAGE(OFFSET($H$3,0,0,'Données projet'!$E$9+1,1))</f>
        <v>300.80663531652721</v>
      </c>
      <c r="T40" s="59">
        <f t="shared" si="34"/>
        <v>306.01967513533549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11.213957594123709</v>
      </c>
      <c r="AA40" s="21">
        <f>EXP(-LN(2)/25)*AA39+(1-EXP(-LN(2)/25))/(LN(2)/25)*Calculateur!V40*Calculateur!X40*VLOOKUP('Données projet'!$B$9,Paramètres!$A$1:$I$89,3,0)*0.475*44/12</f>
        <v>45.072186904317036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56.286144498440748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16.701250000000002</v>
      </c>
      <c r="AI40" s="13">
        <f>IF('Données projet'!$A$62&gt;35,AI39+AH40-AQ39,IF(A40&lt;'Données projet'!$A$62,$AF$205^A40,IF(A40='Données projet'!$A$62,'Données projet'!$B$62,AI39+AH40-AQ39)))</f>
        <v>233.73500000000007</v>
      </c>
      <c r="AJ40" s="13">
        <f>AI40*VLOOKUP('Données projet'!$B$10,Paramètres!$A$1:$I$89,3,0)*VLOOKUP('Données projet'!$B$10,Paramètres!$A$1:$I$89,5,0)</f>
        <v>139.77353000000005</v>
      </c>
      <c r="AK40" s="13">
        <f t="shared" si="35"/>
        <v>36.245119510821418</v>
      </c>
      <c r="AL40" s="20">
        <f t="shared" si="4"/>
        <v>306.56581456468069</v>
      </c>
      <c r="AM40" s="59">
        <f t="shared" si="5"/>
        <v>599.89914789801401</v>
      </c>
      <c r="AN40" s="59">
        <f ca="1">AVERAGE(OFFSET($AM$3,0,0,'Données projet'!$E$10+1,1))-AVERAGE(OFFSET($H$3,0,0,'Données projet'!$E$10+1,1))</f>
        <v>349.5718186624772</v>
      </c>
      <c r="AO40" s="59">
        <f t="shared" si="36"/>
        <v>258.14152930815959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7.485633141454751</v>
      </c>
      <c r="AV40" s="21">
        <f>EXP(-LN(2)/25)*AV39+(1-EXP(-LN(2)/25))/(LN(2)/25)*Calculateur!AQ40*Calculateur!AS40*VLOOKUP('Données projet'!$B$10,Paramètres!$A$1:$I$89,3,0)*0.475*44/12</f>
        <v>26.014838334495966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33.500471475950718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16.701250000000002</v>
      </c>
      <c r="BD40" s="12">
        <f>IF('Données projet'!$A$88&gt;35,BD39+BC40-BL39,IF(A40&lt;'Données projet'!$A$88,$BA$205^A40,IF(A40='Données projet'!$A$88,'Données projet'!$B$88,BD39+BC40-BL39)))</f>
        <v>233.73500000000007</v>
      </c>
      <c r="BE40" s="13">
        <f>BD40*VLOOKUP('Données projet'!$B$11,Paramètres!$A$1:$I$89,3,0)*VLOOKUP('Données projet'!$B$11,Paramètres!$A$1:$I$89,5,0)</f>
        <v>139.77353000000005</v>
      </c>
      <c r="BF40" s="13">
        <f t="shared" si="37"/>
        <v>36.245119510821418</v>
      </c>
      <c r="BG40" s="20">
        <f t="shared" si="7"/>
        <v>306.56581456468069</v>
      </c>
      <c r="BH40" s="59">
        <f t="shared" si="8"/>
        <v>599.89914789801401</v>
      </c>
      <c r="BI40" s="59">
        <f ca="1">AVERAGE(OFFSET($BH$3,0,0,'Données projet'!$E$11+1,1))-AVERAGE(OFFSET($H$3,0,0,'Données projet'!$E$11+1,1))</f>
        <v>349.5718186624772</v>
      </c>
      <c r="BJ40" s="59">
        <f t="shared" si="38"/>
        <v>258.14152930815959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7.485633141454751</v>
      </c>
      <c r="BQ40" s="21">
        <f>EXP(-LN(2)/25)*BQ39+(1-EXP(-LN(2)/25))/(LN(2)/25)*Calculateur!BL40*Calculateur!BN40*VLOOKUP('Données projet'!$B$11,Paramètres!$A$1:$I$89,3,0)*0.475*44/12</f>
        <v>26.014838334495966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33.500471475950718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9.9228571428571435</v>
      </c>
      <c r="BY40" s="12">
        <f>IF('Données projet'!$A$114&gt;35,BY39+BX40-CG39,IF(A40&lt;'Données projet'!$A$114,$BV$205^A40,IF(A40='Données projet'!$A$114,'Données projet'!$B$114,BY39+BX40-CG39)))</f>
        <v>367.14571428571423</v>
      </c>
      <c r="BZ40" s="13">
        <f>BY40*VLOOKUP('Données projet'!$B$12,Paramètres!$A$1:$I$89,3,0)*VLOOKUP('Données projet'!$B$12,Paramètres!$A$1:$I$89,5,0)</f>
        <v>171.82419428571427</v>
      </c>
      <c r="CA40" s="13">
        <f t="shared" si="39"/>
        <v>43.498328282974661</v>
      </c>
      <c r="CB40" s="20">
        <f t="shared" si="10"/>
        <v>375.02006014046651</v>
      </c>
      <c r="CC40" s="59">
        <f t="shared" si="11"/>
        <v>668.35339347379977</v>
      </c>
      <c r="CD40" s="59">
        <f ca="1">AVERAGE(OFFSET($CC$3,0,0,'Données projet'!$E$12+1,1))-AVERAGE(OFFSET($H$3,0,0,'Données projet'!$E$12+1,1))</f>
        <v>356.22620301934836</v>
      </c>
      <c r="CE40" s="59">
        <f t="shared" si="40"/>
        <v>342.25495410715513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3.8113157894736847</v>
      </c>
      <c r="CT40" s="12">
        <f>IF('Données projet'!$A$140&gt;35,CT39+CS40-DB39,IF(A40&lt;'Données projet'!$A$140,$CQ$205^A40,IF(A40='Données projet'!$A$140,'Données projet'!$B$140,CT39+CS40-DB39)))</f>
        <v>141.01868421052629</v>
      </c>
      <c r="CU40" s="17">
        <f>CT40*VLOOKUP('Données projet'!$B$13,Paramètres!$A$1:$I$89,3,0)*VLOOKUP('Données projet'!$B$13,Paramètres!$A$1:$I$89,5,0)</f>
        <v>160.59207757894734</v>
      </c>
      <c r="CV40" s="13">
        <f t="shared" si="41"/>
        <v>40.976031435547291</v>
      </c>
      <c r="CW40" s="20">
        <f t="shared" si="13"/>
        <v>351.06445653357815</v>
      </c>
      <c r="CX40" s="59">
        <f t="shared" si="14"/>
        <v>644.39778986691147</v>
      </c>
      <c r="CY40" s="59">
        <f ca="1">AVERAGE(OFFSET($CX$3,0,0,'Données projet'!$E$13+1,1))-AVERAGE(OFFSET($H$3,0,0,'Données projet'!$E$13+1,1))</f>
        <v>473.48875234867705</v>
      </c>
      <c r="CZ40" s="59">
        <f t="shared" si="42"/>
        <v>322.74347070996379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16.536250000000003</v>
      </c>
      <c r="N41" s="13">
        <f>IF('Données projet'!$A$36&gt;35,N40+M41-V40,IF(A41&lt;'Données projet'!$A$36,$K$205^A41,IF(A41='Données projet'!$A$36,'Données projet'!$B$36,N40+M41-V40)))</f>
        <v>268.13249999999994</v>
      </c>
      <c r="O41" s="13">
        <f>N41*VLOOKUP('Données projet'!$B$9,Paramètres!$A$1:$I$89,3,0)*VLOOKUP('Données projet'!$B$9,Paramètres!$A$1:$I$89,5,0)</f>
        <v>160.34323499999996</v>
      </c>
      <c r="P41" s="13">
        <f t="shared" si="33"/>
        <v>40.919923361013716</v>
      </c>
      <c r="Q41" s="20">
        <f t="shared" si="53"/>
        <v>350.53333414543209</v>
      </c>
      <c r="R41" s="59">
        <f t="shared" si="0"/>
        <v>643.86666747876541</v>
      </c>
      <c r="S41" s="59">
        <f ca="1">AVERAGE(OFFSET($R$3,0,0,'Données projet'!$E$9+1,1))-AVERAGE(OFFSET($H$3,0,0,'Données projet'!$E$9+1,1))</f>
        <v>300.80663531652721</v>
      </c>
      <c r="T41" s="59">
        <f t="shared" si="34"/>
        <v>306.01967513533549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10.994058725541697</v>
      </c>
      <c r="AA41" s="21">
        <f>EXP(-LN(2)/25)*AA40+(1-EXP(-LN(2)/25))/(LN(2)/25)*Calculateur!V41*Calculateur!X41*VLOOKUP('Données projet'!$B$9,Paramètres!$A$1:$I$89,3,0)*0.475*44/12</f>
        <v>43.839685583175189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54.833744308716888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16.701250000000002</v>
      </c>
      <c r="AI41" s="13">
        <f>IF('Données projet'!$A$62&gt;35,AI40+AH41-AQ40,IF(A41&lt;'Données projet'!$A$62,$AF$205^A41,IF(A41='Données projet'!$A$62,'Données projet'!$B$62,AI40+AH41-AQ40)))</f>
        <v>250.43625000000009</v>
      </c>
      <c r="AJ41" s="13">
        <f>AI41*VLOOKUP('Données projet'!$B$10,Paramètres!$A$1:$I$89,3,0)*VLOOKUP('Données projet'!$B$10,Paramètres!$A$1:$I$89,5,0)</f>
        <v>149.76087750000008</v>
      </c>
      <c r="AK41" s="13">
        <f t="shared" si="35"/>
        <v>38.524239129902824</v>
      </c>
      <c r="AL41" s="20">
        <f t="shared" si="4"/>
        <v>327.9299114637476</v>
      </c>
      <c r="AM41" s="59">
        <f t="shared" si="5"/>
        <v>621.26324479708092</v>
      </c>
      <c r="AN41" s="59">
        <f ca="1">AVERAGE(OFFSET($AM$3,0,0,'Données projet'!$E$10+1,1))-AVERAGE(OFFSET($H$3,0,0,'Données projet'!$E$10+1,1))</f>
        <v>349.5718186624772</v>
      </c>
      <c r="AO41" s="59">
        <f t="shared" si="36"/>
        <v>258.14152930815959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7.3388444413362057</v>
      </c>
      <c r="AV41" s="21">
        <f>EXP(-LN(2)/25)*AV40+(1-EXP(-LN(2)/25))/(LN(2)/25)*Calculateur!AQ41*Calculateur!AS41*VLOOKUP('Données projet'!$B$10,Paramètres!$A$1:$I$89,3,0)*0.475*44/12</f>
        <v>25.303461212178284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32.642305653514491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16.701250000000002</v>
      </c>
      <c r="BD41" s="12">
        <f>IF('Données projet'!$A$88&gt;35,BD40+BC41-BL40,IF(A41&lt;'Données projet'!$A$88,$BA$205^A41,IF(A41='Données projet'!$A$88,'Données projet'!$B$88,BD40+BC41-BL40)))</f>
        <v>250.43625000000009</v>
      </c>
      <c r="BE41" s="13">
        <f>BD41*VLOOKUP('Données projet'!$B$11,Paramètres!$A$1:$I$89,3,0)*VLOOKUP('Données projet'!$B$11,Paramètres!$A$1:$I$89,5,0)</f>
        <v>149.76087750000008</v>
      </c>
      <c r="BF41" s="13">
        <f t="shared" si="37"/>
        <v>38.524239129902824</v>
      </c>
      <c r="BG41" s="20">
        <f t="shared" si="7"/>
        <v>327.9299114637476</v>
      </c>
      <c r="BH41" s="59">
        <f t="shared" si="8"/>
        <v>621.26324479708092</v>
      </c>
      <c r="BI41" s="59">
        <f ca="1">AVERAGE(OFFSET($BH$3,0,0,'Données projet'!$E$11+1,1))-AVERAGE(OFFSET($H$3,0,0,'Données projet'!$E$11+1,1))</f>
        <v>349.5718186624772</v>
      </c>
      <c r="BJ41" s="59">
        <f t="shared" si="38"/>
        <v>258.14152930815959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7.3388444413362057</v>
      </c>
      <c r="BQ41" s="21">
        <f>EXP(-LN(2)/25)*BQ40+(1-EXP(-LN(2)/25))/(LN(2)/25)*Calculateur!BL41*Calculateur!BN41*VLOOKUP('Données projet'!$B$11,Paramètres!$A$1:$I$89,3,0)*0.475*44/12</f>
        <v>25.303461212178284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32.642305653514491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9.9228571428571435</v>
      </c>
      <c r="BY41" s="12">
        <f>IF('Données projet'!$A$114&gt;35,BY40+BX41-CG40,IF(A41&lt;'Données projet'!$A$114,$BV$205^A41,IF(A41='Données projet'!$A$114,'Données projet'!$B$114,BY40+BX41-CG40)))</f>
        <v>377.06857142857137</v>
      </c>
      <c r="BZ41" s="13">
        <f>BY41*VLOOKUP('Données projet'!$B$12,Paramètres!$A$1:$I$89,3,0)*VLOOKUP('Données projet'!$B$12,Paramètres!$A$1:$I$89,5,0)</f>
        <v>176.4680914285714</v>
      </c>
      <c r="CA41" s="13">
        <f t="shared" si="39"/>
        <v>44.535497606483588</v>
      </c>
      <c r="CB41" s="20">
        <f t="shared" si="10"/>
        <v>384.91458423605405</v>
      </c>
      <c r="CC41" s="59">
        <f t="shared" si="11"/>
        <v>678.24791756938737</v>
      </c>
      <c r="CD41" s="59">
        <f ca="1">AVERAGE(OFFSET($CC$3,0,0,'Données projet'!$E$12+1,1))-AVERAGE(OFFSET($H$3,0,0,'Données projet'!$E$12+1,1))</f>
        <v>356.22620301934836</v>
      </c>
      <c r="CE41" s="59">
        <f t="shared" si="40"/>
        <v>342.25495410715513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>
        <f>VLOOKUP(A41,'Données projet'!$A$139:$I$159,2,0)</f>
        <v>144.83000000000001</v>
      </c>
      <c r="CR41" s="12">
        <f>VLOOKUP(A41,'Données projet'!$A$139:$I$159,9,0)</f>
        <v>3.8113157894736847</v>
      </c>
      <c r="CS41" s="12">
        <f t="array" ref="CS41">INDEX(CR:CR,MIN(IF(ISNUMBER(CR41:CR237),ROW(CR41:CR237),"")))</f>
        <v>3.8113157894736847</v>
      </c>
      <c r="CT41" s="12">
        <f>IF('Données projet'!$A$140&gt;35,CT40+CS41-DB40,IF(A41&lt;'Données projet'!$A$140,$CQ$205^A41,IF(A41='Données projet'!$A$140,'Données projet'!$B$140,CT40+CS41-DB40)))</f>
        <v>144.82999999999998</v>
      </c>
      <c r="CU41" s="17">
        <f>CT41*VLOOKUP('Données projet'!$B$13,Paramètres!$A$1:$I$89,3,0)*VLOOKUP('Données projet'!$B$13,Paramètres!$A$1:$I$89,5,0)</f>
        <v>164.93240399999996</v>
      </c>
      <c r="CV41" s="13">
        <f t="shared" si="41"/>
        <v>41.953059392291117</v>
      </c>
      <c r="CW41" s="20">
        <f t="shared" si="13"/>
        <v>360.32551540824034</v>
      </c>
      <c r="CX41" s="59">
        <f t="shared" si="14"/>
        <v>653.65884874157359</v>
      </c>
      <c r="CY41" s="59">
        <f ca="1">AVERAGE(OFFSET($CX$3,0,0,'Données projet'!$E$13+1,1))-AVERAGE(OFFSET($H$3,0,0,'Données projet'!$E$13+1,1))</f>
        <v>473.48875234867705</v>
      </c>
      <c r="CZ41" s="59">
        <f t="shared" si="42"/>
        <v>322.74347070996379</v>
      </c>
      <c r="DA41" s="15">
        <f>IF(ISNA(VLOOKUP(A41,'Données projet'!$A$139:$I$159,3,0)),0,VLOOKUP(A41,'Données projet'!$A$139:$I$159,3,0))</f>
        <v>1</v>
      </c>
      <c r="DB41" s="15">
        <f>IF(ISNA(VLOOKUP(A41,'Données projet'!$A$139:$I$159,4,0)),0,VLOOKUP(A41,'Données projet'!$A$139:$I$159,4,0))</f>
        <v>69.08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16.536250000000003</v>
      </c>
      <c r="N42" s="13">
        <f>IF('Données projet'!$A$36&gt;35,N41+M42-V41,IF(A42&lt;'Données projet'!$A$36,$K$205^A42,IF(A42='Données projet'!$A$36,'Données projet'!$B$36,N41+M42-V41)))</f>
        <v>284.66874999999993</v>
      </c>
      <c r="O42" s="13">
        <f>N42*VLOOKUP('Données projet'!$B$9,Paramètres!$A$1:$I$89,3,0)*VLOOKUP('Données projet'!$B$9,Paramètres!$A$1:$I$89,5,0)</f>
        <v>170.23191249999999</v>
      </c>
      <c r="P42" s="13">
        <f t="shared" si="33"/>
        <v>43.141960148805921</v>
      </c>
      <c r="Q42" s="20">
        <f t="shared" si="53"/>
        <v>371.62616153000363</v>
      </c>
      <c r="R42" s="59">
        <f t="shared" si="0"/>
        <v>664.95949486333689</v>
      </c>
      <c r="S42" s="59">
        <f ca="1">AVERAGE(OFFSET($R$3,0,0,'Données projet'!$E$9+1,1))-AVERAGE(OFFSET($H$3,0,0,'Données projet'!$E$9+1,1))</f>
        <v>300.80663531652721</v>
      </c>
      <c r="T42" s="59">
        <f t="shared" si="34"/>
        <v>306.01967513533549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10.778471939647513</v>
      </c>
      <c r="AA42" s="21">
        <f>EXP(-LN(2)/25)*AA41+(1-EXP(-LN(2)/25))/(LN(2)/25)*Calculateur!V42*Calculateur!X42*VLOOKUP('Données projet'!$B$9,Paramètres!$A$1:$I$89,3,0)*0.475*44/12</f>
        <v>42.640887075474396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53.419359015121913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16.701250000000002</v>
      </c>
      <c r="AI42" s="13">
        <f>IF('Données projet'!$A$62&gt;35,AI41+AH42-AQ41,IF(A42&lt;'Données projet'!$A$62,$AF$205^A42,IF(A42='Données projet'!$A$62,'Données projet'!$B$62,AI41+AH42-AQ41)))</f>
        <v>267.1375000000001</v>
      </c>
      <c r="AJ42" s="13">
        <f>AI42*VLOOKUP('Données projet'!$B$10,Paramètres!$A$1:$I$89,3,0)*VLOOKUP('Données projet'!$B$10,Paramètres!$A$1:$I$89,5,0)</f>
        <v>159.74822500000008</v>
      </c>
      <c r="AK42" s="13">
        <f t="shared" si="35"/>
        <v>40.785721648734771</v>
      </c>
      <c r="AL42" s="20">
        <f t="shared" si="4"/>
        <v>349.26329041321316</v>
      </c>
      <c r="AM42" s="59">
        <f t="shared" si="5"/>
        <v>642.59662374654647</v>
      </c>
      <c r="AN42" s="59">
        <f ca="1">AVERAGE(OFFSET($AM$3,0,0,'Données projet'!$E$10+1,1))-AVERAGE(OFFSET($H$3,0,0,'Données projet'!$E$10+1,1))</f>
        <v>349.5718186624772</v>
      </c>
      <c r="AO42" s="59">
        <f t="shared" si="36"/>
        <v>258.14152930815959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7.1949341780947185</v>
      </c>
      <c r="AV42" s="21">
        <f>EXP(-LN(2)/25)*AV41+(1-EXP(-LN(2)/25))/(LN(2)/25)*Calculateur!AQ42*Calculateur!AS42*VLOOKUP('Données projet'!$B$10,Paramètres!$A$1:$I$89,3,0)*0.475*44/12</f>
        <v>24.611536734680076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31.806470912774795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16.701250000000002</v>
      </c>
      <c r="BD42" s="12">
        <f>IF('Données projet'!$A$88&gt;35,BD41+BC42-BL41,IF(A42&lt;'Données projet'!$A$88,$BA$205^A42,IF(A42='Données projet'!$A$88,'Données projet'!$B$88,BD41+BC42-BL41)))</f>
        <v>267.1375000000001</v>
      </c>
      <c r="BE42" s="13">
        <f>BD42*VLOOKUP('Données projet'!$B$11,Paramètres!$A$1:$I$89,3,0)*VLOOKUP('Données projet'!$B$11,Paramètres!$A$1:$I$89,5,0)</f>
        <v>159.74822500000008</v>
      </c>
      <c r="BF42" s="13">
        <f t="shared" si="37"/>
        <v>40.785721648734771</v>
      </c>
      <c r="BG42" s="20">
        <f t="shared" si="7"/>
        <v>349.26329041321316</v>
      </c>
      <c r="BH42" s="59">
        <f t="shared" si="8"/>
        <v>642.59662374654647</v>
      </c>
      <c r="BI42" s="59">
        <f ca="1">AVERAGE(OFFSET($BH$3,0,0,'Données projet'!$E$11+1,1))-AVERAGE(OFFSET($H$3,0,0,'Données projet'!$E$11+1,1))</f>
        <v>349.5718186624772</v>
      </c>
      <c r="BJ42" s="59">
        <f t="shared" si="38"/>
        <v>258.14152930815959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7.1949341780947185</v>
      </c>
      <c r="BQ42" s="21">
        <f>EXP(-LN(2)/25)*BQ41+(1-EXP(-LN(2)/25))/(LN(2)/25)*Calculateur!BL42*Calculateur!BN42*VLOOKUP('Données projet'!$B$11,Paramètres!$A$1:$I$89,3,0)*0.475*44/12</f>
        <v>24.611536734680076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31.806470912774795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9.9228571428571435</v>
      </c>
      <c r="BY42" s="12">
        <f>IF('Données projet'!$A$114&gt;35,BY41+BX42-CG41,IF(A42&lt;'Données projet'!$A$114,$BV$205^A42,IF(A42='Données projet'!$A$114,'Données projet'!$B$114,BY41+BX42-CG41)))</f>
        <v>386.99142857142851</v>
      </c>
      <c r="BZ42" s="13">
        <f>BY42*VLOOKUP('Données projet'!$B$12,Paramètres!$A$1:$I$89,3,0)*VLOOKUP('Données projet'!$B$12,Paramètres!$A$1:$I$89,5,0)</f>
        <v>181.11198857142855</v>
      </c>
      <c r="CA42" s="13">
        <f t="shared" si="39"/>
        <v>45.569494390515281</v>
      </c>
      <c r="CB42" s="20">
        <f t="shared" si="10"/>
        <v>394.80358282538549</v>
      </c>
      <c r="CC42" s="59">
        <f t="shared" si="11"/>
        <v>688.1369161587188</v>
      </c>
      <c r="CD42" s="59">
        <f ca="1">AVERAGE(OFFSET($CC$3,0,0,'Données projet'!$E$12+1,1))-AVERAGE(OFFSET($H$3,0,0,'Données projet'!$E$12+1,1))</f>
        <v>356.22620301934836</v>
      </c>
      <c r="CE42" s="59">
        <f t="shared" si="40"/>
        <v>342.25495410715513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8.9585714285714282</v>
      </c>
      <c r="CT42" s="12">
        <f>IF('Données projet'!$A$140&gt;35,CT41+CS42-DB41,IF(A42&lt;'Données projet'!$A$140,$CQ$205^A42,IF(A42='Données projet'!$A$140,'Données projet'!$B$140,CT41+CS42-DB41)))</f>
        <v>84.708571428571403</v>
      </c>
      <c r="CU42" s="17">
        <f>CT42*VLOOKUP('Données projet'!$B$13,Paramètres!$A$1:$I$89,3,0)*VLOOKUP('Données projet'!$B$13,Paramètres!$A$1:$I$89,5,0)</f>
        <v>96.466121142857119</v>
      </c>
      <c r="CV42" s="13">
        <f t="shared" si="41"/>
        <v>26.118344888985405</v>
      </c>
      <c r="CW42" s="20">
        <f t="shared" si="13"/>
        <v>213.50127833879239</v>
      </c>
      <c r="CX42" s="59">
        <f t="shared" si="14"/>
        <v>506.83461167212567</v>
      </c>
      <c r="CY42" s="59">
        <f ca="1">AVERAGE(OFFSET($CX$3,0,0,'Données projet'!$E$13+1,1))-AVERAGE(OFFSET($H$3,0,0,'Données projet'!$E$13+1,1))</f>
        <v>473.48875234867705</v>
      </c>
      <c r="CZ42" s="59">
        <f t="shared" si="42"/>
        <v>322.74347070996379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16.536250000000003</v>
      </c>
      <c r="N43" s="13">
        <f>IF('Données projet'!$A$36&gt;35,N42+M43-V42,IF(A43&lt;'Données projet'!$A$36,$K$205^A43,IF(A43='Données projet'!$A$36,'Données projet'!$B$36,N42+M43-V42)))</f>
        <v>301.20499999999993</v>
      </c>
      <c r="O43" s="13">
        <f>N43*VLOOKUP('Données projet'!$B$9,Paramètres!$A$1:$I$89,3,0)*VLOOKUP('Données projet'!$B$9,Paramètres!$A$1:$I$89,5,0)</f>
        <v>180.12058999999999</v>
      </c>
      <c r="P43" s="13">
        <f t="shared" si="33"/>
        <v>45.349014174000445</v>
      </c>
      <c r="Q43" s="20">
        <f t="shared" si="53"/>
        <v>392.69289393638411</v>
      </c>
      <c r="R43" s="59">
        <f t="shared" si="0"/>
        <v>686.02622726971742</v>
      </c>
      <c r="S43" s="59">
        <f ca="1">AVERAGE(OFFSET($R$3,0,0,'Données projet'!$E$9+1,1))-AVERAGE(OFFSET($H$3,0,0,'Données projet'!$E$9+1,1))</f>
        <v>300.80663531652721</v>
      </c>
      <c r="T43" s="59">
        <f t="shared" si="34"/>
        <v>306.01967513533549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10.567112679129758</v>
      </c>
      <c r="AA43" s="21">
        <f>EXP(-LN(2)/25)*AA42+(1-EXP(-LN(2)/25))/(LN(2)/25)*Calculateur!V43*Calculateur!X43*VLOOKUP('Données projet'!$B$9,Paramètres!$A$1:$I$89,3,0)*0.475*44/12</f>
        <v>41.474869776008752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52.041982455138509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16.701250000000002</v>
      </c>
      <c r="AI43" s="13">
        <f>IF('Données projet'!$A$62&gt;35,AI42+AH43-AQ42,IF(A43&lt;'Données projet'!$A$62,$AF$205^A43,IF(A43='Données projet'!$A$62,'Données projet'!$B$62,AI42+AH43-AQ42)))</f>
        <v>283.83875000000012</v>
      </c>
      <c r="AJ43" s="13">
        <f>AI43*VLOOKUP('Données projet'!$B$10,Paramètres!$A$1:$I$89,3,0)*VLOOKUP('Données projet'!$B$10,Paramètres!$A$1:$I$89,5,0)</f>
        <v>169.73557250000007</v>
      </c>
      <c r="AK43" s="13">
        <f t="shared" si="35"/>
        <v>43.030795257249402</v>
      </c>
      <c r="AL43" s="20">
        <f t="shared" si="4"/>
        <v>370.56809051054279</v>
      </c>
      <c r="AM43" s="59">
        <f t="shared" si="5"/>
        <v>663.90142384387605</v>
      </c>
      <c r="AN43" s="59">
        <f ca="1">AVERAGE(OFFSET($AM$3,0,0,'Données projet'!$E$10+1,1))-AVERAGE(OFFSET($H$3,0,0,'Données projet'!$E$10+1,1))</f>
        <v>349.5718186624772</v>
      </c>
      <c r="AO43" s="59">
        <f t="shared" si="36"/>
        <v>258.14152930815959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7.053845907338804</v>
      </c>
      <c r="AV43" s="21">
        <f>EXP(-LN(2)/25)*AV42+(1-EXP(-LN(2)/25))/(LN(2)/25)*Calculateur!AQ43*Calculateur!AS43*VLOOKUP('Données projet'!$B$10,Paramètres!$A$1:$I$89,3,0)*0.475*44/12</f>
        <v>23.938532968405784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30.992378875744588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16.701250000000002</v>
      </c>
      <c r="BD43" s="12">
        <f>IF('Données projet'!$A$88&gt;35,BD42+BC43-BL42,IF(A43&lt;'Données projet'!$A$88,$BA$205^A43,IF(A43='Données projet'!$A$88,'Données projet'!$B$88,BD42+BC43-BL42)))</f>
        <v>283.83875000000012</v>
      </c>
      <c r="BE43" s="13">
        <f>BD43*VLOOKUP('Données projet'!$B$11,Paramètres!$A$1:$I$89,3,0)*VLOOKUP('Données projet'!$B$11,Paramètres!$A$1:$I$89,5,0)</f>
        <v>169.73557250000007</v>
      </c>
      <c r="BF43" s="13">
        <f t="shared" si="37"/>
        <v>43.030795257249402</v>
      </c>
      <c r="BG43" s="20">
        <f t="shared" si="7"/>
        <v>370.56809051054279</v>
      </c>
      <c r="BH43" s="59">
        <f t="shared" si="8"/>
        <v>663.90142384387605</v>
      </c>
      <c r="BI43" s="59">
        <f ca="1">AVERAGE(OFFSET($BH$3,0,0,'Données projet'!$E$11+1,1))-AVERAGE(OFFSET($H$3,0,0,'Données projet'!$E$11+1,1))</f>
        <v>349.5718186624772</v>
      </c>
      <c r="BJ43" s="59">
        <f t="shared" si="38"/>
        <v>258.14152930815959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7.053845907338804</v>
      </c>
      <c r="BQ43" s="21">
        <f>EXP(-LN(2)/25)*BQ42+(1-EXP(-LN(2)/25))/(LN(2)/25)*Calculateur!BL43*Calculateur!BN43*VLOOKUP('Données projet'!$B$11,Paramètres!$A$1:$I$89,3,0)*0.475*44/12</f>
        <v>23.938532968405784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30.992378875744588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9.9228571428571435</v>
      </c>
      <c r="BY43" s="12">
        <f>IF('Données projet'!$A$114&gt;35,BY42+BX43-CG42,IF(A43&lt;'Données projet'!$A$114,$BV$205^A43,IF(A43='Données projet'!$A$114,'Données projet'!$B$114,BY42+BX43-CG42)))</f>
        <v>396.91428571428565</v>
      </c>
      <c r="BZ43" s="13">
        <f>BY43*VLOOKUP('Données projet'!$B$12,Paramètres!$A$1:$I$89,3,0)*VLOOKUP('Données projet'!$B$12,Paramètres!$A$1:$I$89,5,0)</f>
        <v>185.75588571428571</v>
      </c>
      <c r="CA43" s="13">
        <f t="shared" si="39"/>
        <v>46.60040933576763</v>
      </c>
      <c r="CB43" s="20">
        <f t="shared" si="10"/>
        <v>404.6872138788429</v>
      </c>
      <c r="CC43" s="59">
        <f t="shared" si="11"/>
        <v>698.02054721217621</v>
      </c>
      <c r="CD43" s="59">
        <f ca="1">AVERAGE(OFFSET($CC$3,0,0,'Données projet'!$E$12+1,1))-AVERAGE(OFFSET($H$3,0,0,'Données projet'!$E$12+1,1))</f>
        <v>356.22620301934836</v>
      </c>
      <c r="CE43" s="59">
        <f t="shared" si="40"/>
        <v>342.25495410715513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8.9585714285714282</v>
      </c>
      <c r="CT43" s="12">
        <f>IF('Données projet'!$A$140&gt;35,CT42+CS43-DB42,IF(A43&lt;'Données projet'!$A$140,$CQ$205^A43,IF(A43='Données projet'!$A$140,'Données projet'!$B$140,CT42+CS43-DB42)))</f>
        <v>93.667142857142835</v>
      </c>
      <c r="CU43" s="17">
        <f>CT43*VLOOKUP('Données projet'!$B$13,Paramètres!$A$1:$I$89,3,0)*VLOOKUP('Données projet'!$B$13,Paramètres!$A$1:$I$89,5,0)</f>
        <v>106.66814228571425</v>
      </c>
      <c r="CV43" s="13">
        <f t="shared" si="41"/>
        <v>28.544573191921071</v>
      </c>
      <c r="CW43" s="20">
        <f t="shared" si="13"/>
        <v>235.49547945688153</v>
      </c>
      <c r="CX43" s="59">
        <f t="shared" si="14"/>
        <v>528.8288127902149</v>
      </c>
      <c r="CY43" s="59">
        <f ca="1">AVERAGE(OFFSET($CX$3,0,0,'Données projet'!$E$13+1,1))-AVERAGE(OFFSET($H$3,0,0,'Données projet'!$E$13+1,1))</f>
        <v>473.48875234867705</v>
      </c>
      <c r="CZ43" s="59">
        <f t="shared" si="42"/>
        <v>322.74347070996379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16.536250000000003</v>
      </c>
      <c r="N44" s="13">
        <f>IF('Données projet'!$A$36&gt;35,N43+M44-V43,IF(A44&lt;'Données projet'!$A$36,$K$205^A44,IF(A44='Données projet'!$A$36,'Données projet'!$B$36,N43+M44-V43)))</f>
        <v>317.74124999999992</v>
      </c>
      <c r="O44" s="13">
        <f>N44*VLOOKUP('Données projet'!$B$9,Paramètres!$A$1:$I$89,3,0)*VLOOKUP('Données projet'!$B$9,Paramètres!$A$1:$I$89,5,0)</f>
        <v>190.00926749999999</v>
      </c>
      <c r="P44" s="13">
        <f t="shared" si="33"/>
        <v>47.542001758079778</v>
      </c>
      <c r="Q44" s="20">
        <f t="shared" si="53"/>
        <v>413.73512729115561</v>
      </c>
      <c r="R44" s="59">
        <f t="shared" si="0"/>
        <v>707.06846062448892</v>
      </c>
      <c r="S44" s="59">
        <f ca="1">AVERAGE(OFFSET($R$3,0,0,'Données projet'!$E$9+1,1))-AVERAGE(OFFSET($H$3,0,0,'Données projet'!$E$9+1,1))</f>
        <v>300.80663531652721</v>
      </c>
      <c r="T44" s="59">
        <f t="shared" si="34"/>
        <v>306.01967513533549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10.359898044794338</v>
      </c>
      <c r="AA44" s="21">
        <f>EXP(-LN(2)/25)*AA43+(1-EXP(-LN(2)/25))/(LN(2)/25)*Calculateur!V44*Calculateur!X44*VLOOKUP('Données projet'!$B$9,Paramètres!$A$1:$I$89,3,0)*0.475*44/12</f>
        <v>40.340737280915185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50.700635325709527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300.54000000000002</v>
      </c>
      <c r="AG44" s="12">
        <f>VLOOKUP(A44,'Données projet'!$A$61:$I$81,9,0)</f>
        <v>16.701250000000002</v>
      </c>
      <c r="AH44" s="12">
        <f t="array" ref="AH44">INDEX(AG:AG,MIN(IF(ISNUMBER(AG44:AG240),ROW(AG44:AG240),"")))</f>
        <v>16.701250000000002</v>
      </c>
      <c r="AI44" s="13">
        <f>IF('Données projet'!$A$62&gt;35,AI43+AH44-AQ43,IF(A44&lt;'Données projet'!$A$62,$AF$205^A44,IF(A44='Données projet'!$A$62,'Données projet'!$B$62,AI43+AH44-AQ43)))</f>
        <v>300.54000000000013</v>
      </c>
      <c r="AJ44" s="13">
        <f>AI44*VLOOKUP('Données projet'!$B$10,Paramètres!$A$1:$I$89,3,0)*VLOOKUP('Données projet'!$B$10,Paramètres!$A$1:$I$89,5,0)</f>
        <v>179.72292000000007</v>
      </c>
      <c r="AK44" s="13">
        <f t="shared" si="35"/>
        <v>45.260535445550182</v>
      </c>
      <c r="AL44" s="20">
        <f t="shared" si="4"/>
        <v>391.84618490100002</v>
      </c>
      <c r="AM44" s="59">
        <f t="shared" si="5"/>
        <v>685.17951823433327</v>
      </c>
      <c r="AN44" s="59">
        <f ca="1">AVERAGE(OFFSET($AM$3,0,0,'Données projet'!$E$10+1,1))-AVERAGE(OFFSET($H$3,0,0,'Données projet'!$E$10+1,1))</f>
        <v>349.5718186624772</v>
      </c>
      <c r="AO44" s="59">
        <f t="shared" si="36"/>
        <v>258.14152930815959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72.13</v>
      </c>
      <c r="AR44" s="16">
        <f>IF(ISNA(VLOOKUP(A44,'Données projet'!$A$61:$I$81,5,0)),0%,VLOOKUP(A44,'Données projet'!$A$61:$I$81,5,0)*VLOOKUP('Données projet'!$B$10,Paramètres!$A$1:$I$89,7,0))</f>
        <v>0.13500000000000001</v>
      </c>
      <c r="AS44" s="16">
        <f>IF(ISNA(VLOOKUP(A44,'Données projet'!$A$61:$I$81,6,0)),0%,VLOOKUP(A44,'Données projet'!$A$61:$I$81,6,0)*VLOOKUP('Données projet'!$B$10,Paramètres!$A$1:$I$89,7,0))</f>
        <v>0.22500000000000001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14.640181943930113</v>
      </c>
      <c r="AV44" s="21">
        <f>EXP(-LN(2)/25)*AV43+(1-EXP(-LN(2)/25))/(LN(2)/25)*Calculateur!AQ44*Calculateur!AS44*VLOOKUP('Données projet'!$B$10,Paramètres!$A$1:$I$89,3,0)*0.475*44/12</f>
        <v>36.107670412028959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50.747852355959068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300.54000000000002</v>
      </c>
      <c r="BB44" s="12">
        <f>VLOOKUP(A44,'Données projet'!$A$87:$I$107,9,0)</f>
        <v>16.701250000000002</v>
      </c>
      <c r="BC44" s="12">
        <f t="array" ref="BC44">INDEX(BB:BB,MIN(IF(ISNUMBER(BB44:BB240),ROW(BB44:BB240),"")))</f>
        <v>16.701250000000002</v>
      </c>
      <c r="BD44" s="12">
        <f>IF('Données projet'!$A$88&gt;35,BD43+BC44-BL43,IF(A44&lt;'Données projet'!$A$88,$BA$205^A44,IF(A44='Données projet'!$A$88,'Données projet'!$B$88,BD43+BC44-BL43)))</f>
        <v>300.54000000000013</v>
      </c>
      <c r="BE44" s="13">
        <f>BD44*VLOOKUP('Données projet'!$B$11,Paramètres!$A$1:$I$89,3,0)*VLOOKUP('Données projet'!$B$11,Paramètres!$A$1:$I$89,5,0)</f>
        <v>179.72292000000007</v>
      </c>
      <c r="BF44" s="13">
        <f t="shared" si="37"/>
        <v>45.260535445550182</v>
      </c>
      <c r="BG44" s="20">
        <f t="shared" si="7"/>
        <v>391.84618490100002</v>
      </c>
      <c r="BH44" s="59">
        <f t="shared" si="8"/>
        <v>685.17951823433327</v>
      </c>
      <c r="BI44" s="59">
        <f ca="1">AVERAGE(OFFSET($BH$3,0,0,'Données projet'!$E$11+1,1))-AVERAGE(OFFSET($H$3,0,0,'Données projet'!$E$11+1,1))</f>
        <v>349.5718186624772</v>
      </c>
      <c r="BJ44" s="59">
        <f t="shared" si="38"/>
        <v>258.14152930815959</v>
      </c>
      <c r="BK44" s="15">
        <f>IF(ISNA(VLOOKUP(A44,'Données projet'!$A$87:$I$107,3,0)),0,VLOOKUP(A44,'Données projet'!$A$87:$I$107,3,0))</f>
        <v>4</v>
      </c>
      <c r="BL44" s="15">
        <f>IF(ISNA(VLOOKUP(A44,'Données projet'!$A$87:$I$107,4,0)),0,VLOOKUP(A44,'Données projet'!$A$87:$I$107,4,0))</f>
        <v>72.13</v>
      </c>
      <c r="BM44" s="16">
        <f>IF(ISNA(VLOOKUP(A44,'Données projet'!$A$87:$I$107,5,0)),0%,VLOOKUP(A44,'Données projet'!$A$87:$I$107,5,0)*VLOOKUP('Données projet'!$B$11,Paramètres!$A$1:$I$89,7,0))</f>
        <v>0.13500000000000001</v>
      </c>
      <c r="BN44" s="16">
        <f>IF(ISNA(VLOOKUP(A44,'Données projet'!$A$87:$I$107,6,0)),0%,VLOOKUP(A44,'Données projet'!$A$87:$I$107,6,0)*VLOOKUP('Données projet'!$B$11,Paramètres!$A$1:$I$89,7,0))</f>
        <v>0.22500000000000001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14.640181943930113</v>
      </c>
      <c r="BQ44" s="21">
        <f>EXP(-LN(2)/25)*BQ43+(1-EXP(-LN(2)/25))/(LN(2)/25)*Calculateur!BL44*Calculateur!BN44*VLOOKUP('Données projet'!$B$11,Paramètres!$A$1:$I$89,3,0)*0.475*44/12</f>
        <v>36.107670412028959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50.747852355959068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9.9228571428571435</v>
      </c>
      <c r="BY44" s="12">
        <f>IF('Données projet'!$A$114&gt;35,BY43+BX44-CG43,IF(A44&lt;'Données projet'!$A$114,$BV$205^A44,IF(A44='Données projet'!$A$114,'Données projet'!$B$114,BY43+BX44-CG43)))</f>
        <v>406.83714285714279</v>
      </c>
      <c r="BZ44" s="13">
        <f>BY44*VLOOKUP('Données projet'!$B$12,Paramètres!$A$1:$I$89,3,0)*VLOOKUP('Données projet'!$B$12,Paramètres!$A$1:$I$89,5,0)</f>
        <v>190.39978285714281</v>
      </c>
      <c r="CA44" s="13">
        <f t="shared" si="39"/>
        <v>47.628328349435108</v>
      </c>
      <c r="CB44" s="20">
        <f t="shared" si="10"/>
        <v>414.56562701812322</v>
      </c>
      <c r="CC44" s="59">
        <f t="shared" si="11"/>
        <v>707.89896035145648</v>
      </c>
      <c r="CD44" s="59">
        <f ca="1">AVERAGE(OFFSET($CC$3,0,0,'Données projet'!$E$12+1,1))-AVERAGE(OFFSET($H$3,0,0,'Données projet'!$E$12+1,1))</f>
        <v>356.22620301934836</v>
      </c>
      <c r="CE44" s="59">
        <f t="shared" si="40"/>
        <v>342.25495410715513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8.9585714285714282</v>
      </c>
      <c r="CT44" s="12">
        <f>IF('Données projet'!$A$140&gt;35,CT43+CS44-DB43,IF(A44&lt;'Données projet'!$A$140,$CQ$205^A44,IF(A44='Données projet'!$A$140,'Données projet'!$B$140,CT43+CS44-DB43)))</f>
        <v>102.62571428571427</v>
      </c>
      <c r="CU44" s="17">
        <f>CT44*VLOOKUP('Données projet'!$B$13,Paramètres!$A$1:$I$89,3,0)*VLOOKUP('Données projet'!$B$13,Paramètres!$A$1:$I$89,5,0)</f>
        <v>116.8701634285714</v>
      </c>
      <c r="CV44" s="13">
        <f t="shared" si="41"/>
        <v>30.943897312788931</v>
      </c>
      <c r="CW44" s="20">
        <f t="shared" si="13"/>
        <v>257.44282245786923</v>
      </c>
      <c r="CX44" s="59">
        <f t="shared" si="14"/>
        <v>550.77615579120254</v>
      </c>
      <c r="CY44" s="59">
        <f ca="1">AVERAGE(OFFSET($CX$3,0,0,'Données projet'!$E$13+1,1))-AVERAGE(OFFSET($H$3,0,0,'Données projet'!$E$13+1,1))</f>
        <v>473.48875234867705</v>
      </c>
      <c r="CZ44" s="59">
        <f t="shared" si="42"/>
        <v>322.74347070996379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16.536250000000003</v>
      </c>
      <c r="N45" s="13">
        <f>IF('Données projet'!$A$36&gt;35,N44+M45-V44,IF(A45&lt;'Données projet'!$A$36,$K$205^A45,IF(A45='Données projet'!$A$36,'Données projet'!$B$36,N44+M45-V44)))</f>
        <v>334.27749999999992</v>
      </c>
      <c r="O45" s="13">
        <f>N45*VLOOKUP('Données projet'!$B$9,Paramètres!$A$1:$I$89,3,0)*VLOOKUP('Données projet'!$B$9,Paramètres!$A$1:$I$89,5,0)</f>
        <v>199.89794499999996</v>
      </c>
      <c r="P45" s="13">
        <f t="shared" si="33"/>
        <v>49.721738459069584</v>
      </c>
      <c r="Q45" s="20">
        <f t="shared" si="53"/>
        <v>434.75428202454617</v>
      </c>
      <c r="R45" s="59">
        <f t="shared" si="0"/>
        <v>728.08761535787949</v>
      </c>
      <c r="S45" s="59">
        <f ca="1">AVERAGE(OFFSET($R$3,0,0,'Données projet'!$E$9+1,1))-AVERAGE(OFFSET($H$3,0,0,'Données projet'!$E$9+1,1))</f>
        <v>300.80663531652721</v>
      </c>
      <c r="T45" s="59">
        <f t="shared" si="34"/>
        <v>306.01967513533549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10.156746763049787</v>
      </c>
      <c r="AA45" s="21">
        <f>EXP(-LN(2)/25)*AA44+(1-EXP(-LN(2)/25))/(LN(2)/25)*Calculateur!V45*Calculateur!X45*VLOOKUP('Données projet'!$B$9,Paramètres!$A$1:$I$89,3,0)*0.475*44/12</f>
        <v>39.237617698541385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49.394364461591174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15.725555555555552</v>
      </c>
      <c r="AI45" s="13">
        <f>IF('Données projet'!$A$62&gt;35,AI44+AH45-AQ44,IF(A45&lt;'Données projet'!$A$62,$AF$205^A45,IF(A45='Données projet'!$A$62,'Données projet'!$B$62,AI44+AH45-AQ44)))</f>
        <v>244.1355555555557</v>
      </c>
      <c r="AJ45" s="13">
        <f>AI45*VLOOKUP('Données projet'!$B$10,Paramètres!$A$1:$I$89,3,0)*VLOOKUP('Données projet'!$B$10,Paramètres!$A$1:$I$89,5,0)</f>
        <v>145.99306222222231</v>
      </c>
      <c r="AK45" s="13">
        <f t="shared" si="35"/>
        <v>37.666564668799332</v>
      </c>
      <c r="AL45" s="20">
        <f t="shared" si="4"/>
        <v>319.87385016852937</v>
      </c>
      <c r="AM45" s="59">
        <f t="shared" si="5"/>
        <v>613.20718350186269</v>
      </c>
      <c r="AN45" s="59">
        <f ca="1">AVERAGE(OFFSET($AM$3,0,0,'Données projet'!$E$10+1,1))-AVERAGE(OFFSET($H$3,0,0,'Données projet'!$E$10+1,1))</f>
        <v>349.5718186624772</v>
      </c>
      <c r="AO45" s="59">
        <f t="shared" si="36"/>
        <v>258.14152930815959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14.353096905638902</v>
      </c>
      <c r="AV45" s="21">
        <f>EXP(-LN(2)/25)*AV44+(1-EXP(-LN(2)/25))/(LN(2)/25)*Calculateur!AQ45*Calculateur!AS45*VLOOKUP('Données projet'!$B$10,Paramètres!$A$1:$I$89,3,0)*0.475*44/12</f>
        <v>35.120304265792164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49.473401171431064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15.725555555555552</v>
      </c>
      <c r="BD45" s="12">
        <f>IF('Données projet'!$A$88&gt;35,BD44+BC45-BL44,IF(A45&lt;'Données projet'!$A$88,$BA$205^A45,IF(A45='Données projet'!$A$88,'Données projet'!$B$88,BD44+BC45-BL44)))</f>
        <v>244.1355555555557</v>
      </c>
      <c r="BE45" s="13">
        <f>BD45*VLOOKUP('Données projet'!$B$11,Paramètres!$A$1:$I$89,3,0)*VLOOKUP('Données projet'!$B$11,Paramètres!$A$1:$I$89,5,0)</f>
        <v>145.99306222222231</v>
      </c>
      <c r="BF45" s="13">
        <f t="shared" si="37"/>
        <v>37.666564668799332</v>
      </c>
      <c r="BG45" s="20">
        <f t="shared" si="7"/>
        <v>319.87385016852937</v>
      </c>
      <c r="BH45" s="59">
        <f t="shared" si="8"/>
        <v>613.20718350186269</v>
      </c>
      <c r="BI45" s="59">
        <f ca="1">AVERAGE(OFFSET($BH$3,0,0,'Données projet'!$E$11+1,1))-AVERAGE(OFFSET($H$3,0,0,'Données projet'!$E$11+1,1))</f>
        <v>349.5718186624772</v>
      </c>
      <c r="BJ45" s="59">
        <f t="shared" si="38"/>
        <v>258.14152930815959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14.353096905638902</v>
      </c>
      <c r="BQ45" s="21">
        <f>EXP(-LN(2)/25)*BQ44+(1-EXP(-LN(2)/25))/(LN(2)/25)*Calculateur!BL45*Calculateur!BN45*VLOOKUP('Données projet'!$B$11,Paramètres!$A$1:$I$89,3,0)*0.475*44/12</f>
        <v>35.120304265792164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49.473401171431064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416.76</v>
      </c>
      <c r="BW45" s="12">
        <f>VLOOKUP(A45,'Données projet'!$A$113:$I$133,9,0)</f>
        <v>9.9228571428571435</v>
      </c>
      <c r="BX45" s="12">
        <f t="array" ref="BX45">INDEX(BW:BW,MIN(IF(ISNUMBER(BW45:BW241),ROW(BW45:BW241),"")))</f>
        <v>9.9228571428571435</v>
      </c>
      <c r="BY45" s="12">
        <f>IF('Données projet'!$A$114&gt;35,BY44+BX45-CG44,IF(A45&lt;'Données projet'!$A$114,$BV$205^A45,IF(A45='Données projet'!$A$114,'Données projet'!$B$114,BY44+BX45-CG44)))</f>
        <v>416.75999999999993</v>
      </c>
      <c r="BZ45" s="13">
        <f>BY45*VLOOKUP('Données projet'!$B$12,Paramètres!$A$1:$I$89,3,0)*VLOOKUP('Données projet'!$B$12,Paramètres!$A$1:$I$89,5,0)</f>
        <v>195.04367999999997</v>
      </c>
      <c r="CA45" s="13">
        <f t="shared" si="39"/>
        <v>48.65333290919024</v>
      </c>
      <c r="CB45" s="20">
        <f t="shared" si="10"/>
        <v>424.43896415017292</v>
      </c>
      <c r="CC45" s="59">
        <f t="shared" si="11"/>
        <v>717.77229748350624</v>
      </c>
      <c r="CD45" s="59">
        <f ca="1">AVERAGE(OFFSET($CC$3,0,0,'Données projet'!$E$12+1,1))-AVERAGE(OFFSET($H$3,0,0,'Données projet'!$E$12+1,1))</f>
        <v>356.22620301934836</v>
      </c>
      <c r="CE45" s="59">
        <f t="shared" si="40"/>
        <v>342.25495410715513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182.39</v>
      </c>
      <c r="CH45" s="16">
        <f>IF(ISNA(VLOOKUP(A45,'Données projet'!$A$113:$I$133,5,0)),0%,VLOOKUP(A45,'Données projet'!$A$113:$I$133,5,0)*VLOOKUP('Données projet'!$B$12,Paramètres!$A$1:$I$89,7,0))</f>
        <v>0.27500000000000002</v>
      </c>
      <c r="CI45" s="16">
        <f>IF(ISNA(VLOOKUP(A45,'Données projet'!$A$113:$I$133,6,0)),0%,VLOOKUP(A45,'Données projet'!$A$113:$I$133,6,0)*VLOOKUP('Données projet'!$B$12,Paramètres!$A$1:$I$89,7,0))</f>
        <v>0.27500000000000002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31.1392341152544</v>
      </c>
      <c r="CL45" s="21">
        <f>EXP(-LN(2)/25)*CL44+(1-EXP(-LN(2)/25))/(LN(2)/25)*Calculateur!CG45*Calculateur!CI45*VLOOKUP('Données projet'!$B$12,Paramètres!$A$1:$I$89,3,0)*0.475*44/12</f>
        <v>31.016627085564249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62.155861200818649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8.9585714285714282</v>
      </c>
      <c r="CT45" s="12">
        <f>IF('Données projet'!$A$140&gt;35,CT44+CS45-DB44,IF(A45&lt;'Données projet'!$A$140,$CQ$205^A45,IF(A45='Données projet'!$A$140,'Données projet'!$B$140,CT44+CS45-DB44)))</f>
        <v>111.5842857142857</v>
      </c>
      <c r="CU45" s="17">
        <f>CT45*VLOOKUP('Données projet'!$B$13,Paramètres!$A$1:$I$89,3,0)*VLOOKUP('Données projet'!$B$13,Paramètres!$A$1:$I$89,5,0)</f>
        <v>127.07218457142856</v>
      </c>
      <c r="CV45" s="13">
        <f t="shared" si="41"/>
        <v>33.318932856047446</v>
      </c>
      <c r="CW45" s="20">
        <f t="shared" si="13"/>
        <v>279.34786285285406</v>
      </c>
      <c r="CX45" s="59">
        <f t="shared" si="14"/>
        <v>572.68119618618744</v>
      </c>
      <c r="CY45" s="59">
        <f ca="1">AVERAGE(OFFSET($CX$3,0,0,'Données projet'!$E$13+1,1))-AVERAGE(OFFSET($H$3,0,0,'Données projet'!$E$13+1,1))</f>
        <v>473.48875234867705</v>
      </c>
      <c r="CZ45" s="59">
        <f t="shared" si="42"/>
        <v>322.74347070996379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16.536250000000003</v>
      </c>
      <c r="N46" s="13">
        <f>IF('Données projet'!$A$36&gt;35,N45+M46-V45,IF(A46&lt;'Données projet'!$A$36,$K$205^A46,IF(A46='Données projet'!$A$36,'Données projet'!$B$36,N45+M46-V45)))</f>
        <v>350.81374999999991</v>
      </c>
      <c r="O46" s="13">
        <f>N46*VLOOKUP('Données projet'!$B$9,Paramètres!$A$1:$I$89,3,0)*VLOOKUP('Données projet'!$B$9,Paramètres!$A$1:$I$89,5,0)</f>
        <v>209.78662249999996</v>
      </c>
      <c r="P46" s="13">
        <f t="shared" si="33"/>
        <v>51.888954587591464</v>
      </c>
      <c r="Q46" s="20">
        <f t="shared" si="53"/>
        <v>455.75163009422175</v>
      </c>
      <c r="R46" s="59">
        <f t="shared" si="0"/>
        <v>749.08496342755507</v>
      </c>
      <c r="S46" s="59">
        <f ca="1">AVERAGE(OFFSET($R$3,0,0,'Données projet'!$E$9+1,1))-AVERAGE(OFFSET($H$3,0,0,'Données projet'!$E$9+1,1))</f>
        <v>300.80663531652721</v>
      </c>
      <c r="T46" s="59">
        <f t="shared" si="34"/>
        <v>306.01967513533549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9.957579154030201</v>
      </c>
      <c r="AA46" s="21">
        <f>EXP(-LN(2)/25)*AA45+(1-EXP(-LN(2)/25))/(LN(2)/25)*Calculateur!V46*Calculateur!X46*VLOOKUP('Données projet'!$B$9,Paramètres!$A$1:$I$89,3,0)*0.475*44/12</f>
        <v>38.164662979158138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48.122242133188337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15.725555555555552</v>
      </c>
      <c r="AI46" s="13">
        <f>IF('Données projet'!$A$62&gt;35,AI45+AH46-AQ45,IF(A46&lt;'Données projet'!$A$62,$AF$205^A46,IF(A46='Données projet'!$A$62,'Données projet'!$B$62,AI45+AH46-AQ45)))</f>
        <v>259.86111111111126</v>
      </c>
      <c r="AJ46" s="13">
        <f>AI46*VLOOKUP('Données projet'!$B$10,Paramètres!$A$1:$I$89,3,0)*VLOOKUP('Données projet'!$B$10,Paramètres!$A$1:$I$89,5,0)</f>
        <v>155.39694444444453</v>
      </c>
      <c r="AK46" s="13">
        <f t="shared" si="35"/>
        <v>39.802526102363792</v>
      </c>
      <c r="AL46" s="20">
        <f t="shared" si="4"/>
        <v>339.97241120235782</v>
      </c>
      <c r="AM46" s="59">
        <f t="shared" si="5"/>
        <v>633.30574453569113</v>
      </c>
      <c r="AN46" s="59">
        <f ca="1">AVERAGE(OFFSET($AM$3,0,0,'Données projet'!$E$10+1,1))-AVERAGE(OFFSET($H$3,0,0,'Données projet'!$E$10+1,1))</f>
        <v>349.5718186624772</v>
      </c>
      <c r="AO46" s="59">
        <f t="shared" si="36"/>
        <v>258.14152930815959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14.071641429843998</v>
      </c>
      <c r="AV46" s="21">
        <f>EXP(-LN(2)/25)*AV45+(1-EXP(-LN(2)/25))/(LN(2)/25)*Calculateur!AQ46*Calculateur!AS46*VLOOKUP('Données projet'!$B$10,Paramètres!$A$1:$I$89,3,0)*0.475*44/12</f>
        <v>34.159937698747548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48.231579128591548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15.725555555555552</v>
      </c>
      <c r="BD46" s="12">
        <f>IF('Données projet'!$A$88&gt;35,BD45+BC46-BL45,IF(A46&lt;'Données projet'!$A$88,$BA$205^A46,IF(A46='Données projet'!$A$88,'Données projet'!$B$88,BD45+BC46-BL45)))</f>
        <v>259.86111111111126</v>
      </c>
      <c r="BE46" s="13">
        <f>BD46*VLOOKUP('Données projet'!$B$11,Paramètres!$A$1:$I$89,3,0)*VLOOKUP('Données projet'!$B$11,Paramètres!$A$1:$I$89,5,0)</f>
        <v>155.39694444444453</v>
      </c>
      <c r="BF46" s="13">
        <f t="shared" si="37"/>
        <v>39.802526102363792</v>
      </c>
      <c r="BG46" s="20">
        <f t="shared" si="7"/>
        <v>339.97241120235782</v>
      </c>
      <c r="BH46" s="59">
        <f t="shared" si="8"/>
        <v>633.30574453569113</v>
      </c>
      <c r="BI46" s="59">
        <f ca="1">AVERAGE(OFFSET($BH$3,0,0,'Données projet'!$E$11+1,1))-AVERAGE(OFFSET($H$3,0,0,'Données projet'!$E$11+1,1))</f>
        <v>349.5718186624772</v>
      </c>
      <c r="BJ46" s="59">
        <f t="shared" si="38"/>
        <v>258.14152930815959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14.071641429843998</v>
      </c>
      <c r="BQ46" s="21">
        <f>EXP(-LN(2)/25)*BQ45+(1-EXP(-LN(2)/25))/(LN(2)/25)*Calculateur!BL46*Calculateur!BN46*VLOOKUP('Données projet'!$B$11,Paramètres!$A$1:$I$89,3,0)*0.475*44/12</f>
        <v>34.159937698747548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48.231579128591548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18.127142857142854</v>
      </c>
      <c r="BY46" s="12">
        <f>IF('Données projet'!$A$114&gt;35,BY45+BX46-CG45,IF(A46&lt;'Données projet'!$A$114,$BV$205^A46,IF(A46='Données projet'!$A$114,'Données projet'!$B$114,BY45+BX46-CG45)))</f>
        <v>252.49714285714282</v>
      </c>
      <c r="BZ46" s="13">
        <f>BY46*VLOOKUP('Données projet'!$B$12,Paramètres!$A$1:$I$89,3,0)*VLOOKUP('Données projet'!$B$12,Paramètres!$A$1:$I$89,5,0)</f>
        <v>118.16866285714285</v>
      </c>
      <c r="CA46" s="13">
        <f t="shared" si="39"/>
        <v>31.247488431792092</v>
      </c>
      <c r="CB46" s="20">
        <f t="shared" si="10"/>
        <v>260.23313016156169</v>
      </c>
      <c r="CC46" s="59">
        <f t="shared" si="11"/>
        <v>553.56646349489506</v>
      </c>
      <c r="CD46" s="59">
        <f ca="1">AVERAGE(OFFSET($CC$3,0,0,'Données projet'!$E$12+1,1))-AVERAGE(OFFSET($H$3,0,0,'Données projet'!$E$12+1,1))</f>
        <v>356.22620301934836</v>
      </c>
      <c r="CE46" s="59">
        <f t="shared" si="40"/>
        <v>342.25495410715513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30.528612727311664</v>
      </c>
      <c r="CL46" s="21">
        <f>EXP(-LN(2)/25)*CL45+(1-EXP(-LN(2)/25))/(LN(2)/25)*Calculateur!CG46*Calculateur!CI46*VLOOKUP('Données projet'!$B$12,Paramètres!$A$1:$I$89,3,0)*0.475*44/12</f>
        <v>30.168475786815964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60.697088514127628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8.9585714285714282</v>
      </c>
      <c r="CT46" s="12">
        <f>IF('Données projet'!$A$140&gt;35,CT45+CS46-DB45,IF(A46&lt;'Données projet'!$A$140,$CQ$205^A46,IF(A46='Données projet'!$A$140,'Données projet'!$B$140,CT45+CS46-DB45)))</f>
        <v>120.54285714285713</v>
      </c>
      <c r="CU46" s="17">
        <f>CT46*VLOOKUP('Données projet'!$B$13,Paramètres!$A$1:$I$89,3,0)*VLOOKUP('Données projet'!$B$13,Paramètres!$A$1:$I$89,5,0)</f>
        <v>137.2742057142857</v>
      </c>
      <c r="CV46" s="13">
        <f t="shared" si="41"/>
        <v>35.671851534233255</v>
      </c>
      <c r="CW46" s="20">
        <f t="shared" si="13"/>
        <v>301.21438304117049</v>
      </c>
      <c r="CX46" s="59">
        <f t="shared" si="14"/>
        <v>594.54771637450381</v>
      </c>
      <c r="CY46" s="59">
        <f ca="1">AVERAGE(OFFSET($CX$3,0,0,'Données projet'!$E$13+1,1))-AVERAGE(OFFSET($H$3,0,0,'Données projet'!$E$13+1,1))</f>
        <v>473.48875234867705</v>
      </c>
      <c r="CZ46" s="59">
        <f t="shared" si="42"/>
        <v>322.74347070996379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367.35</v>
      </c>
      <c r="L47" s="12">
        <f>VLOOKUP(A47,'Données projet'!$A$35:$I$55,9,0)</f>
        <v>16.536250000000003</v>
      </c>
      <c r="M47" s="12">
        <f t="array" ref="M47">INDEX(L:L,MIN(IF(ISNUMBER(L47:L243),ROW(L47:L243),"")))</f>
        <v>16.536250000000003</v>
      </c>
      <c r="N47" s="13">
        <f>IF('Données projet'!$A$36&gt;35,N46+M47-V46,IF(A47&lt;'Données projet'!$A$36,$K$205^A47,IF(A47='Données projet'!$A$36,'Données projet'!$B$36,N46+M47-V46)))</f>
        <v>367.34999999999991</v>
      </c>
      <c r="O47" s="13">
        <f>N47*VLOOKUP('Données projet'!$B$9,Paramètres!$A$1:$I$89,3,0)*VLOOKUP('Données projet'!$B$9,Paramètres!$A$1:$I$89,5,0)</f>
        <v>219.67529999999996</v>
      </c>
      <c r="P47" s="13">
        <f t="shared" si="33"/>
        <v>54.044307714561441</v>
      </c>
      <c r="Q47" s="20">
        <f t="shared" si="53"/>
        <v>476.72831676952774</v>
      </c>
      <c r="R47" s="59">
        <f t="shared" si="0"/>
        <v>770.06165010286099</v>
      </c>
      <c r="S47" s="59">
        <f ca="1">AVERAGE(OFFSET($R$3,0,0,'Données projet'!$E$9+1,1))-AVERAGE(OFFSET($H$3,0,0,'Données projet'!$E$9+1,1))</f>
        <v>300.80663531652721</v>
      </c>
      <c r="T47" s="59">
        <f t="shared" si="34"/>
        <v>306.01967513533549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77.91</v>
      </c>
      <c r="W47" s="16">
        <f>IF(ISNA(VLOOKUP(A47,'Données projet'!$A$35:$I$55,5,0)),0%,VLOOKUP(A47,'Données projet'!$A$35:$I$55,5,0)*VLOOKUP('Données projet'!$B$9,Paramètres!$A$1:$I$89,7,0))</f>
        <v>0.13500000000000001</v>
      </c>
      <c r="X47" s="16">
        <f>IF(ISNA(VLOOKUP(A47,'Données projet'!$A$35:$I$55,6,0)),0%,VLOOKUP(A47,'Données projet'!$A$35:$I$55,6,0)*VLOOKUP('Données projet'!$B$9,Paramètres!$A$1:$I$89,7,0))</f>
        <v>0.22500000000000001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18.105975463014815</v>
      </c>
      <c r="AA47" s="21">
        <f>EXP(-LN(2)/25)*AA46+(1-EXP(-LN(2)/25))/(LN(2)/25)*Calculateur!V47*Calculateur!X47*VLOOKUP('Données projet'!$B$9,Paramètres!$A$1:$I$89,3,0)*0.475*44/12</f>
        <v>50.972391930525085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69.078367393539907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15.725555555555552</v>
      </c>
      <c r="AI47" s="13">
        <f>IF('Données projet'!$A$62&gt;35,AI46+AH47-AQ46,IF(A47&lt;'Données projet'!$A$62,$AF$205^A47,IF(A47='Données projet'!$A$62,'Données projet'!$B$62,AI46+AH47-AQ46)))</f>
        <v>275.58666666666682</v>
      </c>
      <c r="AJ47" s="13">
        <f>AI47*VLOOKUP('Données projet'!$B$10,Paramètres!$A$1:$I$89,3,0)*VLOOKUP('Données projet'!$B$10,Paramètres!$A$1:$I$89,5,0)</f>
        <v>164.80082666666678</v>
      </c>
      <c r="AK47" s="13">
        <f t="shared" si="35"/>
        <v>41.923485083367801</v>
      </c>
      <c r="AL47" s="20">
        <f t="shared" si="4"/>
        <v>360.04484296464358</v>
      </c>
      <c r="AM47" s="59">
        <f t="shared" si="5"/>
        <v>653.37817629797689</v>
      </c>
      <c r="AN47" s="59">
        <f ca="1">AVERAGE(OFFSET($AM$3,0,0,'Données projet'!$E$10+1,1))-AVERAGE(OFFSET($H$3,0,0,'Données projet'!$E$10+1,1))</f>
        <v>349.5718186624772</v>
      </c>
      <c r="AO47" s="59">
        <f t="shared" si="36"/>
        <v>258.14152930815959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13.795705124258543</v>
      </c>
      <c r="AV47" s="21">
        <f>EXP(-LN(2)/25)*AV46+(1-EXP(-LN(2)/25))/(LN(2)/25)*Calculateur!AQ47*Calculateur!AS47*VLOOKUP('Données projet'!$B$10,Paramètres!$A$1:$I$89,3,0)*0.475*44/12</f>
        <v>33.225832405982246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47.021537530240792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15.725555555555552</v>
      </c>
      <c r="BD47" s="12">
        <f>IF('Données projet'!$A$88&gt;35,BD46+BC47-BL46,IF(A47&lt;'Données projet'!$A$88,$BA$205^A47,IF(A47='Données projet'!$A$88,'Données projet'!$B$88,BD46+BC47-BL46)))</f>
        <v>275.58666666666682</v>
      </c>
      <c r="BE47" s="13">
        <f>BD47*VLOOKUP('Données projet'!$B$11,Paramètres!$A$1:$I$89,3,0)*VLOOKUP('Données projet'!$B$11,Paramètres!$A$1:$I$89,5,0)</f>
        <v>164.80082666666678</v>
      </c>
      <c r="BF47" s="13">
        <f t="shared" si="37"/>
        <v>41.923485083367801</v>
      </c>
      <c r="BG47" s="20">
        <f t="shared" si="7"/>
        <v>360.04484296464358</v>
      </c>
      <c r="BH47" s="59">
        <f t="shared" si="8"/>
        <v>653.37817629797689</v>
      </c>
      <c r="BI47" s="59">
        <f ca="1">AVERAGE(OFFSET($BH$3,0,0,'Données projet'!$E$11+1,1))-AVERAGE(OFFSET($H$3,0,0,'Données projet'!$E$11+1,1))</f>
        <v>349.5718186624772</v>
      </c>
      <c r="BJ47" s="59">
        <f t="shared" si="38"/>
        <v>258.14152930815959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13.795705124258543</v>
      </c>
      <c r="BQ47" s="21">
        <f>EXP(-LN(2)/25)*BQ46+(1-EXP(-LN(2)/25))/(LN(2)/25)*Calculateur!BL47*Calculateur!BN47*VLOOKUP('Données projet'!$B$11,Paramètres!$A$1:$I$89,3,0)*0.475*44/12</f>
        <v>33.225832405982246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47.021537530240792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18.127142857142854</v>
      </c>
      <c r="BY47" s="12">
        <f>IF('Données projet'!$A$114&gt;35,BY46+BX47-CG46,IF(A47&lt;'Données projet'!$A$114,$BV$205^A47,IF(A47='Données projet'!$A$114,'Données projet'!$B$114,BY46+BX47-CG46)))</f>
        <v>270.62428571428569</v>
      </c>
      <c r="BZ47" s="13">
        <f>BY47*VLOOKUP('Données projet'!$B$12,Paramètres!$A$1:$I$89,3,0)*VLOOKUP('Données projet'!$B$12,Paramètres!$A$1:$I$89,5,0)</f>
        <v>126.6521657142857</v>
      </c>
      <c r="CA47" s="13">
        <f t="shared" si="39"/>
        <v>33.221602407666438</v>
      </c>
      <c r="CB47" s="20">
        <f t="shared" si="10"/>
        <v>278.44681281239997</v>
      </c>
      <c r="CC47" s="59">
        <f t="shared" si="11"/>
        <v>571.78014614573328</v>
      </c>
      <c r="CD47" s="59">
        <f ca="1">AVERAGE(OFFSET($CC$3,0,0,'Données projet'!$E$12+1,1))-AVERAGE(OFFSET($H$3,0,0,'Données projet'!$E$12+1,1))</f>
        <v>356.22620301934836</v>
      </c>
      <c r="CE47" s="59">
        <f t="shared" si="40"/>
        <v>342.25495410715513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29.929965252344214</v>
      </c>
      <c r="CL47" s="21">
        <f>EXP(-LN(2)/25)*CL46+(1-EXP(-LN(2)/25))/(LN(2)/25)*Calculateur!CG47*Calculateur!CI47*VLOOKUP('Données projet'!$B$12,Paramètres!$A$1:$I$89,3,0)*0.475*44/12</f>
        <v>29.343517229934292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59.27348248227851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8.9585714285714282</v>
      </c>
      <c r="CT47" s="12">
        <f>IF('Données projet'!$A$140&gt;35,CT46+CS47-DB46,IF(A47&lt;'Données projet'!$A$140,$CQ$205^A47,IF(A47='Données projet'!$A$140,'Données projet'!$B$140,CT46+CS47-DB46)))</f>
        <v>129.50142857142856</v>
      </c>
      <c r="CU47" s="17">
        <f>CT47*VLOOKUP('Données projet'!$B$13,Paramètres!$A$1:$I$89,3,0)*VLOOKUP('Données projet'!$B$13,Paramètres!$A$1:$I$89,5,0)</f>
        <v>147.47622685714285</v>
      </c>
      <c r="CV47" s="13">
        <f t="shared" si="41"/>
        <v>38.004483949170293</v>
      </c>
      <c r="CW47" s="20">
        <f t="shared" si="13"/>
        <v>323.04557132099541</v>
      </c>
      <c r="CX47" s="59">
        <f t="shared" si="14"/>
        <v>616.37890465432872</v>
      </c>
      <c r="CY47" s="59">
        <f ca="1">AVERAGE(OFFSET($CX$3,0,0,'Données projet'!$E$13+1,1))-AVERAGE(OFFSET($H$3,0,0,'Données projet'!$E$13+1,1))</f>
        <v>473.48875234867705</v>
      </c>
      <c r="CZ47" s="59">
        <f t="shared" si="42"/>
        <v>322.74347070996379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14.64374999999999</v>
      </c>
      <c r="N48" s="13">
        <f>IF('Données projet'!$A$36&gt;35,N47+M48-V47,IF(A48&lt;'Données projet'!$A$36,$K$205^A48,IF(A48='Données projet'!$A$36,'Données projet'!$B$36,N47+M48-V47)))</f>
        <v>304.0837499999999</v>
      </c>
      <c r="O48" s="13">
        <f>N48*VLOOKUP('Données projet'!$B$9,Paramètres!$A$1:$I$89,3,0)*VLOOKUP('Données projet'!$B$9,Paramètres!$A$1:$I$89,5,0)</f>
        <v>181.84208249999998</v>
      </c>
      <c r="P48" s="13">
        <f t="shared" si="33"/>
        <v>45.731772411922861</v>
      </c>
      <c r="Q48" s="20">
        <f t="shared" si="53"/>
        <v>396.35779730493226</v>
      </c>
      <c r="R48" s="59">
        <f t="shared" si="0"/>
        <v>689.69113063826558</v>
      </c>
      <c r="S48" s="59">
        <f ca="1">AVERAGE(OFFSET($R$3,0,0,'Données projet'!$E$9+1,1))-AVERAGE(OFFSET($H$3,0,0,'Données projet'!$E$9+1,1))</f>
        <v>300.80663531652721</v>
      </c>
      <c r="T48" s="59">
        <f t="shared" si="34"/>
        <v>306.01967513533549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17.750928327739665</v>
      </c>
      <c r="AA48" s="21">
        <f>EXP(-LN(2)/25)*AA47+(1-EXP(-LN(2)/25))/(LN(2)/25)*Calculateur!V48*Calculateur!X48*VLOOKUP('Données projet'!$B$9,Paramètres!$A$1:$I$89,3,0)*0.475*44/12</f>
        <v>49.578549192663282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67.329477520402946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15.725555555555552</v>
      </c>
      <c r="AI48" s="13">
        <f>IF('Données projet'!$A$62&gt;35,AI47+AH48-AQ47,IF(A48&lt;'Données projet'!$A$62,$AF$205^A48,IF(A48='Données projet'!$A$62,'Données projet'!$B$62,AI47+AH48-AQ47)))</f>
        <v>291.31222222222237</v>
      </c>
      <c r="AJ48" s="13">
        <f>AI48*VLOOKUP('Données projet'!$B$10,Paramètres!$A$1:$I$89,3,0)*VLOOKUP('Données projet'!$B$10,Paramètres!$A$1:$I$89,5,0)</f>
        <v>174.204708888889</v>
      </c>
      <c r="AK48" s="13">
        <f t="shared" si="35"/>
        <v>44.030395226989455</v>
      </c>
      <c r="AL48" s="20">
        <f t="shared" si="4"/>
        <v>380.09280633515499</v>
      </c>
      <c r="AM48" s="59">
        <f t="shared" si="5"/>
        <v>673.4261396684883</v>
      </c>
      <c r="AN48" s="59">
        <f ca="1">AVERAGE(OFFSET($AM$3,0,0,'Données projet'!$E$10+1,1))-AVERAGE(OFFSET($H$3,0,0,'Données projet'!$E$10+1,1))</f>
        <v>349.5718186624772</v>
      </c>
      <c r="AO48" s="59">
        <f t="shared" si="36"/>
        <v>258.14152930815959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13.525179761321091</v>
      </c>
      <c r="AV48" s="21">
        <f>EXP(-LN(2)/25)*AV47+(1-EXP(-LN(2)/25))/(LN(2)/25)*Calculateur!AQ48*Calculateur!AS48*VLOOKUP('Données projet'!$B$10,Paramètres!$A$1:$I$89,3,0)*0.475*44/12</f>
        <v>32.317270271570074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45.842450032891165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15.725555555555552</v>
      </c>
      <c r="BD48" s="12">
        <f>IF('Données projet'!$A$88&gt;35,BD47+BC48-BL47,IF(A48&lt;'Données projet'!$A$88,$BA$205^A48,IF(A48='Données projet'!$A$88,'Données projet'!$B$88,BD47+BC48-BL47)))</f>
        <v>291.31222222222237</v>
      </c>
      <c r="BE48" s="13">
        <f>BD48*VLOOKUP('Données projet'!$B$11,Paramètres!$A$1:$I$89,3,0)*VLOOKUP('Données projet'!$B$11,Paramètres!$A$1:$I$89,5,0)</f>
        <v>174.204708888889</v>
      </c>
      <c r="BF48" s="13">
        <f t="shared" si="37"/>
        <v>44.030395226989455</v>
      </c>
      <c r="BG48" s="20">
        <f t="shared" si="7"/>
        <v>380.09280633515499</v>
      </c>
      <c r="BH48" s="59">
        <f t="shared" si="8"/>
        <v>673.4261396684883</v>
      </c>
      <c r="BI48" s="59">
        <f ca="1">AVERAGE(OFFSET($BH$3,0,0,'Données projet'!$E$11+1,1))-AVERAGE(OFFSET($H$3,0,0,'Données projet'!$E$11+1,1))</f>
        <v>349.5718186624772</v>
      </c>
      <c r="BJ48" s="59">
        <f t="shared" si="38"/>
        <v>258.14152930815959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13.525179761321091</v>
      </c>
      <c r="BQ48" s="21">
        <f>EXP(-LN(2)/25)*BQ47+(1-EXP(-LN(2)/25))/(LN(2)/25)*Calculateur!BL48*Calculateur!BN48*VLOOKUP('Données projet'!$B$11,Paramètres!$A$1:$I$89,3,0)*0.475*44/12</f>
        <v>32.317270271570074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45.842450032891165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18.127142857142854</v>
      </c>
      <c r="BY48" s="12">
        <f>IF('Données projet'!$A$114&gt;35,BY47+BX48-CG47,IF(A48&lt;'Données projet'!$A$114,$BV$205^A48,IF(A48='Données projet'!$A$114,'Données projet'!$B$114,BY47+BX48-CG47)))</f>
        <v>288.75142857142856</v>
      </c>
      <c r="BZ48" s="13">
        <f>BY48*VLOOKUP('Données projet'!$B$12,Paramètres!$A$1:$I$89,3,0)*VLOOKUP('Données projet'!$B$12,Paramètres!$A$1:$I$89,5,0)</f>
        <v>135.13566857142857</v>
      </c>
      <c r="CA48" s="13">
        <f t="shared" si="39"/>
        <v>35.180372380671528</v>
      </c>
      <c r="CB48" s="20">
        <f t="shared" si="10"/>
        <v>296.63377132490763</v>
      </c>
      <c r="CC48" s="59">
        <f t="shared" si="11"/>
        <v>589.96710465824094</v>
      </c>
      <c r="CD48" s="59">
        <f ca="1">AVERAGE(OFFSET($CC$3,0,0,'Données projet'!$E$12+1,1))-AVERAGE(OFFSET($H$3,0,0,'Données projet'!$E$12+1,1))</f>
        <v>356.22620301934836</v>
      </c>
      <c r="CE48" s="59">
        <f t="shared" si="40"/>
        <v>342.25495410715513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29.34305688922197</v>
      </c>
      <c r="CL48" s="21">
        <f>EXP(-LN(2)/25)*CL47+(1-EXP(-LN(2)/25))/(LN(2)/25)*Calculateur!CG48*Calculateur!CI48*VLOOKUP('Données projet'!$B$12,Paramètres!$A$1:$I$89,3,0)*0.475*44/12</f>
        <v>28.541117208173233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57.884174097395203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138.46</v>
      </c>
      <c r="CR48" s="12">
        <f>VLOOKUP(A48,'Données projet'!$A$139:$I$159,9,0)</f>
        <v>8.9585714285714282</v>
      </c>
      <c r="CS48" s="12">
        <f t="array" ref="CS48">INDEX(CR:CR,MIN(IF(ISNUMBER(CR48:CR244),ROW(CR48:CR244),"")))</f>
        <v>8.9585714285714282</v>
      </c>
      <c r="CT48" s="12">
        <f>IF('Données projet'!$A$140&gt;35,CT47+CS48-DB47,IF(A48&lt;'Données projet'!$A$140,$CQ$205^A48,IF(A48='Données projet'!$A$140,'Données projet'!$B$140,CT47+CS48-DB47)))</f>
        <v>138.45999999999998</v>
      </c>
      <c r="CU48" s="17">
        <f>CT48*VLOOKUP('Données projet'!$B$13,Paramètres!$A$1:$I$89,3,0)*VLOOKUP('Données projet'!$B$13,Paramètres!$A$1:$I$89,5,0)</f>
        <v>157.678248</v>
      </c>
      <c r="CV48" s="13">
        <f t="shared" si="41"/>
        <v>40.318393090273119</v>
      </c>
      <c r="CW48" s="20">
        <f t="shared" si="13"/>
        <v>344.84414989889228</v>
      </c>
      <c r="CX48" s="59">
        <f t="shared" si="14"/>
        <v>638.17748323222554</v>
      </c>
      <c r="CY48" s="59">
        <f ca="1">AVERAGE(OFFSET($CX$3,0,0,'Données projet'!$E$13+1,1))-AVERAGE(OFFSET($H$3,0,0,'Données projet'!$E$13+1,1))</f>
        <v>473.48875234867705</v>
      </c>
      <c r="CZ48" s="59">
        <f t="shared" si="42"/>
        <v>322.74347070996379</v>
      </c>
      <c r="DA48" s="15">
        <f>IF(ISNA(VLOOKUP(A48,'Données projet'!$A$139:$I$159,3,0)),0,VLOOKUP(A48,'Données projet'!$A$139:$I$159,3,0))</f>
        <v>2</v>
      </c>
      <c r="DB48" s="15">
        <f>IF(ISNA(VLOOKUP(A48,'Données projet'!$A$139:$I$159,4,0)),0,VLOOKUP(A48,'Données projet'!$A$139:$I$159,4,0))</f>
        <v>39.119999999999997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6.3530624624391168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6.3530624624391168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14.64374999999999</v>
      </c>
      <c r="N49" s="13">
        <f>IF('Données projet'!$A$36&gt;35,N48+M49-V48,IF(A49&lt;'Données projet'!$A$36,$K$205^A49,IF(A49='Données projet'!$A$36,'Données projet'!$B$36,N48+M49-V48)))</f>
        <v>318.72749999999991</v>
      </c>
      <c r="O49" s="13">
        <f>N49*VLOOKUP('Données projet'!$B$9,Paramètres!$A$1:$I$89,3,0)*VLOOKUP('Données projet'!$B$9,Paramètres!$A$1:$I$89,5,0)</f>
        <v>190.59904499999996</v>
      </c>
      <c r="P49" s="13">
        <f t="shared" si="33"/>
        <v>47.672368921426973</v>
      </c>
      <c r="Q49" s="20">
        <f t="shared" si="53"/>
        <v>414.98937924648521</v>
      </c>
      <c r="R49" s="59">
        <f t="shared" si="0"/>
        <v>708.32271257981847</v>
      </c>
      <c r="S49" s="59">
        <f ca="1">AVERAGE(OFFSET($R$3,0,0,'Données projet'!$E$9+1,1))-AVERAGE(OFFSET($H$3,0,0,'Données projet'!$E$9+1,1))</f>
        <v>300.80663531652721</v>
      </c>
      <c r="T49" s="59">
        <f t="shared" si="34"/>
        <v>306.01967513533549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17.402843450229891</v>
      </c>
      <c r="AA49" s="21">
        <f>EXP(-LN(2)/25)*AA48+(1-EXP(-LN(2)/25))/(LN(2)/25)*Calculateur!V49*Calculateur!X49*VLOOKUP('Données projet'!$B$9,Paramètres!$A$1:$I$89,3,0)*0.475*44/12</f>
        <v>48.222821157767314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65.625664607997209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15.725555555555552</v>
      </c>
      <c r="AI49" s="13">
        <f>IF('Données projet'!$A$62&gt;35,AI48+AH49-AQ48,IF(A49&lt;'Données projet'!$A$62,$AF$205^A49,IF(A49='Données projet'!$A$62,'Données projet'!$B$62,AI48+AH49-AQ48)))</f>
        <v>307.03777777777793</v>
      </c>
      <c r="AJ49" s="13">
        <f>AI49*VLOOKUP('Données projet'!$B$10,Paramètres!$A$1:$I$89,3,0)*VLOOKUP('Données projet'!$B$10,Paramètres!$A$1:$I$89,5,0)</f>
        <v>183.60859111111122</v>
      </c>
      <c r="AK49" s="13">
        <f t="shared" si="35"/>
        <v>46.124101377958297</v>
      </c>
      <c r="AL49" s="20">
        <f t="shared" si="4"/>
        <v>400.11777275179605</v>
      </c>
      <c r="AM49" s="59">
        <f t="shared" si="5"/>
        <v>693.45110608512937</v>
      </c>
      <c r="AN49" s="59">
        <f ca="1">AVERAGE(OFFSET($AM$3,0,0,'Données projet'!$E$10+1,1))-AVERAGE(OFFSET($H$3,0,0,'Données projet'!$E$10+1,1))</f>
        <v>349.5718186624772</v>
      </c>
      <c r="AO49" s="59">
        <f t="shared" si="36"/>
        <v>258.14152930815959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13.259959235746663</v>
      </c>
      <c r="AV49" s="21">
        <f>EXP(-LN(2)/25)*AV48+(1-EXP(-LN(2)/25))/(LN(2)/25)*Calculateur!AQ49*Calculateur!AS49*VLOOKUP('Données projet'!$B$10,Paramètres!$A$1:$I$89,3,0)*0.475*44/12</f>
        <v>31.433552816502608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44.693512052249275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15.725555555555552</v>
      </c>
      <c r="BD49" s="12">
        <f>IF('Données projet'!$A$88&gt;35,BD48+BC49-BL48,IF(A49&lt;'Données projet'!$A$88,$BA$205^A49,IF(A49='Données projet'!$A$88,'Données projet'!$B$88,BD48+BC49-BL48)))</f>
        <v>307.03777777777793</v>
      </c>
      <c r="BE49" s="13">
        <f>BD49*VLOOKUP('Données projet'!$B$11,Paramètres!$A$1:$I$89,3,0)*VLOOKUP('Données projet'!$B$11,Paramètres!$A$1:$I$89,5,0)</f>
        <v>183.60859111111122</v>
      </c>
      <c r="BF49" s="13">
        <f t="shared" si="37"/>
        <v>46.124101377958297</v>
      </c>
      <c r="BG49" s="20">
        <f t="shared" si="7"/>
        <v>400.11777275179605</v>
      </c>
      <c r="BH49" s="59">
        <f t="shared" si="8"/>
        <v>693.45110608512937</v>
      </c>
      <c r="BI49" s="59">
        <f ca="1">AVERAGE(OFFSET($BH$3,0,0,'Données projet'!$E$11+1,1))-AVERAGE(OFFSET($H$3,0,0,'Données projet'!$E$11+1,1))</f>
        <v>349.5718186624772</v>
      </c>
      <c r="BJ49" s="59">
        <f t="shared" si="38"/>
        <v>258.14152930815959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13.259959235746663</v>
      </c>
      <c r="BQ49" s="21">
        <f>EXP(-LN(2)/25)*BQ48+(1-EXP(-LN(2)/25))/(LN(2)/25)*Calculateur!BL49*Calculateur!BN49*VLOOKUP('Données projet'!$B$11,Paramètres!$A$1:$I$89,3,0)*0.475*44/12</f>
        <v>31.433552816502608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44.693512052249275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18.127142857142854</v>
      </c>
      <c r="BY49" s="12">
        <f>IF('Données projet'!$A$114&gt;35,BY48+BX49-CG48,IF(A49&lt;'Données projet'!$A$114,$BV$205^A49,IF(A49='Données projet'!$A$114,'Données projet'!$B$114,BY48+BX49-CG48)))</f>
        <v>306.87857142857143</v>
      </c>
      <c r="BZ49" s="13">
        <f>BY49*VLOOKUP('Données projet'!$B$12,Paramètres!$A$1:$I$89,3,0)*VLOOKUP('Données projet'!$B$12,Paramètres!$A$1:$I$89,5,0)</f>
        <v>143.61917142857143</v>
      </c>
      <c r="CA49" s="13">
        <f t="shared" si="39"/>
        <v>37.124871268762028</v>
      </c>
      <c r="CB49" s="20">
        <f t="shared" si="10"/>
        <v>314.79587436452249</v>
      </c>
      <c r="CC49" s="59">
        <f t="shared" si="11"/>
        <v>608.1292076978558</v>
      </c>
      <c r="CD49" s="59">
        <f ca="1">AVERAGE(OFFSET($CC$3,0,0,'Données projet'!$E$12+1,1))-AVERAGE(OFFSET($H$3,0,0,'Données projet'!$E$12+1,1))</f>
        <v>356.22620301934836</v>
      </c>
      <c r="CE49" s="59">
        <f t="shared" si="40"/>
        <v>342.25495410715513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28.767657441121798</v>
      </c>
      <c r="CL49" s="21">
        <f>EXP(-LN(2)/25)*CL48+(1-EXP(-LN(2)/25))/(LN(2)/25)*Calculateur!CG49*Calculateur!CI49*VLOOKUP('Données projet'!$B$12,Paramètres!$A$1:$I$89,3,0)*0.475*44/12</f>
        <v>27.760658857203612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56.528316298325407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8.9771428571428569</v>
      </c>
      <c r="CT49" s="12">
        <f>IF('Données projet'!$A$140&gt;35,CT48+CS49-DB48,IF(A49&lt;'Données projet'!$A$140,$CQ$205^A49,IF(A49='Données projet'!$A$140,'Données projet'!$B$140,CT48+CS49-DB48)))</f>
        <v>108.31714285714284</v>
      </c>
      <c r="CU49" s="17">
        <f>CT49*VLOOKUP('Données projet'!$B$13,Paramètres!$A$1:$I$89,3,0)*VLOOKUP('Données projet'!$B$13,Paramètres!$A$1:$I$89,5,0)</f>
        <v>123.35156228571427</v>
      </c>
      <c r="CV49" s="13">
        <f t="shared" si="41"/>
        <v>32.45543851888813</v>
      </c>
      <c r="CW49" s="20">
        <f t="shared" si="13"/>
        <v>271.36385973468253</v>
      </c>
      <c r="CX49" s="59">
        <f t="shared" si="14"/>
        <v>564.69719306801585</v>
      </c>
      <c r="CY49" s="59">
        <f ca="1">AVERAGE(OFFSET($CX$3,0,0,'Données projet'!$E$13+1,1))-AVERAGE(OFFSET($H$3,0,0,'Données projet'!$E$13+1,1))</f>
        <v>473.48875234867705</v>
      </c>
      <c r="CZ49" s="59">
        <f t="shared" si="42"/>
        <v>322.74347070996379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6.2284827825361644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6.2284827825361644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14.64374999999999</v>
      </c>
      <c r="N50" s="13">
        <f>IF('Données projet'!$A$36&gt;35,N49+M50-V49,IF(A50&lt;'Données projet'!$A$36,$K$205^A50,IF(A50='Données projet'!$A$36,'Données projet'!$B$36,N49+M50-V49)))</f>
        <v>333.37124999999992</v>
      </c>
      <c r="O50" s="13">
        <f>N50*VLOOKUP('Données projet'!$B$9,Paramètres!$A$1:$I$89,3,0)*VLOOKUP('Données projet'!$B$9,Paramètres!$A$1:$I$89,5,0)</f>
        <v>199.35600749999998</v>
      </c>
      <c r="P50" s="13">
        <f t="shared" si="33"/>
        <v>49.602611110771242</v>
      </c>
      <c r="Q50" s="20">
        <f t="shared" si="53"/>
        <v>433.6029274137598</v>
      </c>
      <c r="R50" s="59">
        <f t="shared" si="0"/>
        <v>726.93626074709312</v>
      </c>
      <c r="S50" s="59">
        <f ca="1">AVERAGE(OFFSET($R$3,0,0,'Données projet'!$E$9+1,1))-AVERAGE(OFFSET($H$3,0,0,'Données projet'!$E$9+1,1))</f>
        <v>300.80663531652721</v>
      </c>
      <c r="T50" s="59">
        <f t="shared" si="34"/>
        <v>306.01967513533549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17.061584304857274</v>
      </c>
      <c r="AA50" s="21">
        <f>EXP(-LN(2)/25)*AA49+(1-EXP(-LN(2)/25))/(LN(2)/25)*Calculateur!V50*Calculateur!X50*VLOOKUP('Données projet'!$B$9,Paramètres!$A$1:$I$89,3,0)*0.475*44/12</f>
        <v>46.904165577280217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63.965749882137487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15.725555555555552</v>
      </c>
      <c r="AI50" s="13">
        <f>IF('Données projet'!$A$62&gt;35,AI49+AH50-AQ49,IF(A50&lt;'Données projet'!$A$62,$AF$205^A50,IF(A50='Données projet'!$A$62,'Données projet'!$B$62,AI49+AH50-AQ49)))</f>
        <v>322.76333333333349</v>
      </c>
      <c r="AJ50" s="13">
        <f>AI50*VLOOKUP('Données projet'!$B$10,Paramètres!$A$1:$I$89,3,0)*VLOOKUP('Données projet'!$B$10,Paramètres!$A$1:$I$89,5,0)</f>
        <v>193.01247333333347</v>
      </c>
      <c r="AK50" s="13">
        <f t="shared" si="35"/>
        <v>48.205356952003704</v>
      </c>
      <c r="AL50" s="20">
        <f t="shared" si="4"/>
        <v>420.12105441362888</v>
      </c>
      <c r="AM50" s="59">
        <f t="shared" si="5"/>
        <v>713.4543877469622</v>
      </c>
      <c r="AN50" s="59">
        <f ca="1">AVERAGE(OFFSET($AM$3,0,0,'Données projet'!$E$10+1,1))-AVERAGE(OFFSET($H$3,0,0,'Données projet'!$E$10+1,1))</f>
        <v>349.5718186624772</v>
      </c>
      <c r="AO50" s="59">
        <f t="shared" si="36"/>
        <v>258.14152930815959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12.999939522910203</v>
      </c>
      <c r="AV50" s="21">
        <f>EXP(-LN(2)/25)*AV49+(1-EXP(-LN(2)/25))/(LN(2)/25)*Calculateur!AQ50*Calculateur!AS50*VLOOKUP('Données projet'!$B$10,Paramètres!$A$1:$I$89,3,0)*0.475*44/12</f>
        <v>30.574000661716646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43.573940184626849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15.725555555555552</v>
      </c>
      <c r="BD50" s="12">
        <f>IF('Données projet'!$A$88&gt;35,BD49+BC50-BL49,IF(A50&lt;'Données projet'!$A$88,$BA$205^A50,IF(A50='Données projet'!$A$88,'Données projet'!$B$88,BD49+BC50-BL49)))</f>
        <v>322.76333333333349</v>
      </c>
      <c r="BE50" s="13">
        <f>BD50*VLOOKUP('Données projet'!$B$11,Paramètres!$A$1:$I$89,3,0)*VLOOKUP('Données projet'!$B$11,Paramètres!$A$1:$I$89,5,0)</f>
        <v>193.01247333333347</v>
      </c>
      <c r="BF50" s="13">
        <f t="shared" si="37"/>
        <v>48.205356952003704</v>
      </c>
      <c r="BG50" s="20">
        <f t="shared" si="7"/>
        <v>420.12105441362888</v>
      </c>
      <c r="BH50" s="59">
        <f t="shared" si="8"/>
        <v>713.4543877469622</v>
      </c>
      <c r="BI50" s="59">
        <f ca="1">AVERAGE(OFFSET($BH$3,0,0,'Données projet'!$E$11+1,1))-AVERAGE(OFFSET($H$3,0,0,'Données projet'!$E$11+1,1))</f>
        <v>349.5718186624772</v>
      </c>
      <c r="BJ50" s="59">
        <f t="shared" si="38"/>
        <v>258.14152930815959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12.999939522910203</v>
      </c>
      <c r="BQ50" s="21">
        <f>EXP(-LN(2)/25)*BQ49+(1-EXP(-LN(2)/25))/(LN(2)/25)*Calculateur!BL50*Calculateur!BN50*VLOOKUP('Données projet'!$B$11,Paramètres!$A$1:$I$89,3,0)*0.475*44/12</f>
        <v>30.574000661716646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43.573940184626849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18.127142857142854</v>
      </c>
      <c r="BY50" s="12">
        <f>IF('Données projet'!$A$114&gt;35,BY49+BX50-CG49,IF(A50&lt;'Données projet'!$A$114,$BV$205^A50,IF(A50='Données projet'!$A$114,'Données projet'!$B$114,BY49+BX50-CG49)))</f>
        <v>325.0057142857143</v>
      </c>
      <c r="BZ50" s="13">
        <f>BY50*VLOOKUP('Données projet'!$B$12,Paramètres!$A$1:$I$89,3,0)*VLOOKUP('Données projet'!$B$12,Paramètres!$A$1:$I$89,5,0)</f>
        <v>152.1026742857143</v>
      </c>
      <c r="CA50" s="13">
        <f t="shared" si="39"/>
        <v>39.056038076016335</v>
      </c>
      <c r="CB50" s="20">
        <f t="shared" si="10"/>
        <v>332.9347573633475</v>
      </c>
      <c r="CC50" s="59">
        <f t="shared" si="11"/>
        <v>626.26809069668082</v>
      </c>
      <c r="CD50" s="59">
        <f ca="1">AVERAGE(OFFSET($CC$3,0,0,'Données projet'!$E$12+1,1))-AVERAGE(OFFSET($H$3,0,0,'Données projet'!$E$12+1,1))</f>
        <v>356.22620301934836</v>
      </c>
      <c r="CE50" s="59">
        <f t="shared" si="40"/>
        <v>342.25495410715513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28.203541225239864</v>
      </c>
      <c r="CL50" s="21">
        <f>EXP(-LN(2)/25)*CL49+(1-EXP(-LN(2)/25))/(LN(2)/25)*Calculateur!CG50*Calculateur!CI50*VLOOKUP('Données projet'!$B$12,Paramètres!$A$1:$I$89,3,0)*0.475*44/12</f>
        <v>27.001542180883778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55.205083406123642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8.9771428571428569</v>
      </c>
      <c r="CT50" s="12">
        <f>IF('Données projet'!$A$140&gt;35,CT49+CS50-DB49,IF(A50&lt;'Données projet'!$A$140,$CQ$205^A50,IF(A50='Données projet'!$A$140,'Données projet'!$B$140,CT49+CS50-DB49)))</f>
        <v>117.29428571428569</v>
      </c>
      <c r="CU50" s="17">
        <f>CT50*VLOOKUP('Données projet'!$B$13,Paramètres!$A$1:$I$89,3,0)*VLOOKUP('Données projet'!$B$13,Paramètres!$A$1:$I$89,5,0)</f>
        <v>133.57473257142854</v>
      </c>
      <c r="CV50" s="13">
        <f t="shared" si="41"/>
        <v>34.821066467352559</v>
      </c>
      <c r="CW50" s="20">
        <f t="shared" si="13"/>
        <v>293.28934999254369</v>
      </c>
      <c r="CX50" s="59">
        <f t="shared" si="14"/>
        <v>586.62268332587701</v>
      </c>
      <c r="CY50" s="59">
        <f ca="1">AVERAGE(OFFSET($CX$3,0,0,'Données projet'!$E$13+1,1))-AVERAGE(OFFSET($H$3,0,0,'Données projet'!$E$13+1,1))</f>
        <v>473.48875234867705</v>
      </c>
      <c r="CZ50" s="59">
        <f t="shared" si="42"/>
        <v>322.74347070996379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6.1063460341700075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6.1063460341700075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14.64374999999999</v>
      </c>
      <c r="N51" s="13">
        <f>IF('Données projet'!$A$36&gt;35,N50+M51-V50,IF(A51&lt;'Données projet'!$A$36,$K$205^A51,IF(A51='Données projet'!$A$36,'Données projet'!$B$36,N50+M51-V50)))</f>
        <v>348.01499999999993</v>
      </c>
      <c r="O51" s="13">
        <f>N51*VLOOKUP('Données projet'!$B$9,Paramètres!$A$1:$I$89,3,0)*VLOOKUP('Données projet'!$B$9,Paramètres!$A$1:$I$89,5,0)</f>
        <v>208.11296999999999</v>
      </c>
      <c r="P51" s="13">
        <f t="shared" si="33"/>
        <v>51.52300578513217</v>
      </c>
      <c r="Q51" s="20">
        <f t="shared" si="53"/>
        <v>452.19932449243839</v>
      </c>
      <c r="R51" s="59">
        <f t="shared" si="0"/>
        <v>745.53265782577171</v>
      </c>
      <c r="S51" s="59">
        <f ca="1">AVERAGE(OFFSET($R$3,0,0,'Données projet'!$E$9+1,1))-AVERAGE(OFFSET($H$3,0,0,'Données projet'!$E$9+1,1))</f>
        <v>300.80663531652721</v>
      </c>
      <c r="T51" s="59">
        <f t="shared" si="34"/>
        <v>306.01967513533549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16.727017043177888</v>
      </c>
      <c r="AA51" s="21">
        <f>EXP(-LN(2)/25)*AA50+(1-EXP(-LN(2)/25))/(LN(2)/25)*Calculateur!V51*Calculateur!X51*VLOOKUP('Données projet'!$B$9,Paramètres!$A$1:$I$89,3,0)*0.475*44/12</f>
        <v>45.621568702986622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62.34858574616451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15.725555555555552</v>
      </c>
      <c r="AI51" s="13">
        <f>IF('Données projet'!$A$62&gt;35,AI50+AH51-AQ50,IF(A51&lt;'Données projet'!$A$62,$AF$205^A51,IF(A51='Données projet'!$A$62,'Données projet'!$B$62,AI50+AH51-AQ50)))</f>
        <v>338.48888888888905</v>
      </c>
      <c r="AJ51" s="13">
        <f>AI51*VLOOKUP('Données projet'!$B$10,Paramètres!$A$1:$I$89,3,0)*VLOOKUP('Données projet'!$B$10,Paramètres!$A$1:$I$89,5,0)</f>
        <v>202.41635555555567</v>
      </c>
      <c r="AK51" s="13">
        <f t="shared" si="35"/>
        <v>50.274837801805468</v>
      </c>
      <c r="AL51" s="20">
        <f t="shared" si="4"/>
        <v>440.10382843073722</v>
      </c>
      <c r="AM51" s="59">
        <f t="shared" si="5"/>
        <v>733.43716176407054</v>
      </c>
      <c r="AN51" s="59">
        <f ca="1">AVERAGE(OFFSET($AM$3,0,0,'Données projet'!$E$10+1,1))-AVERAGE(OFFSET($H$3,0,0,'Données projet'!$E$10+1,1))</f>
        <v>349.5718186624772</v>
      </c>
      <c r="AO51" s="59">
        <f t="shared" si="36"/>
        <v>258.14152930815959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12.745018638046101</v>
      </c>
      <c r="AV51" s="21">
        <f>EXP(-LN(2)/25)*AV50+(1-EXP(-LN(2)/25))/(LN(2)/25)*Calculateur!AQ51*Calculateur!AS51*VLOOKUP('Données projet'!$B$10,Paramètres!$A$1:$I$89,3,0)*0.475*44/12</f>
        <v>29.737953005805188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42.482971643851286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15.725555555555552</v>
      </c>
      <c r="BD51" s="12">
        <f>IF('Données projet'!$A$88&gt;35,BD50+BC51-BL50,IF(A51&lt;'Données projet'!$A$88,$BA$205^A51,IF(A51='Données projet'!$A$88,'Données projet'!$B$88,BD50+BC51-BL50)))</f>
        <v>338.48888888888905</v>
      </c>
      <c r="BE51" s="13">
        <f>BD51*VLOOKUP('Données projet'!$B$11,Paramètres!$A$1:$I$89,3,0)*VLOOKUP('Données projet'!$B$11,Paramètres!$A$1:$I$89,5,0)</f>
        <v>202.41635555555567</v>
      </c>
      <c r="BF51" s="13">
        <f t="shared" si="37"/>
        <v>50.274837801805468</v>
      </c>
      <c r="BG51" s="20">
        <f t="shared" si="7"/>
        <v>440.10382843073722</v>
      </c>
      <c r="BH51" s="59">
        <f t="shared" si="8"/>
        <v>733.43716176407054</v>
      </c>
      <c r="BI51" s="59">
        <f ca="1">AVERAGE(OFFSET($BH$3,0,0,'Données projet'!$E$11+1,1))-AVERAGE(OFFSET($H$3,0,0,'Données projet'!$E$11+1,1))</f>
        <v>349.5718186624772</v>
      </c>
      <c r="BJ51" s="59">
        <f t="shared" si="38"/>
        <v>258.14152930815959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12.745018638046101</v>
      </c>
      <c r="BQ51" s="21">
        <f>EXP(-LN(2)/25)*BQ50+(1-EXP(-LN(2)/25))/(LN(2)/25)*Calculateur!BL51*Calculateur!BN51*VLOOKUP('Données projet'!$B$11,Paramètres!$A$1:$I$89,3,0)*0.475*44/12</f>
        <v>29.737953005805188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42.482971643851286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18.127142857142854</v>
      </c>
      <c r="BY51" s="12">
        <f>IF('Données projet'!$A$114&gt;35,BY50+BX51-CG50,IF(A51&lt;'Données projet'!$A$114,$BV$205^A51,IF(A51='Données projet'!$A$114,'Données projet'!$B$114,BY50+BX51-CG50)))</f>
        <v>343.13285714285718</v>
      </c>
      <c r="BZ51" s="13">
        <f>BY51*VLOOKUP('Données projet'!$B$12,Paramètres!$A$1:$I$89,3,0)*VLOOKUP('Données projet'!$B$12,Paramètres!$A$1:$I$89,5,0)</f>
        <v>160.58617714285717</v>
      </c>
      <c r="CA51" s="13">
        <f t="shared" si="39"/>
        <v>40.974701144941157</v>
      </c>
      <c r="CB51" s="20">
        <f t="shared" si="10"/>
        <v>351.05186301791537</v>
      </c>
      <c r="CC51" s="59">
        <f t="shared" si="11"/>
        <v>644.38519635124862</v>
      </c>
      <c r="CD51" s="59">
        <f ca="1">AVERAGE(OFFSET($CC$3,0,0,'Données projet'!$E$12+1,1))-AVERAGE(OFFSET($H$3,0,0,'Données projet'!$E$12+1,1))</f>
        <v>356.22620301934836</v>
      </c>
      <c r="CE51" s="59">
        <f t="shared" si="40"/>
        <v>342.25495410715513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27.650486984274455</v>
      </c>
      <c r="CL51" s="21">
        <f>EXP(-LN(2)/25)*CL50+(1-EXP(-LN(2)/25))/(LN(2)/25)*Calculateur!CG51*Calculateur!CI51*VLOOKUP('Données projet'!$B$12,Paramètres!$A$1:$I$89,3,0)*0.475*44/12</f>
        <v>26.263183589998121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53.913670574272572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8.9771428571428569</v>
      </c>
      <c r="CT51" s="12">
        <f>IF('Données projet'!$A$140&gt;35,CT50+CS51-DB50,IF(A51&lt;'Données projet'!$A$140,$CQ$205^A51,IF(A51='Données projet'!$A$140,'Données projet'!$B$140,CT50+CS51-DB50)))</f>
        <v>126.27142857142854</v>
      </c>
      <c r="CU51" s="17">
        <f>CT51*VLOOKUP('Données projet'!$B$13,Paramètres!$A$1:$I$89,3,0)*VLOOKUP('Données projet'!$B$13,Paramètres!$A$1:$I$89,5,0)</f>
        <v>143.79790285714282</v>
      </c>
      <c r="CV51" s="13">
        <f t="shared" si="41"/>
        <v>37.165691713435315</v>
      </c>
      <c r="CW51" s="20">
        <f t="shared" si="13"/>
        <v>315.17826054375689</v>
      </c>
      <c r="CX51" s="59">
        <f t="shared" si="14"/>
        <v>608.51159387709026</v>
      </c>
      <c r="CY51" s="59">
        <f ca="1">AVERAGE(OFFSET($CX$3,0,0,'Données projet'!$E$13+1,1))-AVERAGE(OFFSET($H$3,0,0,'Données projet'!$E$13+1,1))</f>
        <v>473.48875234867705</v>
      </c>
      <c r="CZ51" s="59">
        <f t="shared" si="42"/>
        <v>322.74347070996379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5.9866043129432507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5.9866043129432507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14.64374999999999</v>
      </c>
      <c r="N52" s="13">
        <f>IF('Données projet'!$A$36&gt;35,N51+M52-V51,IF(A52&lt;'Données projet'!$A$36,$K$205^A52,IF(A52='Données projet'!$A$36,'Données projet'!$B$36,N51+M52-V51)))</f>
        <v>362.65874999999994</v>
      </c>
      <c r="O52" s="13">
        <f>N52*VLOOKUP('Données projet'!$B$9,Paramètres!$A$1:$I$89,3,0)*VLOOKUP('Données projet'!$B$9,Paramètres!$A$1:$I$89,5,0)</f>
        <v>216.86993249999998</v>
      </c>
      <c r="P52" s="13">
        <f t="shared" si="33"/>
        <v>53.434014686329654</v>
      </c>
      <c r="Q52" s="20">
        <f t="shared" si="53"/>
        <v>470.77937468285745</v>
      </c>
      <c r="R52" s="59">
        <f t="shared" si="0"/>
        <v>764.11270801619071</v>
      </c>
      <c r="S52" s="59">
        <f ca="1">AVERAGE(OFFSET($R$3,0,0,'Données projet'!$E$9+1,1))-AVERAGE(OFFSET($H$3,0,0,'Données projet'!$E$9+1,1))</f>
        <v>300.80663531652721</v>
      </c>
      <c r="T52" s="59">
        <f t="shared" si="34"/>
        <v>306.01967513533549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16.399010441434154</v>
      </c>
      <c r="AA52" s="21">
        <f>EXP(-LN(2)/25)*AA51+(1-EXP(-LN(2)/25))/(LN(2)/25)*Calculateur!V52*Calculateur!X52*VLOOKUP('Données projet'!$B$9,Paramètres!$A$1:$I$89,3,0)*0.475*44/12</f>
        <v>44.374044507669424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60.773054949103582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15.725555555555552</v>
      </c>
      <c r="AI52" s="13">
        <f>IF('Données projet'!$A$62&gt;35,AI51+AH52-AQ51,IF(A52&lt;'Données projet'!$A$62,$AF$205^A52,IF(A52='Données projet'!$A$62,'Données projet'!$B$62,AI51+AH52-AQ51)))</f>
        <v>354.21444444444461</v>
      </c>
      <c r="AJ52" s="13">
        <f>AI52*VLOOKUP('Données projet'!$B$10,Paramètres!$A$1:$I$89,3,0)*VLOOKUP('Données projet'!$B$10,Paramètres!$A$1:$I$89,5,0)</f>
        <v>211.82023777777789</v>
      </c>
      <c r="AK52" s="13">
        <f t="shared" si="35"/>
        <v>52.333153433287507</v>
      </c>
      <c r="AL52" s="20">
        <f t="shared" si="4"/>
        <v>460.06715635927225</v>
      </c>
      <c r="AM52" s="59">
        <f t="shared" si="5"/>
        <v>753.40048969260556</v>
      </c>
      <c r="AN52" s="59">
        <f ca="1">AVERAGE(OFFSET($AM$3,0,0,'Données projet'!$E$10+1,1))-AVERAGE(OFFSET($H$3,0,0,'Données projet'!$E$10+1,1))</f>
        <v>349.5718186624772</v>
      </c>
      <c r="AO52" s="59">
        <f t="shared" si="36"/>
        <v>258.14152930815959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12.495096596247798</v>
      </c>
      <c r="AV52" s="21">
        <f>EXP(-LN(2)/25)*AV51+(1-EXP(-LN(2)/25))/(LN(2)/25)*Calculateur!AQ52*Calculateur!AS52*VLOOKUP('Données projet'!$B$10,Paramètres!$A$1:$I$89,3,0)*0.475*44/12</f>
        <v>28.924767117010465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41.419863713258266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15.725555555555552</v>
      </c>
      <c r="BD52" s="12">
        <f>IF('Données projet'!$A$88&gt;35,BD51+BC52-BL51,IF(A52&lt;'Données projet'!$A$88,$BA$205^A52,IF(A52='Données projet'!$A$88,'Données projet'!$B$88,BD51+BC52-BL51)))</f>
        <v>354.21444444444461</v>
      </c>
      <c r="BE52" s="13">
        <f>BD52*VLOOKUP('Données projet'!$B$11,Paramètres!$A$1:$I$89,3,0)*VLOOKUP('Données projet'!$B$11,Paramètres!$A$1:$I$89,5,0)</f>
        <v>211.82023777777789</v>
      </c>
      <c r="BF52" s="13">
        <f t="shared" si="37"/>
        <v>52.333153433287507</v>
      </c>
      <c r="BG52" s="20">
        <f t="shared" si="7"/>
        <v>460.06715635927225</v>
      </c>
      <c r="BH52" s="59">
        <f t="shared" si="8"/>
        <v>753.40048969260556</v>
      </c>
      <c r="BI52" s="59">
        <f ca="1">AVERAGE(OFFSET($BH$3,0,0,'Données projet'!$E$11+1,1))-AVERAGE(OFFSET($H$3,0,0,'Données projet'!$E$11+1,1))</f>
        <v>349.5718186624772</v>
      </c>
      <c r="BJ52" s="59">
        <f t="shared" si="38"/>
        <v>258.14152930815959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12.495096596247798</v>
      </c>
      <c r="BQ52" s="21">
        <f>EXP(-LN(2)/25)*BQ51+(1-EXP(-LN(2)/25))/(LN(2)/25)*Calculateur!BL52*Calculateur!BN52*VLOOKUP('Données projet'!$B$11,Paramètres!$A$1:$I$89,3,0)*0.475*44/12</f>
        <v>28.924767117010465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41.419863713258266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361.26</v>
      </c>
      <c r="BW52" s="12">
        <f>VLOOKUP(A52,'Données projet'!$A$113:$I$133,9,0)</f>
        <v>18.127142857142854</v>
      </c>
      <c r="BX52" s="12">
        <f t="array" ref="BX52">INDEX(BW:BW,MIN(IF(ISNUMBER(BW52:BW248),ROW(BW52:BW248),"")))</f>
        <v>18.127142857142854</v>
      </c>
      <c r="BY52" s="12">
        <f>IF('Données projet'!$A$114&gt;35,BY51+BX52-CG51,IF(A52&lt;'Données projet'!$A$114,$BV$205^A52,IF(A52='Données projet'!$A$114,'Données projet'!$B$114,BY51+BX52-CG51)))</f>
        <v>361.26000000000005</v>
      </c>
      <c r="BZ52" s="13">
        <f>BY52*VLOOKUP('Données projet'!$B$12,Paramètres!$A$1:$I$89,3,0)*VLOOKUP('Données projet'!$B$12,Paramètres!$A$1:$I$89,5,0)</f>
        <v>169.06968000000003</v>
      </c>
      <c r="CA52" s="13">
        <f t="shared" si="39"/>
        <v>42.881596355037587</v>
      </c>
      <c r="CB52" s="20">
        <f t="shared" si="10"/>
        <v>369.14847298502383</v>
      </c>
      <c r="CC52" s="59">
        <f t="shared" si="11"/>
        <v>662.48180631835714</v>
      </c>
      <c r="CD52" s="59">
        <f ca="1">AVERAGE(OFFSET($CC$3,0,0,'Données projet'!$E$12+1,1))-AVERAGE(OFFSET($H$3,0,0,'Données projet'!$E$12+1,1))</f>
        <v>356.22620301934836</v>
      </c>
      <c r="CE52" s="59">
        <f t="shared" si="40"/>
        <v>342.25495410715513</v>
      </c>
      <c r="CF52" s="15">
        <f>IF(ISNA(VLOOKUP(A52,'Données projet'!$A$113:$I$133,3,0)),0,VLOOKUP(A52,'Données projet'!$A$113:$I$133,3,0))</f>
        <v>2</v>
      </c>
      <c r="CG52" s="15">
        <f>IF(ISNA(VLOOKUP(A52,'Données projet'!$A$113:$I$133,4,0)),0,VLOOKUP(A52,'Données projet'!$A$113:$I$133,4,0))</f>
        <v>100.16</v>
      </c>
      <c r="CH52" s="16">
        <f>IF(ISNA(VLOOKUP(A52,'Données projet'!$A$113:$I$133,5,0)),0%,VLOOKUP(A52,'Données projet'!$A$113:$I$133,5,0)*VLOOKUP('Données projet'!$B$12,Paramètres!$A$1:$I$89,7,0))</f>
        <v>0.27500000000000002</v>
      </c>
      <c r="CI52" s="16">
        <f>IF(ISNA(VLOOKUP(A52,'Données projet'!$A$113:$I$133,6,0)),0%,VLOOKUP(A52,'Données projet'!$A$113:$I$133,6,0)*VLOOKUP('Données projet'!$B$12,Paramètres!$A$1:$I$89,7,0))</f>
        <v>0.27500000000000002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44.208478956417892</v>
      </c>
      <c r="CL52" s="21">
        <f>EXP(-LN(2)/25)*CL51+(1-EXP(-LN(2)/25))/(LN(2)/25)*Calculateur!CG52*Calculateur!CI52*VLOOKUP('Données projet'!$B$12,Paramètres!$A$1:$I$89,3,0)*0.475*44/12</f>
        <v>42.577886602740435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86.786365559158327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8.9771428571428569</v>
      </c>
      <c r="CT52" s="12">
        <f>IF('Données projet'!$A$140&gt;35,CT51+CS52-DB51,IF(A52&lt;'Données projet'!$A$140,$CQ$205^A52,IF(A52='Données projet'!$A$140,'Données projet'!$B$140,CT51+CS52-DB51)))</f>
        <v>135.24857142857141</v>
      </c>
      <c r="CU52" s="17">
        <f>CT52*VLOOKUP('Données projet'!$B$13,Paramètres!$A$1:$I$89,3,0)*VLOOKUP('Données projet'!$B$13,Paramètres!$A$1:$I$89,5,0)</f>
        <v>154.02107314285712</v>
      </c>
      <c r="CV52" s="13">
        <f t="shared" si="41"/>
        <v>39.490977251391342</v>
      </c>
      <c r="CW52" s="20">
        <f t="shared" si="13"/>
        <v>337.03348776998268</v>
      </c>
      <c r="CX52" s="59">
        <f t="shared" si="14"/>
        <v>630.36682110331594</v>
      </c>
      <c r="CY52" s="59">
        <f ca="1">AVERAGE(OFFSET($CX$3,0,0,'Données projet'!$E$13+1,1))-AVERAGE(OFFSET($H$3,0,0,'Données projet'!$E$13+1,1))</f>
        <v>473.48875234867705</v>
      </c>
      <c r="CZ52" s="59">
        <f t="shared" si="42"/>
        <v>322.74347070996379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5.8692106538345117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5.8692106538345117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14.64374999999999</v>
      </c>
      <c r="N53" s="13">
        <f>IF('Données projet'!$A$36&gt;35,N52+M53-V52,IF(A53&lt;'Données projet'!$A$36,$K$205^A53,IF(A53='Données projet'!$A$36,'Données projet'!$B$36,N52+M53-V52)))</f>
        <v>377.30249999999995</v>
      </c>
      <c r="O53" s="13">
        <f>N53*VLOOKUP('Données projet'!$B$9,Paramètres!$A$1:$I$89,3,0)*VLOOKUP('Données projet'!$B$9,Paramètres!$A$1:$I$89,5,0)</f>
        <v>225.62689499999999</v>
      </c>
      <c r="P53" s="13">
        <f t="shared" si="33"/>
        <v>55.336060156511813</v>
      </c>
      <c r="Q53" s="20">
        <f t="shared" si="53"/>
        <v>489.34381356425803</v>
      </c>
      <c r="R53" s="59">
        <f t="shared" si="0"/>
        <v>782.67714689759134</v>
      </c>
      <c r="S53" s="59">
        <f ca="1">AVERAGE(OFFSET($R$3,0,0,'Données projet'!$E$9+1,1))-AVERAGE(OFFSET($H$3,0,0,'Données projet'!$E$9+1,1))</f>
        <v>300.80663531652721</v>
      </c>
      <c r="T53" s="59">
        <f t="shared" si="34"/>
        <v>306.01967513533549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16.077435849086342</v>
      </c>
      <c r="AA53" s="21">
        <f>EXP(-LN(2)/25)*AA52+(1-EXP(-LN(2)/25))/(LN(2)/25)*Calculateur!V53*Calculateur!X53*VLOOKUP('Données projet'!$B$9,Paramètres!$A$1:$I$89,3,0)*0.475*44/12</f>
        <v>43.160633927077619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59.238069776163961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369.94</v>
      </c>
      <c r="AG53" s="12">
        <f>VLOOKUP(A53,'Données projet'!$A$61:$I$81,9,0)</f>
        <v>15.725555555555552</v>
      </c>
      <c r="AH53" s="12">
        <f t="array" ref="AH53">INDEX(AG:AG,MIN(IF(ISNUMBER(AG53:AG249),ROW(AG53:AG249),"")))</f>
        <v>15.725555555555552</v>
      </c>
      <c r="AI53" s="13">
        <f>IF('Données projet'!$A$62&gt;35,AI52+AH53-AQ52,IF(A53&lt;'Données projet'!$A$62,$AF$205^A53,IF(A53='Données projet'!$A$62,'Données projet'!$B$62,AI52+AH53-AQ52)))</f>
        <v>369.94000000000017</v>
      </c>
      <c r="AJ53" s="13">
        <f>AI53*VLOOKUP('Données projet'!$B$10,Paramètres!$A$1:$I$89,3,0)*VLOOKUP('Données projet'!$B$10,Paramètres!$A$1:$I$89,5,0)</f>
        <v>221.22412000000014</v>
      </c>
      <c r="AK53" s="13">
        <f t="shared" si="35"/>
        <v>54.380856173847832</v>
      </c>
      <c r="AL53" s="20">
        <f t="shared" si="4"/>
        <v>480.01200016945177</v>
      </c>
      <c r="AM53" s="59">
        <f t="shared" si="5"/>
        <v>773.34533350278502</v>
      </c>
      <c r="AN53" s="59">
        <f ca="1">AVERAGE(OFFSET($AM$3,0,0,'Données projet'!$E$10+1,1))-AVERAGE(OFFSET($H$3,0,0,'Données projet'!$E$10+1,1))</f>
        <v>349.5718186624772</v>
      </c>
      <c r="AO53" s="59">
        <f t="shared" si="36"/>
        <v>258.14152930815959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0.13500000000000001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29.791998615526225</v>
      </c>
      <c r="AV53" s="21">
        <f>EXP(-LN(2)/25)*AV52+(1-EXP(-LN(2)/25))/(LN(2)/25)*Calculateur!AQ53*Calculateur!AS53*VLOOKUP('Données projet'!$B$10,Paramètres!$A$1:$I$89,3,0)*0.475*44/12</f>
        <v>35.622183841882503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65.414182457408728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369.94</v>
      </c>
      <c r="BB53" s="12">
        <f>VLOOKUP(A53,'Données projet'!$A$87:$I$107,9,0)</f>
        <v>15.725555555555552</v>
      </c>
      <c r="BC53" s="12">
        <f t="array" ref="BC53">INDEX(BB:BB,MIN(IF(ISNUMBER(BB53:BB249),ROW(BB53:BB249),"")))</f>
        <v>15.725555555555552</v>
      </c>
      <c r="BD53" s="12">
        <f>IF('Données projet'!$A$88&gt;35,BD52+BC53-BL52,IF(A53&lt;'Données projet'!$A$88,$BA$205^A53,IF(A53='Données projet'!$A$88,'Données projet'!$B$88,BD52+BC53-BL52)))</f>
        <v>369.94000000000017</v>
      </c>
      <c r="BE53" s="13">
        <f>BD53*VLOOKUP('Données projet'!$B$11,Paramètres!$A$1:$I$89,3,0)*VLOOKUP('Données projet'!$B$11,Paramètres!$A$1:$I$89,5,0)</f>
        <v>221.22412000000014</v>
      </c>
      <c r="BF53" s="13">
        <f t="shared" si="37"/>
        <v>54.380856173847832</v>
      </c>
      <c r="BG53" s="20">
        <f t="shared" si="7"/>
        <v>480.01200016945177</v>
      </c>
      <c r="BH53" s="59">
        <f t="shared" si="8"/>
        <v>773.34533350278502</v>
      </c>
      <c r="BI53" s="59">
        <f ca="1">AVERAGE(OFFSET($BH$3,0,0,'Données projet'!$E$11+1,1))-AVERAGE(OFFSET($H$3,0,0,'Données projet'!$E$11+1,1))</f>
        <v>349.5718186624772</v>
      </c>
      <c r="BJ53" s="59">
        <f t="shared" si="38"/>
        <v>258.14152930815959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70.2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0.13500000000000001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29.791998615526225</v>
      </c>
      <c r="BQ53" s="21">
        <f>EXP(-LN(2)/25)*BQ52+(1-EXP(-LN(2)/25))/(LN(2)/25)*Calculateur!BL53*Calculateur!BN53*VLOOKUP('Données projet'!$B$11,Paramètres!$A$1:$I$89,3,0)*0.475*44/12</f>
        <v>35.622183841882503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65.414182457408728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16.944285714285709</v>
      </c>
      <c r="BY53" s="12">
        <f>IF('Données projet'!$A$114&gt;35,BY52+BX53-CG52,IF(A53&lt;'Données projet'!$A$114,$BV$205^A53,IF(A53='Données projet'!$A$114,'Données projet'!$B$114,BY52+BX53-CG52)))</f>
        <v>278.04428571428571</v>
      </c>
      <c r="BZ53" s="13">
        <f>BY53*VLOOKUP('Données projet'!$B$12,Paramètres!$A$1:$I$89,3,0)*VLOOKUP('Données projet'!$B$12,Paramètres!$A$1:$I$89,5,0)</f>
        <v>130.12472571428572</v>
      </c>
      <c r="CA53" s="13">
        <f t="shared" si="39"/>
        <v>34.025178174160651</v>
      </c>
      <c r="CB53" s="20">
        <f t="shared" si="10"/>
        <v>285.89441593904411</v>
      </c>
      <c r="CC53" s="59">
        <f t="shared" si="11"/>
        <v>579.22774927237742</v>
      </c>
      <c r="CD53" s="59">
        <f ca="1">AVERAGE(OFFSET($CC$3,0,0,'Données projet'!$E$12+1,1))-AVERAGE(OFFSET($H$3,0,0,'Données projet'!$E$12+1,1))</f>
        <v>356.22620301934836</v>
      </c>
      <c r="CE53" s="59">
        <f t="shared" si="40"/>
        <v>342.25495410715513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43.341577648592178</v>
      </c>
      <c r="CL53" s="21">
        <f>EXP(-LN(2)/25)*CL52+(1-EXP(-LN(2)/25))/(LN(2)/25)*Calculateur!CG53*Calculateur!CI53*VLOOKUP('Données projet'!$B$12,Paramètres!$A$1:$I$89,3,0)*0.475*44/12</f>
        <v>41.413592054514751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84.75516970310693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8.9771428571428569</v>
      </c>
      <c r="CT53" s="12">
        <f>IF('Données projet'!$A$140&gt;35,CT52+CS53-DB52,IF(A53&lt;'Données projet'!$A$140,$CQ$205^A53,IF(A53='Données projet'!$A$140,'Données projet'!$B$140,CT52+CS53-DB52)))</f>
        <v>144.22571428571428</v>
      </c>
      <c r="CU53" s="17">
        <f>CT53*VLOOKUP('Données projet'!$B$13,Paramètres!$A$1:$I$89,3,0)*VLOOKUP('Données projet'!$B$13,Paramètres!$A$1:$I$89,5,0)</f>
        <v>164.24424342857142</v>
      </c>
      <c r="CV53" s="13">
        <f t="shared" si="41"/>
        <v>41.798352823946416</v>
      </c>
      <c r="CW53" s="20">
        <f t="shared" si="13"/>
        <v>358.85752180646858</v>
      </c>
      <c r="CX53" s="59">
        <f t="shared" si="14"/>
        <v>652.1908551398019</v>
      </c>
      <c r="CY53" s="59">
        <f ca="1">AVERAGE(OFFSET($CX$3,0,0,'Données projet'!$E$13+1,1))-AVERAGE(OFFSET($H$3,0,0,'Données projet'!$E$13+1,1))</f>
        <v>473.48875234867705</v>
      </c>
      <c r="CZ53" s="59">
        <f t="shared" si="42"/>
        <v>322.74347070996379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5.7541190127778332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5.7541190127778332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14.64374999999999</v>
      </c>
      <c r="N54" s="13">
        <f>IF('Données projet'!$A$36&gt;35,N53+M54-V53,IF(A54&lt;'Données projet'!$A$36,$K$205^A54,IF(A54='Données projet'!$A$36,'Données projet'!$B$36,N53+M54-V53)))</f>
        <v>391.94624999999996</v>
      </c>
      <c r="O54" s="13">
        <f>N54*VLOOKUP('Données projet'!$B$9,Paramètres!$A$1:$I$89,3,0)*VLOOKUP('Données projet'!$B$9,Paramètres!$A$1:$I$89,5,0)</f>
        <v>234.3838575</v>
      </c>
      <c r="P54" s="13">
        <f t="shared" si="33"/>
        <v>57.229529897835612</v>
      </c>
      <c r="Q54" s="20">
        <f t="shared" si="53"/>
        <v>507.89331638456366</v>
      </c>
      <c r="R54" s="59">
        <f t="shared" si="0"/>
        <v>801.22664971789698</v>
      </c>
      <c r="S54" s="59">
        <f ca="1">AVERAGE(OFFSET($R$3,0,0,'Données projet'!$E$9+1,1))-AVERAGE(OFFSET($H$3,0,0,'Données projet'!$E$9+1,1))</f>
        <v>300.80663531652721</v>
      </c>
      <c r="T54" s="59">
        <f t="shared" si="34"/>
        <v>306.01967513533549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15.762167138353337</v>
      </c>
      <c r="AA54" s="21">
        <f>EXP(-LN(2)/25)*AA53+(1-EXP(-LN(2)/25))/(LN(2)/25)*Calculateur!V54*Calculateur!X54*VLOOKUP('Données projet'!$B$9,Paramètres!$A$1:$I$89,3,0)*0.475*44/12</f>
        <v>41.980404122622588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57.742571260975922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14.12</v>
      </c>
      <c r="AI54" s="13">
        <f>IF('Données projet'!$A$62&gt;35,AI53+AH54-AQ53,IF(A54&lt;'Données projet'!$A$62,$AF$205^A54,IF(A54='Données projet'!$A$62,'Données projet'!$B$62,AI53+AH54-AQ53)))</f>
        <v>313.86000000000018</v>
      </c>
      <c r="AJ54" s="13">
        <f>AI54*VLOOKUP('Données projet'!$B$10,Paramètres!$A$1:$I$89,3,0)*VLOOKUP('Données projet'!$B$10,Paramètres!$A$1:$I$89,5,0)</f>
        <v>187.68828000000013</v>
      </c>
      <c r="AK54" s="13">
        <f t="shared" si="35"/>
        <v>47.028500822168901</v>
      </c>
      <c r="AL54" s="20">
        <f t="shared" si="4"/>
        <v>408.79839326527775</v>
      </c>
      <c r="AM54" s="59">
        <f t="shared" si="5"/>
        <v>702.13172659861107</v>
      </c>
      <c r="AN54" s="59">
        <f ca="1">AVERAGE(OFFSET($AM$3,0,0,'Données projet'!$E$10+1,1))-AVERAGE(OFFSET($H$3,0,0,'Données projet'!$E$10+1,1))</f>
        <v>349.5718186624772</v>
      </c>
      <c r="AO54" s="59">
        <f t="shared" si="36"/>
        <v>258.14152930815959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29.207795694000641</v>
      </c>
      <c r="AV54" s="21">
        <f>EXP(-LN(2)/25)*AV53+(1-EXP(-LN(2)/25))/(LN(2)/25)*Calculateur!AQ54*Calculateur!AS54*VLOOKUP('Données projet'!$B$10,Paramètres!$A$1:$I$89,3,0)*0.475*44/12</f>
        <v>34.648093351436991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63.855889045437635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14.12</v>
      </c>
      <c r="BD54" s="12">
        <f>IF('Données projet'!$A$88&gt;35,BD53+BC54-BL53,IF(A54&lt;'Données projet'!$A$88,$BA$205^A54,IF(A54='Données projet'!$A$88,'Données projet'!$B$88,BD53+BC54-BL53)))</f>
        <v>313.86000000000018</v>
      </c>
      <c r="BE54" s="13">
        <f>BD54*VLOOKUP('Données projet'!$B$11,Paramètres!$A$1:$I$89,3,0)*VLOOKUP('Données projet'!$B$11,Paramètres!$A$1:$I$89,5,0)</f>
        <v>187.68828000000013</v>
      </c>
      <c r="BF54" s="13">
        <f t="shared" si="37"/>
        <v>47.028500822168901</v>
      </c>
      <c r="BG54" s="20">
        <f t="shared" si="7"/>
        <v>408.79839326527775</v>
      </c>
      <c r="BH54" s="59">
        <f t="shared" si="8"/>
        <v>702.13172659861107</v>
      </c>
      <c r="BI54" s="59">
        <f ca="1">AVERAGE(OFFSET($BH$3,0,0,'Données projet'!$E$11+1,1))-AVERAGE(OFFSET($H$3,0,0,'Données projet'!$E$11+1,1))</f>
        <v>349.5718186624772</v>
      </c>
      <c r="BJ54" s="59">
        <f t="shared" si="38"/>
        <v>258.14152930815959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29.207795694000641</v>
      </c>
      <c r="BQ54" s="21">
        <f>EXP(-LN(2)/25)*BQ53+(1-EXP(-LN(2)/25))/(LN(2)/25)*Calculateur!BL54*Calculateur!BN54*VLOOKUP('Données projet'!$B$11,Paramètres!$A$1:$I$89,3,0)*0.475*44/12</f>
        <v>34.648093351436991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63.855889045437635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16.944285714285709</v>
      </c>
      <c r="BY54" s="12">
        <f>IF('Données projet'!$A$114&gt;35,BY53+BX54-CG53,IF(A54&lt;'Données projet'!$A$114,$BV$205^A54,IF(A54='Données projet'!$A$114,'Données projet'!$B$114,BY53+BX54-CG53)))</f>
        <v>294.98857142857139</v>
      </c>
      <c r="BZ54" s="13">
        <f>BY54*VLOOKUP('Données projet'!$B$12,Paramètres!$A$1:$I$89,3,0)*VLOOKUP('Données projet'!$B$12,Paramètres!$A$1:$I$89,5,0)</f>
        <v>138.05465142857142</v>
      </c>
      <c r="CA54" s="13">
        <f t="shared" si="39"/>
        <v>35.850991174438484</v>
      </c>
      <c r="CB54" s="20">
        <f t="shared" si="10"/>
        <v>302.88566086690889</v>
      </c>
      <c r="CC54" s="59">
        <f t="shared" si="11"/>
        <v>596.21899420024215</v>
      </c>
      <c r="CD54" s="59">
        <f ca="1">AVERAGE(OFFSET($CC$3,0,0,'Données projet'!$E$12+1,1))-AVERAGE(OFFSET($H$3,0,0,'Données projet'!$E$12+1,1))</f>
        <v>356.22620301934836</v>
      </c>
      <c r="CE54" s="59">
        <f t="shared" si="40"/>
        <v>342.25495410715513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42.491675746655339</v>
      </c>
      <c r="CL54" s="21">
        <f>EXP(-LN(2)/25)*CL53+(1-EXP(-LN(2)/25))/(LN(2)/25)*Calculateur!CG54*Calculateur!CI54*VLOOKUP('Données projet'!$B$12,Paramètres!$A$1:$I$89,3,0)*0.475*44/12</f>
        <v>40.281135201937893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82.772810948593232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8.9771428571428569</v>
      </c>
      <c r="CT54" s="12">
        <f>IF('Données projet'!$A$140&gt;35,CT53+CS54-DB53,IF(A54&lt;'Données projet'!$A$140,$CQ$205^A54,IF(A54='Données projet'!$A$140,'Données projet'!$B$140,CT53+CS54-DB53)))</f>
        <v>153.20285714285714</v>
      </c>
      <c r="CU54" s="17">
        <f>CT54*VLOOKUP('Données projet'!$B$13,Paramètres!$A$1:$I$89,3,0)*VLOOKUP('Données projet'!$B$13,Paramètres!$A$1:$I$89,5,0)</f>
        <v>174.46741371428573</v>
      </c>
      <c r="CV54" s="13">
        <f t="shared" si="41"/>
        <v>44.089060129578961</v>
      </c>
      <c r="CW54" s="20">
        <f t="shared" si="13"/>
        <v>380.65252527806433</v>
      </c>
      <c r="CX54" s="59">
        <f t="shared" si="14"/>
        <v>673.98585861139759</v>
      </c>
      <c r="CY54" s="59">
        <f ca="1">AVERAGE(OFFSET($CX$3,0,0,'Données projet'!$E$13+1,1))-AVERAGE(OFFSET($H$3,0,0,'Données projet'!$E$13+1,1))</f>
        <v>473.48875234867705</v>
      </c>
      <c r="CZ54" s="59">
        <f t="shared" si="42"/>
        <v>322.74347070996379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5.6412842486033066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5.6412842486033066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406.59</v>
      </c>
      <c r="L55" s="12">
        <f>VLOOKUP(A55,'Données projet'!$A$35:$I$55,9,0)</f>
        <v>14.64374999999999</v>
      </c>
      <c r="M55" s="12">
        <f t="array" ref="M55">INDEX(L:L,MIN(IF(ISNUMBER(L55:L251),ROW(L55:L251),"")))</f>
        <v>14.64374999999999</v>
      </c>
      <c r="N55" s="13">
        <f>IF('Données projet'!$A$36&gt;35,N54+M55-V54,IF(A55&lt;'Données projet'!$A$36,$K$205^A55,IF(A55='Données projet'!$A$36,'Données projet'!$B$36,N54+M55-V54)))</f>
        <v>406.59</v>
      </c>
      <c r="O55" s="13">
        <f>N55*VLOOKUP('Données projet'!$B$9,Paramètres!$A$1:$I$89,3,0)*VLOOKUP('Données projet'!$B$9,Paramètres!$A$1:$I$89,5,0)</f>
        <v>243.14081999999999</v>
      </c>
      <c r="P55" s="13">
        <f t="shared" si="33"/>
        <v>59.114781000830845</v>
      </c>
      <c r="Q55" s="20">
        <f t="shared" si="53"/>
        <v>526.42850507644698</v>
      </c>
      <c r="R55" s="59">
        <f t="shared" si="0"/>
        <v>819.76183840978024</v>
      </c>
      <c r="S55" s="59">
        <f ca="1">AVERAGE(OFFSET($R$3,0,0,'Données projet'!$E$9+1,1))-AVERAGE(OFFSET($H$3,0,0,'Données projet'!$E$9+1,1))</f>
        <v>300.80663531652721</v>
      </c>
      <c r="T55" s="59">
        <f t="shared" si="34"/>
        <v>306.01967513533549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75.37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0.13500000000000001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34.286909070273168</v>
      </c>
      <c r="AA55" s="21">
        <f>EXP(-LN(2)/25)*AA54+(1-EXP(-LN(2)/25))/(LN(2)/25)*Calculateur!V55*Calculateur!X55*VLOOKUP('Données projet'!$B$9,Paramètres!$A$1:$I$89,3,0)*0.475*44/12</f>
        <v>48.872307388581874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83.159216458855042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14.12</v>
      </c>
      <c r="AI55" s="13">
        <f>IF('Données projet'!$A$62&gt;35,AI54+AH55-AQ54,IF(A55&lt;'Données projet'!$A$62,$AF$205^A55,IF(A55='Données projet'!$A$62,'Données projet'!$B$62,AI54+AH55-AQ54)))</f>
        <v>327.98000000000019</v>
      </c>
      <c r="AJ55" s="13">
        <f>AI55*VLOOKUP('Données projet'!$B$10,Paramètres!$A$1:$I$89,3,0)*VLOOKUP('Données projet'!$B$10,Paramètres!$A$1:$I$89,5,0)</f>
        <v>196.13204000000013</v>
      </c>
      <c r="AK55" s="13">
        <f t="shared" si="35"/>
        <v>48.893143423385645</v>
      </c>
      <c r="AL55" s="20">
        <f t="shared" si="4"/>
        <v>426.75219446239686</v>
      </c>
      <c r="AM55" s="59">
        <f t="shared" si="5"/>
        <v>720.08552779573017</v>
      </c>
      <c r="AN55" s="59">
        <f ca="1">AVERAGE(OFFSET($AM$3,0,0,'Données projet'!$E$10+1,1))-AVERAGE(OFFSET($H$3,0,0,'Données projet'!$E$10+1,1))</f>
        <v>349.5718186624772</v>
      </c>
      <c r="AO55" s="59">
        <f t="shared" si="36"/>
        <v>258.14152930815959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28.635048635437578</v>
      </c>
      <c r="AV55" s="21">
        <f>EXP(-LN(2)/25)*AV54+(1-EXP(-LN(2)/25))/(LN(2)/25)*Calculateur!AQ55*Calculateur!AS55*VLOOKUP('Données projet'!$B$10,Paramètres!$A$1:$I$89,3,0)*0.475*44/12</f>
        <v>33.700639416677909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62.335688052115486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14.12</v>
      </c>
      <c r="BD55" s="12">
        <f>IF('Données projet'!$A$88&gt;35,BD54+BC55-BL54,IF(A55&lt;'Données projet'!$A$88,$BA$205^A55,IF(A55='Données projet'!$A$88,'Données projet'!$B$88,BD54+BC55-BL54)))</f>
        <v>327.98000000000019</v>
      </c>
      <c r="BE55" s="13">
        <f>BD55*VLOOKUP('Données projet'!$B$11,Paramètres!$A$1:$I$89,3,0)*VLOOKUP('Données projet'!$B$11,Paramètres!$A$1:$I$89,5,0)</f>
        <v>196.13204000000013</v>
      </c>
      <c r="BF55" s="13">
        <f t="shared" si="37"/>
        <v>48.893143423385645</v>
      </c>
      <c r="BG55" s="20">
        <f t="shared" si="7"/>
        <v>426.75219446239686</v>
      </c>
      <c r="BH55" s="59">
        <f t="shared" si="8"/>
        <v>720.08552779573017</v>
      </c>
      <c r="BI55" s="59">
        <f ca="1">AVERAGE(OFFSET($BH$3,0,0,'Données projet'!$E$11+1,1))-AVERAGE(OFFSET($H$3,0,0,'Données projet'!$E$11+1,1))</f>
        <v>349.5718186624772</v>
      </c>
      <c r="BJ55" s="59">
        <f t="shared" si="38"/>
        <v>258.14152930815959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28.635048635437578</v>
      </c>
      <c r="BQ55" s="21">
        <f>EXP(-LN(2)/25)*BQ54+(1-EXP(-LN(2)/25))/(LN(2)/25)*Calculateur!BL55*Calculateur!BN55*VLOOKUP('Données projet'!$B$11,Paramètres!$A$1:$I$89,3,0)*0.475*44/12</f>
        <v>33.700639416677909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62.335688052115486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16.944285714285709</v>
      </c>
      <c r="BY55" s="12">
        <f>IF('Données projet'!$A$114&gt;35,BY54+BX55-CG54,IF(A55&lt;'Données projet'!$A$114,$BV$205^A55,IF(A55='Données projet'!$A$114,'Données projet'!$B$114,BY54+BX55-CG54)))</f>
        <v>311.93285714285707</v>
      </c>
      <c r="BZ55" s="13">
        <f>BY55*VLOOKUP('Données projet'!$B$12,Paramètres!$A$1:$I$89,3,0)*VLOOKUP('Données projet'!$B$12,Paramètres!$A$1:$I$89,5,0)</f>
        <v>145.98457714285712</v>
      </c>
      <c r="CA55" s="13">
        <f t="shared" si="39"/>
        <v>37.664630310684146</v>
      </c>
      <c r="CB55" s="20">
        <f t="shared" si="10"/>
        <v>319.85570298158433</v>
      </c>
      <c r="CC55" s="59">
        <f t="shared" si="11"/>
        <v>613.18903631491764</v>
      </c>
      <c r="CD55" s="59">
        <f ca="1">AVERAGE(OFFSET($CC$3,0,0,'Données projet'!$E$12+1,1))-AVERAGE(OFFSET($H$3,0,0,'Données projet'!$E$12+1,1))</f>
        <v>356.22620301934836</v>
      </c>
      <c r="CE55" s="59">
        <f t="shared" si="40"/>
        <v>342.25495410715513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41.658439902626505</v>
      </c>
      <c r="CL55" s="21">
        <f>EXP(-LN(2)/25)*CL54+(1-EXP(-LN(2)/25))/(LN(2)/25)*Calculateur!CG55*Calculateur!CI55*VLOOKUP('Données projet'!$B$12,Paramètres!$A$1:$I$89,3,0)*0.475*44/12</f>
        <v>39.179645441548068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80.838085344174573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162.18</v>
      </c>
      <c r="CR55" s="12">
        <f>VLOOKUP(A55,'Données projet'!$A$139:$I$159,9,0)</f>
        <v>8.9771428571428569</v>
      </c>
      <c r="CS55" s="12">
        <f t="array" ref="CS55">INDEX(CR:CR,MIN(IF(ISNUMBER(CR55:CR251),ROW(CR55:CR251),"")))</f>
        <v>8.9771428571428569</v>
      </c>
      <c r="CT55" s="12">
        <f>IF('Données projet'!$A$140&gt;35,CT54+CS55-DB54,IF(A55&lt;'Données projet'!$A$140,$CQ$205^A55,IF(A55='Données projet'!$A$140,'Données projet'!$B$140,CT54+CS55-DB54)))</f>
        <v>162.18</v>
      </c>
      <c r="CU55" s="17">
        <f>CT55*VLOOKUP('Données projet'!$B$13,Paramètres!$A$1:$I$89,3,0)*VLOOKUP('Données projet'!$B$13,Paramètres!$A$1:$I$89,5,0)</f>
        <v>184.690584</v>
      </c>
      <c r="CV55" s="13">
        <f t="shared" si="41"/>
        <v>46.364187128284655</v>
      </c>
      <c r="CW55" s="20">
        <f t="shared" si="13"/>
        <v>402.42039304842905</v>
      </c>
      <c r="CX55" s="59">
        <f t="shared" si="14"/>
        <v>695.75372638176236</v>
      </c>
      <c r="CY55" s="59">
        <f ca="1">AVERAGE(OFFSET($CX$3,0,0,'Données projet'!$E$13+1,1))-AVERAGE(OFFSET($H$3,0,0,'Données projet'!$E$13+1,1))</f>
        <v>473.48875234867705</v>
      </c>
      <c r="CZ55" s="59">
        <f t="shared" si="42"/>
        <v>322.74347070996379</v>
      </c>
      <c r="DA55" s="15">
        <f>IF(ISNA(VLOOKUP(A55,'Données projet'!$A$139:$I$159,3,0)),0,VLOOKUP(A55,'Données projet'!$A$139:$I$159,3,0))</f>
        <v>3</v>
      </c>
      <c r="DB55" s="15">
        <f>IF(ISNA(VLOOKUP(A55,'Données projet'!$A$139:$I$159,4,0)),0,VLOOKUP(A55,'Données projet'!$A$139:$I$159,4,0))</f>
        <v>40.9</v>
      </c>
      <c r="DC55" s="16">
        <f>IF(ISNA(VLOOKUP(A55,'Données projet'!$A$139:$I$159,5,0)),0%,VLOOKUP(A55,'Données projet'!$A$139:$I$159,5,0)*VLOOKUP('Données projet'!$B$13,Paramètres!$A$1:$I$89,7,0))</f>
        <v>0.129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12.172795405785816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12.172795405785816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13.14</v>
      </c>
      <c r="N56" s="13">
        <f>IF('Données projet'!$A$36&gt;35,N55+M56-V55,IF(A56&lt;'Données projet'!$A$36,$K$205^A56,IF(A56='Données projet'!$A$36,'Données projet'!$B$36,N55+M56-V55)))</f>
        <v>344.35999999999996</v>
      </c>
      <c r="O56" s="13">
        <f>N56*VLOOKUP('Données projet'!$B$9,Paramètres!$A$1:$I$89,3,0)*VLOOKUP('Données projet'!$B$9,Paramètres!$A$1:$I$89,5,0)</f>
        <v>205.92728</v>
      </c>
      <c r="P56" s="13">
        <f t="shared" si="33"/>
        <v>51.04458202864172</v>
      </c>
      <c r="Q56" s="20">
        <f t="shared" si="53"/>
        <v>447.55932636655098</v>
      </c>
      <c r="R56" s="59">
        <f t="shared" si="0"/>
        <v>740.89265969988423</v>
      </c>
      <c r="S56" s="59">
        <f ca="1">AVERAGE(OFFSET($R$3,0,0,'Données projet'!$E$9+1,1))-AVERAGE(OFFSET($H$3,0,0,'Données projet'!$E$9+1,1))</f>
        <v>300.80663531652721</v>
      </c>
      <c r="T56" s="59">
        <f t="shared" si="34"/>
        <v>306.01967513533549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33.614563696354665</v>
      </c>
      <c r="AA56" s="21">
        <f>EXP(-LN(2)/25)*AA55+(1-EXP(-LN(2)/25))/(LN(2)/25)*Calculateur!V56*Calculateur!X56*VLOOKUP('Données projet'!$B$9,Paramètres!$A$1:$I$89,3,0)*0.475*44/12</f>
        <v>47.535891572958157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81.150455269312829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14.12</v>
      </c>
      <c r="AI56" s="13">
        <f>IF('Données projet'!$A$62&gt;35,AI55+AH56-AQ55,IF(A56&lt;'Données projet'!$A$62,$AF$205^A56,IF(A56='Données projet'!$A$62,'Données projet'!$B$62,AI55+AH56-AQ55)))</f>
        <v>342.10000000000019</v>
      </c>
      <c r="AJ56" s="13">
        <f>AI56*VLOOKUP('Données projet'!$B$10,Paramètres!$A$1:$I$89,3,0)*VLOOKUP('Données projet'!$B$10,Paramètres!$A$1:$I$89,5,0)</f>
        <v>204.57580000000013</v>
      </c>
      <c r="AK56" s="13">
        <f t="shared" si="35"/>
        <v>50.748462290021173</v>
      </c>
      <c r="AL56" s="20">
        <f t="shared" si="4"/>
        <v>444.68975682178706</v>
      </c>
      <c r="AM56" s="59">
        <f t="shared" si="5"/>
        <v>738.02309015512037</v>
      </c>
      <c r="AN56" s="59">
        <f ca="1">AVERAGE(OFFSET($AM$3,0,0,'Données projet'!$E$10+1,1))-AVERAGE(OFFSET($H$3,0,0,'Données projet'!$E$10+1,1))</f>
        <v>349.5718186624772</v>
      </c>
      <c r="AO56" s="59">
        <f t="shared" si="36"/>
        <v>258.14152930815959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28.073532797351724</v>
      </c>
      <c r="AV56" s="21">
        <f>EXP(-LN(2)/25)*AV55+(1-EXP(-LN(2)/25))/(LN(2)/25)*Calculateur!AQ56*Calculateur!AS56*VLOOKUP('Données projet'!$B$10,Paramètres!$A$1:$I$89,3,0)*0.475*44/12</f>
        <v>32.77909365958925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60.852626456940975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14.12</v>
      </c>
      <c r="BD56" s="12">
        <f>IF('Données projet'!$A$88&gt;35,BD55+BC56-BL55,IF(A56&lt;'Données projet'!$A$88,$BA$205^A56,IF(A56='Données projet'!$A$88,'Données projet'!$B$88,BD55+BC56-BL55)))</f>
        <v>342.10000000000019</v>
      </c>
      <c r="BE56" s="13">
        <f>BD56*VLOOKUP('Données projet'!$B$11,Paramètres!$A$1:$I$89,3,0)*VLOOKUP('Données projet'!$B$11,Paramètres!$A$1:$I$89,5,0)</f>
        <v>204.57580000000013</v>
      </c>
      <c r="BF56" s="13">
        <f t="shared" si="37"/>
        <v>50.748462290021173</v>
      </c>
      <c r="BG56" s="20">
        <f t="shared" si="7"/>
        <v>444.68975682178706</v>
      </c>
      <c r="BH56" s="59">
        <f t="shared" si="8"/>
        <v>738.02309015512037</v>
      </c>
      <c r="BI56" s="59">
        <f ca="1">AVERAGE(OFFSET($BH$3,0,0,'Données projet'!$E$11+1,1))-AVERAGE(OFFSET($H$3,0,0,'Données projet'!$E$11+1,1))</f>
        <v>349.5718186624772</v>
      </c>
      <c r="BJ56" s="59">
        <f t="shared" si="38"/>
        <v>258.14152930815959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28.073532797351724</v>
      </c>
      <c r="BQ56" s="21">
        <f>EXP(-LN(2)/25)*BQ55+(1-EXP(-LN(2)/25))/(LN(2)/25)*Calculateur!BL56*Calculateur!BN56*VLOOKUP('Données projet'!$B$11,Paramètres!$A$1:$I$89,3,0)*0.475*44/12</f>
        <v>32.77909365958925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60.852626456940975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16.944285714285709</v>
      </c>
      <c r="BY56" s="12">
        <f>IF('Données projet'!$A$114&gt;35,BY55+BX56-CG55,IF(A56&lt;'Données projet'!$A$114,$BV$205^A56,IF(A56='Données projet'!$A$114,'Données projet'!$B$114,BY55+BX56-CG55)))</f>
        <v>328.87714285714276</v>
      </c>
      <c r="BZ56" s="13">
        <f>BY56*VLOOKUP('Données projet'!$B$12,Paramètres!$A$1:$I$89,3,0)*VLOOKUP('Données projet'!$B$12,Paramètres!$A$1:$I$89,5,0)</f>
        <v>153.91450285714282</v>
      </c>
      <c r="CA56" s="13">
        <f t="shared" si="39"/>
        <v>39.46683225936065</v>
      </c>
      <c r="CB56" s="20">
        <f t="shared" si="10"/>
        <v>336.80582532791021</v>
      </c>
      <c r="CC56" s="59">
        <f t="shared" si="11"/>
        <v>630.13915866124353</v>
      </c>
      <c r="CD56" s="59">
        <f ca="1">AVERAGE(OFFSET($CC$3,0,0,'Données projet'!$E$12+1,1))-AVERAGE(OFFSET($H$3,0,0,'Données projet'!$E$12+1,1))</f>
        <v>356.22620301934836</v>
      </c>
      <c r="CE56" s="59">
        <f t="shared" si="40"/>
        <v>342.25495410715513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40.841543305275394</v>
      </c>
      <c r="CL56" s="21">
        <f>EXP(-LN(2)/25)*CL55+(1-EXP(-LN(2)/25))/(LN(2)/25)*Calculateur!CG56*Calculateur!CI56*VLOOKUP('Données projet'!$B$12,Paramètres!$A$1:$I$89,3,0)*0.475*44/12</f>
        <v>38.108275976580927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78.949819281856321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8.757142857142858</v>
      </c>
      <c r="CT56" s="12">
        <f>IF('Données projet'!$A$140&gt;35,CT55+CS56-DB55,IF(A56&lt;'Données projet'!$A$140,$CQ$205^A56,IF(A56='Données projet'!$A$140,'Données projet'!$B$140,CT55+CS56-DB55)))</f>
        <v>130.03714285714287</v>
      </c>
      <c r="CU56" s="17">
        <f>CT56*VLOOKUP('Données projet'!$B$13,Paramètres!$A$1:$I$89,3,0)*VLOOKUP('Données projet'!$B$13,Paramètres!$A$1:$I$89,5,0)</f>
        <v>148.08629828571432</v>
      </c>
      <c r="CV56" s="13">
        <f t="shared" si="41"/>
        <v>38.143365578641983</v>
      </c>
      <c r="CW56" s="20">
        <f t="shared" si="13"/>
        <v>324.34999789708723</v>
      </c>
      <c r="CX56" s="59">
        <f t="shared" si="14"/>
        <v>617.68333123042055</v>
      </c>
      <c r="CY56" s="59">
        <f ca="1">AVERAGE(OFFSET($CX$3,0,0,'Données projet'!$E$13+1,1))-AVERAGE(OFFSET($H$3,0,0,'Données projet'!$E$13+1,1))</f>
        <v>473.48875234867705</v>
      </c>
      <c r="CZ56" s="59">
        <f t="shared" si="42"/>
        <v>322.74347070996379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11.934094312550428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11.934094312550428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13.14</v>
      </c>
      <c r="N57" s="13">
        <f>IF('Données projet'!$A$36&gt;35,N56+M57-V56,IF(A57&lt;'Données projet'!$A$36,$K$205^A57,IF(A57='Données projet'!$A$36,'Données projet'!$B$36,N56+M57-V56)))</f>
        <v>357.49999999999994</v>
      </c>
      <c r="O57" s="13">
        <f>N57*VLOOKUP('Données projet'!$B$9,Paramètres!$A$1:$I$89,3,0)*VLOOKUP('Données projet'!$B$9,Paramètres!$A$1:$I$89,5,0)</f>
        <v>213.785</v>
      </c>
      <c r="P57" s="13">
        <f t="shared" si="33"/>
        <v>52.761841557402377</v>
      </c>
      <c r="Q57" s="20">
        <f t="shared" si="53"/>
        <v>464.23574904580914</v>
      </c>
      <c r="R57" s="59">
        <f t="shared" si="0"/>
        <v>757.5690823791424</v>
      </c>
      <c r="S57" s="59">
        <f ca="1">AVERAGE(OFFSET($R$3,0,0,'Données projet'!$E$9+1,1))-AVERAGE(OFFSET($H$3,0,0,'Données projet'!$E$9+1,1))</f>
        <v>300.80663531652721</v>
      </c>
      <c r="T57" s="59">
        <f t="shared" si="34"/>
        <v>306.01967513533549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32.955402605128512</v>
      </c>
      <c r="AA57" s="21">
        <f>EXP(-LN(2)/25)*AA56+(1-EXP(-LN(2)/25))/(LN(2)/25)*Calculateur!V57*Calculateur!X57*VLOOKUP('Données projet'!$B$9,Paramètres!$A$1:$I$89,3,0)*0.475*44/12</f>
        <v>46.236020118091723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79.191422723220228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14.12</v>
      </c>
      <c r="AI57" s="13">
        <f>IF('Données projet'!$A$62&gt;35,AI56+AH57-AQ56,IF(A57&lt;'Données projet'!$A$62,$AF$205^A57,IF(A57='Données projet'!$A$62,'Données projet'!$B$62,AI56+AH57-AQ56)))</f>
        <v>356.2200000000002</v>
      </c>
      <c r="AJ57" s="13">
        <f>AI57*VLOOKUP('Données projet'!$B$10,Paramètres!$A$1:$I$89,3,0)*VLOOKUP('Données projet'!$B$10,Paramètres!$A$1:$I$89,5,0)</f>
        <v>213.01956000000015</v>
      </c>
      <c r="AK57" s="13">
        <f t="shared" si="35"/>
        <v>52.594886266766075</v>
      </c>
      <c r="AL57" s="20">
        <f t="shared" si="4"/>
        <v>462.61182724795117</v>
      </c>
      <c r="AM57" s="59">
        <f t="shared" si="5"/>
        <v>755.94516058128443</v>
      </c>
      <c r="AN57" s="59">
        <f ca="1">AVERAGE(OFFSET($AM$3,0,0,'Données projet'!$E$10+1,1))-AVERAGE(OFFSET($H$3,0,0,'Données projet'!$E$10+1,1))</f>
        <v>349.5718186624772</v>
      </c>
      <c r="AO57" s="59">
        <f t="shared" si="36"/>
        <v>258.14152930815959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27.523027942359892</v>
      </c>
      <c r="AV57" s="21">
        <f>EXP(-LN(2)/25)*AV56+(1-EXP(-LN(2)/25))/(LN(2)/25)*Calculateur!AQ57*Calculateur!AS57*VLOOKUP('Données projet'!$B$10,Paramètres!$A$1:$I$89,3,0)*0.475*44/12</f>
        <v>31.882747619690164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59.405775562050053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14.12</v>
      </c>
      <c r="BD57" s="12">
        <f>IF('Données projet'!$A$88&gt;35,BD56+BC57-BL56,IF(A57&lt;'Données projet'!$A$88,$BA$205^A57,IF(A57='Données projet'!$A$88,'Données projet'!$B$88,BD56+BC57-BL56)))</f>
        <v>356.2200000000002</v>
      </c>
      <c r="BE57" s="13">
        <f>BD57*VLOOKUP('Données projet'!$B$11,Paramètres!$A$1:$I$89,3,0)*VLOOKUP('Données projet'!$B$11,Paramètres!$A$1:$I$89,5,0)</f>
        <v>213.01956000000015</v>
      </c>
      <c r="BF57" s="13">
        <f t="shared" si="37"/>
        <v>52.594886266766075</v>
      </c>
      <c r="BG57" s="20">
        <f t="shared" si="7"/>
        <v>462.61182724795117</v>
      </c>
      <c r="BH57" s="59">
        <f t="shared" si="8"/>
        <v>755.94516058128443</v>
      </c>
      <c r="BI57" s="59">
        <f ca="1">AVERAGE(OFFSET($BH$3,0,0,'Données projet'!$E$11+1,1))-AVERAGE(OFFSET($H$3,0,0,'Données projet'!$E$11+1,1))</f>
        <v>349.5718186624772</v>
      </c>
      <c r="BJ57" s="59">
        <f t="shared" si="38"/>
        <v>258.14152930815959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27.523027942359892</v>
      </c>
      <c r="BQ57" s="21">
        <f>EXP(-LN(2)/25)*BQ56+(1-EXP(-LN(2)/25))/(LN(2)/25)*Calculateur!BL57*Calculateur!BN57*VLOOKUP('Données projet'!$B$11,Paramètres!$A$1:$I$89,3,0)*0.475*44/12</f>
        <v>31.882747619690164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59.405775562050053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16.944285714285709</v>
      </c>
      <c r="BY57" s="12">
        <f>IF('Données projet'!$A$114&gt;35,BY56+BX57-CG56,IF(A57&lt;'Données projet'!$A$114,$BV$205^A57,IF(A57='Données projet'!$A$114,'Données projet'!$B$114,BY56+BX57-CG56)))</f>
        <v>345.82142857142844</v>
      </c>
      <c r="BZ57" s="13">
        <f>BY57*VLOOKUP('Données projet'!$B$12,Paramètres!$A$1:$I$89,3,0)*VLOOKUP('Données projet'!$B$12,Paramètres!$A$1:$I$89,5,0)</f>
        <v>161.84442857142849</v>
      </c>
      <c r="CA57" s="13">
        <f t="shared" si="39"/>
        <v>41.258253499805392</v>
      </c>
      <c r="CB57" s="20">
        <f t="shared" si="10"/>
        <v>353.7371712740657</v>
      </c>
      <c r="CC57" s="59">
        <f t="shared" si="11"/>
        <v>647.07050460739902</v>
      </c>
      <c r="CD57" s="59">
        <f ca="1">AVERAGE(OFFSET($CC$3,0,0,'Données projet'!$E$12+1,1))-AVERAGE(OFFSET($H$3,0,0,'Données projet'!$E$12+1,1))</f>
        <v>356.22620301934836</v>
      </c>
      <c r="CE57" s="59">
        <f t="shared" si="40"/>
        <v>342.25495410715513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40.040665551940613</v>
      </c>
      <c r="CL57" s="21">
        <f>EXP(-LN(2)/25)*CL56+(1-EXP(-LN(2)/25))/(LN(2)/25)*Calculateur!CG57*Calculateur!CI57*VLOOKUP('Données projet'!$B$12,Paramètres!$A$1:$I$89,3,0)*0.475*44/12</f>
        <v>37.066203165974187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77.106868717914807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8.757142857142858</v>
      </c>
      <c r="CT57" s="12">
        <f>IF('Données projet'!$A$140&gt;35,CT56+CS57-DB56,IF(A57&lt;'Données projet'!$A$140,$CQ$205^A57,IF(A57='Données projet'!$A$140,'Données projet'!$B$140,CT56+CS57-DB56)))</f>
        <v>138.79428571428573</v>
      </c>
      <c r="CU57" s="17">
        <f>CT57*VLOOKUP('Données projet'!$B$13,Paramètres!$A$1:$I$89,3,0)*VLOOKUP('Données projet'!$B$13,Paramètres!$A$1:$I$89,5,0)</f>
        <v>158.05893257142861</v>
      </c>
      <c r="CV57" s="13">
        <f t="shared" si="41"/>
        <v>40.404391701612333</v>
      </c>
      <c r="CW57" s="20">
        <f t="shared" si="13"/>
        <v>345.65695644221296</v>
      </c>
      <c r="CX57" s="59">
        <f t="shared" si="14"/>
        <v>638.99028977554622</v>
      </c>
      <c r="CY57" s="59">
        <f ca="1">AVERAGE(OFFSET($CX$3,0,0,'Données projet'!$E$13+1,1))-AVERAGE(OFFSET($H$3,0,0,'Données projet'!$E$13+1,1))</f>
        <v>473.48875234867705</v>
      </c>
      <c r="CZ57" s="59">
        <f t="shared" si="42"/>
        <v>322.74347070996379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11.700074002160095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11.700074002160095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13.14</v>
      </c>
      <c r="N58" s="13">
        <f>IF('Données projet'!$A$36&gt;35,N57+M58-V57,IF(A58&lt;'Données projet'!$A$36,$K$205^A58,IF(A58='Données projet'!$A$36,'Données projet'!$B$36,N57+M58-V57)))</f>
        <v>370.63999999999993</v>
      </c>
      <c r="O58" s="13">
        <f>N58*VLOOKUP('Données projet'!$B$9,Paramètres!$A$1:$I$89,3,0)*VLOOKUP('Données projet'!$B$9,Paramètres!$A$1:$I$89,5,0)</f>
        <v>221.64272</v>
      </c>
      <c r="P58" s="13">
        <f t="shared" si="33"/>
        <v>54.471768066609272</v>
      </c>
      <c r="Q58" s="20">
        <f t="shared" si="53"/>
        <v>480.89940004934442</v>
      </c>
      <c r="R58" s="59">
        <f t="shared" si="0"/>
        <v>774.23273338267768</v>
      </c>
      <c r="S58" s="59">
        <f ca="1">AVERAGE(OFFSET($R$3,0,0,'Données projet'!$E$9+1,1))-AVERAGE(OFFSET($H$3,0,0,'Données projet'!$E$9+1,1))</f>
        <v>300.80663531652721</v>
      </c>
      <c r="T58" s="59">
        <f t="shared" si="34"/>
        <v>306.01967513533549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32.309167260852739</v>
      </c>
      <c r="AA58" s="21">
        <f>EXP(-LN(2)/25)*AA57+(1-EXP(-LN(2)/25))/(LN(2)/25)*Calculateur!V58*Calculateur!X58*VLOOKUP('Données projet'!$B$9,Paramètres!$A$1:$I$89,3,0)*0.475*44/12</f>
        <v>44.97169371651588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77.280860977368619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14.12</v>
      </c>
      <c r="AI58" s="13">
        <f>IF('Données projet'!$A$62&gt;35,AI57+AH58-AQ57,IF(A58&lt;'Données projet'!$A$62,$AF$205^A58,IF(A58='Données projet'!$A$62,'Données projet'!$B$62,AI57+AH58-AQ57)))</f>
        <v>370.3400000000002</v>
      </c>
      <c r="AJ58" s="13">
        <f>AI58*VLOOKUP('Données projet'!$B$10,Paramètres!$A$1:$I$89,3,0)*VLOOKUP('Données projet'!$B$10,Paramètres!$A$1:$I$89,5,0)</f>
        <v>221.46332000000012</v>
      </c>
      <c r="AK58" s="13">
        <f t="shared" si="35"/>
        <v>54.432808276273747</v>
      </c>
      <c r="AL58" s="20">
        <f t="shared" si="4"/>
        <v>480.51909008117696</v>
      </c>
      <c r="AM58" s="59">
        <f t="shared" si="5"/>
        <v>773.85242341451021</v>
      </c>
      <c r="AN58" s="59">
        <f ca="1">AVERAGE(OFFSET($AM$3,0,0,'Données projet'!$E$10+1,1))-AVERAGE(OFFSET($H$3,0,0,'Données projet'!$E$10+1,1))</f>
        <v>349.5718186624772</v>
      </c>
      <c r="AO58" s="59">
        <f t="shared" si="36"/>
        <v>258.14152930815959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26.983318151799644</v>
      </c>
      <c r="AV58" s="21">
        <f>EXP(-LN(2)/25)*AV57+(1-EXP(-LN(2)/25))/(LN(2)/25)*Calculateur!AQ58*Calculateur!AS58*VLOOKUP('Données projet'!$B$10,Paramètres!$A$1:$I$89,3,0)*0.475*44/12</f>
        <v>31.010912209388909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57.994230361188556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14.12</v>
      </c>
      <c r="BD58" s="12">
        <f>IF('Données projet'!$A$88&gt;35,BD57+BC58-BL57,IF(A58&lt;'Données projet'!$A$88,$BA$205^A58,IF(A58='Données projet'!$A$88,'Données projet'!$B$88,BD57+BC58-BL57)))</f>
        <v>370.3400000000002</v>
      </c>
      <c r="BE58" s="13">
        <f>BD58*VLOOKUP('Données projet'!$B$11,Paramètres!$A$1:$I$89,3,0)*VLOOKUP('Données projet'!$B$11,Paramètres!$A$1:$I$89,5,0)</f>
        <v>221.46332000000012</v>
      </c>
      <c r="BF58" s="13">
        <f t="shared" si="37"/>
        <v>54.432808276273747</v>
      </c>
      <c r="BG58" s="20">
        <f t="shared" si="7"/>
        <v>480.51909008117696</v>
      </c>
      <c r="BH58" s="59">
        <f t="shared" si="8"/>
        <v>773.85242341451021</v>
      </c>
      <c r="BI58" s="59">
        <f ca="1">AVERAGE(OFFSET($BH$3,0,0,'Données projet'!$E$11+1,1))-AVERAGE(OFFSET($H$3,0,0,'Données projet'!$E$11+1,1))</f>
        <v>349.5718186624772</v>
      </c>
      <c r="BJ58" s="59">
        <f t="shared" si="38"/>
        <v>258.14152930815959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26.983318151799644</v>
      </c>
      <c r="BQ58" s="21">
        <f>EXP(-LN(2)/25)*BQ57+(1-EXP(-LN(2)/25))/(LN(2)/25)*Calculateur!BL58*Calculateur!BN58*VLOOKUP('Données projet'!$B$11,Paramètres!$A$1:$I$89,3,0)*0.475*44/12</f>
        <v>31.010912209388909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57.994230361188556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16.944285714285709</v>
      </c>
      <c r="BY58" s="12">
        <f>IF('Données projet'!$A$114&gt;35,BY57+BX58-CG57,IF(A58&lt;'Données projet'!$A$114,$BV$205^A58,IF(A58='Données projet'!$A$114,'Données projet'!$B$114,BY57+BX58-CG57)))</f>
        <v>362.76571428571413</v>
      </c>
      <c r="BZ58" s="13">
        <f>BY58*VLOOKUP('Données projet'!$B$12,Paramètres!$A$1:$I$89,3,0)*VLOOKUP('Données projet'!$B$12,Paramètres!$A$1:$I$89,5,0)</f>
        <v>169.7743542857142</v>
      </c>
      <c r="CA58" s="13">
        <f t="shared" si="39"/>
        <v>43.039482545615591</v>
      </c>
      <c r="CB58" s="20">
        <f t="shared" si="10"/>
        <v>370.650765814566</v>
      </c>
      <c r="CC58" s="59">
        <f t="shared" si="11"/>
        <v>663.98409914789931</v>
      </c>
      <c r="CD58" s="59">
        <f ca="1">AVERAGE(OFFSET($CC$3,0,0,'Données projet'!$E$12+1,1))-AVERAGE(OFFSET($H$3,0,0,'Données projet'!$E$12+1,1))</f>
        <v>356.22620301934836</v>
      </c>
      <c r="CE58" s="59">
        <f t="shared" si="40"/>
        <v>342.25495410715513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39.25549252286153</v>
      </c>
      <c r="CL58" s="21">
        <f>EXP(-LN(2)/25)*CL57+(1-EXP(-LN(2)/25))/(LN(2)/25)*Calculateur!CG58*Calculateur!CI58*VLOOKUP('Données projet'!$B$12,Paramètres!$A$1:$I$89,3,0)*0.475*44/12</f>
        <v>36.052625891173712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75.308118414035249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8.757142857142858</v>
      </c>
      <c r="CT58" s="12">
        <f>IF('Données projet'!$A$140&gt;35,CT57+CS58-DB57,IF(A58&lt;'Données projet'!$A$140,$CQ$205^A58,IF(A58='Données projet'!$A$140,'Données projet'!$B$140,CT57+CS58-DB57)))</f>
        <v>147.5514285714286</v>
      </c>
      <c r="CU58" s="17">
        <f>CT58*VLOOKUP('Données projet'!$B$13,Paramètres!$A$1:$I$89,3,0)*VLOOKUP('Données projet'!$B$13,Paramètres!$A$1:$I$89,5,0)</f>
        <v>168.03156685714291</v>
      </c>
      <c r="CV58" s="13">
        <f t="shared" si="41"/>
        <v>42.648861656993908</v>
      </c>
      <c r="CW58" s="20">
        <f t="shared" si="13"/>
        <v>366.93507966212161</v>
      </c>
      <c r="CX58" s="59">
        <f t="shared" si="14"/>
        <v>660.26841299545492</v>
      </c>
      <c r="CY58" s="59">
        <f ca="1">AVERAGE(OFFSET($CX$3,0,0,'Données projet'!$E$13+1,1))-AVERAGE(OFFSET($H$3,0,0,'Données projet'!$E$13+1,1))</f>
        <v>473.48875234867705</v>
      </c>
      <c r="CZ58" s="59">
        <f t="shared" si="42"/>
        <v>322.74347070996379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11.470642687318222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11.470642687318222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13.14</v>
      </c>
      <c r="N59" s="13">
        <f>IF('Données projet'!$A$36&gt;35,N58+M59-V58,IF(A59&lt;'Données projet'!$A$36,$K$205^A59,IF(A59='Données projet'!$A$36,'Données projet'!$B$36,N58+M59-V58)))</f>
        <v>383.77999999999992</v>
      </c>
      <c r="O59" s="13">
        <f>N59*VLOOKUP('Données projet'!$B$9,Paramètres!$A$1:$I$89,3,0)*VLOOKUP('Données projet'!$B$9,Paramètres!$A$1:$I$89,5,0)</f>
        <v>229.50043999999997</v>
      </c>
      <c r="P59" s="13">
        <f t="shared" si="33"/>
        <v>56.174651313961498</v>
      </c>
      <c r="Q59" s="20">
        <f t="shared" si="53"/>
        <v>497.55078403848285</v>
      </c>
      <c r="R59" s="59">
        <f t="shared" si="0"/>
        <v>790.88411737181616</v>
      </c>
      <c r="S59" s="59">
        <f ca="1">AVERAGE(OFFSET($R$3,0,0,'Données projet'!$E$9+1,1))-AVERAGE(OFFSET($H$3,0,0,'Données projet'!$E$9+1,1))</f>
        <v>300.80663531652721</v>
      </c>
      <c r="T59" s="59">
        <f t="shared" si="34"/>
        <v>306.01967513533549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31.675604197513575</v>
      </c>
      <c r="AA59" s="21">
        <f>EXP(-LN(2)/25)*AA58+(1-EXP(-LN(2)/25))/(LN(2)/25)*Calculateur!V59*Calculateur!X59*VLOOKUP('Données projet'!$B$9,Paramètres!$A$1:$I$89,3,0)*0.475*44/12</f>
        <v>43.741940386879165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75.417544584392743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14.12</v>
      </c>
      <c r="AI59" s="13">
        <f>IF('Données projet'!$A$62&gt;35,AI58+AH59-AQ58,IF(A59&lt;'Données projet'!$A$62,$AF$205^A59,IF(A59='Données projet'!$A$62,'Données projet'!$B$62,AI58+AH59-AQ58)))</f>
        <v>384.46000000000021</v>
      </c>
      <c r="AJ59" s="13">
        <f>AI59*VLOOKUP('Données projet'!$B$10,Paramètres!$A$1:$I$89,3,0)*VLOOKUP('Données projet'!$B$10,Paramètres!$A$1:$I$89,5,0)</f>
        <v>229.90708000000015</v>
      </c>
      <c r="AK59" s="13">
        <f t="shared" si="35"/>
        <v>56.262589582193186</v>
      </c>
      <c r="AL59" s="20">
        <f t="shared" si="4"/>
        <v>498.41217452232013</v>
      </c>
      <c r="AM59" s="59">
        <f t="shared" si="5"/>
        <v>791.74550785565339</v>
      </c>
      <c r="AN59" s="59">
        <f ca="1">AVERAGE(OFFSET($AM$3,0,0,'Données projet'!$E$10+1,1))-AVERAGE(OFFSET($H$3,0,0,'Données projet'!$E$10+1,1))</f>
        <v>349.5718186624772</v>
      </c>
      <c r="AO59" s="59">
        <f t="shared" si="36"/>
        <v>258.14152930815959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26.454191741041814</v>
      </c>
      <c r="AV59" s="21">
        <f>EXP(-LN(2)/25)*AV58+(1-EXP(-LN(2)/25))/(LN(2)/25)*Calculateur!AQ59*Calculateur!AS59*VLOOKUP('Données projet'!$B$10,Paramètres!$A$1:$I$89,3,0)*0.475*44/12</f>
        <v>30.162917184230174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56.617108925271992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14.12</v>
      </c>
      <c r="BD59" s="12">
        <f>IF('Données projet'!$A$88&gt;35,BD58+BC59-BL58,IF(A59&lt;'Données projet'!$A$88,$BA$205^A59,IF(A59='Données projet'!$A$88,'Données projet'!$B$88,BD58+BC59-BL58)))</f>
        <v>384.46000000000021</v>
      </c>
      <c r="BE59" s="13">
        <f>BD59*VLOOKUP('Données projet'!$B$11,Paramètres!$A$1:$I$89,3,0)*VLOOKUP('Données projet'!$B$11,Paramètres!$A$1:$I$89,5,0)</f>
        <v>229.90708000000015</v>
      </c>
      <c r="BF59" s="13">
        <f t="shared" si="37"/>
        <v>56.262589582193186</v>
      </c>
      <c r="BG59" s="20">
        <f t="shared" si="7"/>
        <v>498.41217452232013</v>
      </c>
      <c r="BH59" s="59">
        <f t="shared" si="8"/>
        <v>791.74550785565339</v>
      </c>
      <c r="BI59" s="59">
        <f ca="1">AVERAGE(OFFSET($BH$3,0,0,'Données projet'!$E$11+1,1))-AVERAGE(OFFSET($H$3,0,0,'Données projet'!$E$11+1,1))</f>
        <v>349.5718186624772</v>
      </c>
      <c r="BJ59" s="59">
        <f t="shared" si="38"/>
        <v>258.14152930815959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26.454191741041814</v>
      </c>
      <c r="BQ59" s="21">
        <f>EXP(-LN(2)/25)*BQ58+(1-EXP(-LN(2)/25))/(LN(2)/25)*Calculateur!BL59*Calculateur!BN59*VLOOKUP('Données projet'!$B$11,Paramètres!$A$1:$I$89,3,0)*0.475*44/12</f>
        <v>30.162917184230174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56.617108925271992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>
        <f>VLOOKUP(A59,'Données projet'!$A$113:$I$133,2,0)</f>
        <v>379.71</v>
      </c>
      <c r="BW59" s="12">
        <f>VLOOKUP(A59,'Données projet'!$A$113:$I$133,9,0)</f>
        <v>16.944285714285709</v>
      </c>
      <c r="BX59" s="12">
        <f t="array" ref="BX59">INDEX(BW:BW,MIN(IF(ISNUMBER(BW59:BW255),ROW(BW59:BW255),"")))</f>
        <v>16.944285714285709</v>
      </c>
      <c r="BY59" s="12">
        <f>IF('Données projet'!$A$114&gt;35,BY58+BX59-CG58,IF(A59&lt;'Données projet'!$A$114,$BV$205^A59,IF(A59='Données projet'!$A$114,'Données projet'!$B$114,BY58+BX59-CG58)))</f>
        <v>379.70999999999981</v>
      </c>
      <c r="BZ59" s="13">
        <f>BY59*VLOOKUP('Données projet'!$B$12,Paramètres!$A$1:$I$89,3,0)*VLOOKUP('Données projet'!$B$12,Paramètres!$A$1:$I$89,5,0)</f>
        <v>177.70427999999993</v>
      </c>
      <c r="CA59" s="13">
        <f t="shared" si="39"/>
        <v>44.811049826105538</v>
      </c>
      <c r="CB59" s="20">
        <f t="shared" si="10"/>
        <v>387.54753278046701</v>
      </c>
      <c r="CC59" s="59">
        <f t="shared" si="11"/>
        <v>680.88086611380027</v>
      </c>
      <c r="CD59" s="59">
        <f ca="1">AVERAGE(OFFSET($CC$3,0,0,'Données projet'!$E$12+1,1))-AVERAGE(OFFSET($H$3,0,0,'Données projet'!$E$12+1,1))</f>
        <v>356.22620301934836</v>
      </c>
      <c r="CE59" s="59">
        <f t="shared" si="40"/>
        <v>342.25495410715513</v>
      </c>
      <c r="CF59" s="15">
        <f>IF(ISNA(VLOOKUP(A59,'Données projet'!$A$113:$I$133,3,0)),0,VLOOKUP(A59,'Données projet'!$A$113:$I$133,3,0))</f>
        <v>3</v>
      </c>
      <c r="CG59" s="15">
        <f>IF(ISNA(VLOOKUP(A59,'Données projet'!$A$113:$I$133,4,0)),0,VLOOKUP(A59,'Données projet'!$A$113:$I$133,4,0))</f>
        <v>79.39</v>
      </c>
      <c r="CH59" s="16">
        <f>IF(ISNA(VLOOKUP(A59,'Données projet'!$A$113:$I$133,5,0)),0%,VLOOKUP(A59,'Données projet'!$A$113:$I$133,5,0)*VLOOKUP('Données projet'!$B$12,Paramètres!$A$1:$I$89,7,0))</f>
        <v>0.38500000000000001</v>
      </c>
      <c r="CI59" s="16">
        <f>IF(ISNA(VLOOKUP(A59,'Données projet'!$A$113:$I$133,6,0)),0%,VLOOKUP(A59,'Données projet'!$A$113:$I$133,6,0)*VLOOKUP('Données projet'!$B$12,Paramètres!$A$1:$I$89,7,0))</f>
        <v>0.16500000000000001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57.461544510477665</v>
      </c>
      <c r="CL59" s="21">
        <f>EXP(-LN(2)/25)*CL58+(1-EXP(-LN(2)/25))/(LN(2)/25)*Calculateur!CG59*Calculateur!CI59*VLOOKUP('Données projet'!$B$12,Paramètres!$A$1:$I$89,3,0)*0.475*44/12</f>
        <v>43.16724202010397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100.62878653058164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8.757142857142858</v>
      </c>
      <c r="CT59" s="12">
        <f>IF('Données projet'!$A$140&gt;35,CT58+CS59-DB58,IF(A59&lt;'Données projet'!$A$140,$CQ$205^A59,IF(A59='Données projet'!$A$140,'Données projet'!$B$140,CT58+CS59-DB58)))</f>
        <v>156.30857142857147</v>
      </c>
      <c r="CU59" s="17">
        <f>CT59*VLOOKUP('Données projet'!$B$13,Paramètres!$A$1:$I$89,3,0)*VLOOKUP('Données projet'!$B$13,Paramètres!$A$1:$I$89,5,0)</f>
        <v>178.0042011428572</v>
      </c>
      <c r="CV59" s="13">
        <f t="shared" si="41"/>
        <v>44.877869966736881</v>
      </c>
      <c r="CW59" s="20">
        <f t="shared" si="13"/>
        <v>388.18627384920961</v>
      </c>
      <c r="CX59" s="59">
        <f t="shared" si="14"/>
        <v>681.51960718254293</v>
      </c>
      <c r="CY59" s="59">
        <f ca="1">AVERAGE(OFFSET($CX$3,0,0,'Données projet'!$E$13+1,1))-AVERAGE(OFFSET($H$3,0,0,'Données projet'!$E$13+1,1))</f>
        <v>473.48875234867705</v>
      </c>
      <c r="CZ59" s="59">
        <f t="shared" si="42"/>
        <v>322.74347070996379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11.245710380621114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11.245710380621114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13.14</v>
      </c>
      <c r="N60" s="13">
        <f>IF('Données projet'!$A$36&gt;35,N59+M60-V59,IF(A60&lt;'Données projet'!$A$36,$K$205^A60,IF(A60='Données projet'!$A$36,'Données projet'!$B$36,N59+M60-V59)))</f>
        <v>396.9199999999999</v>
      </c>
      <c r="O60" s="13">
        <f>N60*VLOOKUP('Données projet'!$B$9,Paramètres!$A$1:$I$89,3,0)*VLOOKUP('Données projet'!$B$9,Paramètres!$A$1:$I$89,5,0)</f>
        <v>237.35815999999997</v>
      </c>
      <c r="P60" s="13">
        <f t="shared" si="33"/>
        <v>57.870760090028412</v>
      </c>
      <c r="Q60" s="20">
        <f t="shared" si="53"/>
        <v>514.19036915679942</v>
      </c>
      <c r="R60" s="59">
        <f t="shared" si="0"/>
        <v>807.52370249013279</v>
      </c>
      <c r="S60" s="59">
        <f ca="1">AVERAGE(OFFSET($R$3,0,0,'Données projet'!$E$9+1,1))-AVERAGE(OFFSET($H$3,0,0,'Données projet'!$E$9+1,1))</f>
        <v>300.80663531652721</v>
      </c>
      <c r="T60" s="59">
        <f t="shared" si="34"/>
        <v>306.01967513533549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31.054464919411181</v>
      </c>
      <c r="AA60" s="21">
        <f>EXP(-LN(2)/25)*AA59+(1-EXP(-LN(2)/25))/(LN(2)/25)*Calculateur!V60*Calculateur!X60*VLOOKUP('Données projet'!$B$9,Paramètres!$A$1:$I$89,3,0)*0.475*44/12</f>
        <v>42.545814726711285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73.600279646122459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14.12</v>
      </c>
      <c r="AI60" s="13">
        <f>IF('Données projet'!$A$62&gt;35,AI59+AH60-AQ59,IF(A60&lt;'Données projet'!$A$62,$AF$205^A60,IF(A60='Données projet'!$A$62,'Données projet'!$B$62,AI59+AH60-AQ59)))</f>
        <v>398.58000000000021</v>
      </c>
      <c r="AJ60" s="13">
        <f>AI60*VLOOKUP('Données projet'!$B$10,Paramètres!$A$1:$I$89,3,0)*VLOOKUP('Données projet'!$B$10,Paramètres!$A$1:$I$89,5,0)</f>
        <v>238.35084000000015</v>
      </c>
      <c r="AK60" s="13">
        <f t="shared" si="35"/>
        <v>58.084563408326787</v>
      </c>
      <c r="AL60" s="20">
        <f t="shared" si="4"/>
        <v>516.29166093616936</v>
      </c>
      <c r="AM60" s="59">
        <f t="shared" si="5"/>
        <v>809.62499426950262</v>
      </c>
      <c r="AN60" s="59">
        <f ca="1">AVERAGE(OFFSET($AM$3,0,0,'Données projet'!$E$10+1,1))-AVERAGE(OFFSET($H$3,0,0,'Données projet'!$E$10+1,1))</f>
        <v>349.5718186624772</v>
      </c>
      <c r="AO60" s="59">
        <f t="shared" si="36"/>
        <v>258.14152930815959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25.935441176463701</v>
      </c>
      <c r="AV60" s="21">
        <f>EXP(-LN(2)/25)*AV59+(1-EXP(-LN(2)/25))/(LN(2)/25)*Calculateur!AQ60*Calculateur!AS60*VLOOKUP('Données projet'!$B$10,Paramètres!$A$1:$I$89,3,0)*0.475*44/12</f>
        <v>29.338110627628524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55.273551804092222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14.12</v>
      </c>
      <c r="BD60" s="12">
        <f>IF('Données projet'!$A$88&gt;35,BD59+BC60-BL59,IF(A60&lt;'Données projet'!$A$88,$BA$205^A60,IF(A60='Données projet'!$A$88,'Données projet'!$B$88,BD59+BC60-BL59)))</f>
        <v>398.58000000000021</v>
      </c>
      <c r="BE60" s="13">
        <f>BD60*VLOOKUP('Données projet'!$B$11,Paramètres!$A$1:$I$89,3,0)*VLOOKUP('Données projet'!$B$11,Paramètres!$A$1:$I$89,5,0)</f>
        <v>238.35084000000015</v>
      </c>
      <c r="BF60" s="13">
        <f t="shared" si="37"/>
        <v>58.084563408326787</v>
      </c>
      <c r="BG60" s="20">
        <f t="shared" si="7"/>
        <v>516.29166093616936</v>
      </c>
      <c r="BH60" s="59">
        <f t="shared" si="8"/>
        <v>809.62499426950262</v>
      </c>
      <c r="BI60" s="59">
        <f ca="1">AVERAGE(OFFSET($BH$3,0,0,'Données projet'!$E$11+1,1))-AVERAGE(OFFSET($H$3,0,0,'Données projet'!$E$11+1,1))</f>
        <v>349.5718186624772</v>
      </c>
      <c r="BJ60" s="59">
        <f t="shared" si="38"/>
        <v>258.14152930815959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25.935441176463701</v>
      </c>
      <c r="BQ60" s="21">
        <f>EXP(-LN(2)/25)*BQ59+(1-EXP(-LN(2)/25))/(LN(2)/25)*Calculateur!BL60*Calculateur!BN60*VLOOKUP('Données projet'!$B$11,Paramètres!$A$1:$I$89,3,0)*0.475*44/12</f>
        <v>29.338110627628524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55.273551804092222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16.595714285714287</v>
      </c>
      <c r="BY60" s="12">
        <f>IF('Données projet'!$A$114&gt;35,BY59+BX60-CG59,IF(A60&lt;'Données projet'!$A$114,$BV$205^A60,IF(A60='Données projet'!$A$114,'Données projet'!$B$114,BY59+BX60-CG59)))</f>
        <v>316.9157142857141</v>
      </c>
      <c r="BZ60" s="13">
        <f>BY60*VLOOKUP('Données projet'!$B$12,Paramètres!$A$1:$I$89,3,0)*VLOOKUP('Données projet'!$B$12,Paramètres!$A$1:$I$89,5,0)</f>
        <v>148.3165542857142</v>
      </c>
      <c r="CA60" s="13">
        <f t="shared" si="39"/>
        <v>38.195765606294593</v>
      </c>
      <c r="CB60" s="20">
        <f t="shared" si="10"/>
        <v>324.84229047858202</v>
      </c>
      <c r="CC60" s="59">
        <f t="shared" si="11"/>
        <v>618.17562381191533</v>
      </c>
      <c r="CD60" s="59">
        <f ca="1">AVERAGE(OFFSET($CC$3,0,0,'Données projet'!$E$12+1,1))-AVERAGE(OFFSET($H$3,0,0,'Données projet'!$E$12+1,1))</f>
        <v>356.22620301934836</v>
      </c>
      <c r="CE60" s="59">
        <f t="shared" si="40"/>
        <v>342.25495410715513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56.334758670708638</v>
      </c>
      <c r="CL60" s="21">
        <f>EXP(-LN(2)/25)*CL59+(1-EXP(-LN(2)/25))/(LN(2)/25)*Calculateur!CG60*Calculateur!CI60*VLOOKUP('Données projet'!$B$12,Paramètres!$A$1:$I$89,3,0)*0.475*44/12</f>
        <v>41.986831516997626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98.321590187706263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8.757142857142858</v>
      </c>
      <c r="CT60" s="12">
        <f>IF('Données projet'!$A$140&gt;35,CT59+CS60-DB59,IF(A60&lt;'Données projet'!$A$140,$CQ$205^A60,IF(A60='Données projet'!$A$140,'Données projet'!$B$140,CT59+CS60-DB59)))</f>
        <v>165.06571428571434</v>
      </c>
      <c r="CU60" s="17">
        <f>CT60*VLOOKUP('Données projet'!$B$13,Paramètres!$A$1:$I$89,3,0)*VLOOKUP('Données projet'!$B$13,Paramètres!$A$1:$I$89,5,0)</f>
        <v>187.97683542857149</v>
      </c>
      <c r="CV60" s="13">
        <f t="shared" si="41"/>
        <v>47.092381585519547</v>
      </c>
      <c r="CW60" s="20">
        <f t="shared" si="13"/>
        <v>409.41221963287518</v>
      </c>
      <c r="CX60" s="59">
        <f t="shared" si="14"/>
        <v>702.74555296620849</v>
      </c>
      <c r="CY60" s="59">
        <f ca="1">AVERAGE(OFFSET($CX$3,0,0,'Données projet'!$E$13+1,1))-AVERAGE(OFFSET($H$3,0,0,'Données projet'!$E$13+1,1))</f>
        <v>473.48875234867705</v>
      </c>
      <c r="CZ60" s="59">
        <f t="shared" si="42"/>
        <v>322.74347070996379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11.025188859263176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11.025188859263176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13.14</v>
      </c>
      <c r="N61" s="13">
        <f>IF('Données projet'!$A$36&gt;35,N60+M61-V60,IF(A61&lt;'Données projet'!$A$36,$K$205^A61,IF(A61='Données projet'!$A$36,'Données projet'!$B$36,N60+M61-V60)))</f>
        <v>410.05999999999989</v>
      </c>
      <c r="O61" s="13">
        <f>N61*VLOOKUP('Données projet'!$B$9,Paramètres!$A$1:$I$89,3,0)*VLOOKUP('Données projet'!$B$9,Paramètres!$A$1:$I$89,5,0)</f>
        <v>245.21587999999994</v>
      </c>
      <c r="P61" s="13">
        <f t="shared" si="33"/>
        <v>59.560344378839609</v>
      </c>
      <c r="Q61" s="20">
        <f t="shared" si="53"/>
        <v>530.81859079314563</v>
      </c>
      <c r="R61" s="59">
        <f t="shared" si="0"/>
        <v>824.15192412647889</v>
      </c>
      <c r="S61" s="59">
        <f ca="1">AVERAGE(OFFSET($R$3,0,0,'Données projet'!$E$9+1,1))-AVERAGE(OFFSET($H$3,0,0,'Données projet'!$E$9+1,1))</f>
        <v>300.80663531652721</v>
      </c>
      <c r="T61" s="59">
        <f t="shared" si="34"/>
        <v>306.01967513533549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30.445505803694825</v>
      </c>
      <c r="AA61" s="21">
        <f>EXP(-LN(2)/25)*AA60+(1-EXP(-LN(2)/25))/(LN(2)/25)*Calculateur!V61*Calculateur!X61*VLOOKUP('Données projet'!$B$9,Paramètres!$A$1:$I$89,3,0)*0.475*44/12</f>
        <v>41.38239718562221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71.827902989317039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14.12</v>
      </c>
      <c r="AI61" s="13">
        <f>IF('Données projet'!$A$62&gt;35,AI60+AH61-AQ60,IF(A61&lt;'Données projet'!$A$62,$AF$205^A61,IF(A61='Données projet'!$A$62,'Données projet'!$B$62,AI60+AH61-AQ60)))</f>
        <v>412.70000000000022</v>
      </c>
      <c r="AJ61" s="13">
        <f>AI61*VLOOKUP('Données projet'!$B$10,Paramètres!$A$1:$I$89,3,0)*VLOOKUP('Données projet'!$B$10,Paramètres!$A$1:$I$89,5,0)</f>
        <v>246.79460000000014</v>
      </c>
      <c r="AK61" s="13">
        <f t="shared" si="35"/>
        <v>59.899038030532552</v>
      </c>
      <c r="AL61" s="20">
        <f t="shared" si="4"/>
        <v>534.15808623651117</v>
      </c>
      <c r="AM61" s="59">
        <f t="shared" si="5"/>
        <v>827.49141956984454</v>
      </c>
      <c r="AN61" s="59">
        <f ca="1">AVERAGE(OFFSET($AM$3,0,0,'Données projet'!$E$10+1,1))-AVERAGE(OFFSET($H$3,0,0,'Données projet'!$E$10+1,1))</f>
        <v>349.5718186624772</v>
      </c>
      <c r="AO61" s="59">
        <f t="shared" si="36"/>
        <v>258.14152930815959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25.426862994050364</v>
      </c>
      <c r="AV61" s="21">
        <f>EXP(-LN(2)/25)*AV60+(1-EXP(-LN(2)/25))/(LN(2)/25)*Calculateur!AQ61*Calculateur!AS61*VLOOKUP('Données projet'!$B$10,Paramètres!$A$1:$I$89,3,0)*0.475*44/12</f>
        <v>28.535858449691837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53.962721443742197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14.12</v>
      </c>
      <c r="BD61" s="12">
        <f>IF('Données projet'!$A$88&gt;35,BD60+BC61-BL60,IF(A61&lt;'Données projet'!$A$88,$BA$205^A61,IF(A61='Données projet'!$A$88,'Données projet'!$B$88,BD60+BC61-BL60)))</f>
        <v>412.70000000000022</v>
      </c>
      <c r="BE61" s="13">
        <f>BD61*VLOOKUP('Données projet'!$B$11,Paramètres!$A$1:$I$89,3,0)*VLOOKUP('Données projet'!$B$11,Paramètres!$A$1:$I$89,5,0)</f>
        <v>246.79460000000014</v>
      </c>
      <c r="BF61" s="13">
        <f t="shared" si="37"/>
        <v>59.899038030532552</v>
      </c>
      <c r="BG61" s="20">
        <f t="shared" si="7"/>
        <v>534.15808623651117</v>
      </c>
      <c r="BH61" s="59">
        <f t="shared" si="8"/>
        <v>827.49141956984454</v>
      </c>
      <c r="BI61" s="59">
        <f ca="1">AVERAGE(OFFSET($BH$3,0,0,'Données projet'!$E$11+1,1))-AVERAGE(OFFSET($H$3,0,0,'Données projet'!$E$11+1,1))</f>
        <v>349.5718186624772</v>
      </c>
      <c r="BJ61" s="59">
        <f t="shared" si="38"/>
        <v>258.14152930815959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25.426862994050364</v>
      </c>
      <c r="BQ61" s="21">
        <f>EXP(-LN(2)/25)*BQ60+(1-EXP(-LN(2)/25))/(LN(2)/25)*Calculateur!BL61*Calculateur!BN61*VLOOKUP('Données projet'!$B$11,Paramètres!$A$1:$I$89,3,0)*0.475*44/12</f>
        <v>28.535858449691837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53.962721443742197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16.595714285714287</v>
      </c>
      <c r="BY61" s="12">
        <f>IF('Données projet'!$A$114&gt;35,BY60+BX61-CG60,IF(A61&lt;'Données projet'!$A$114,$BV$205^A61,IF(A61='Données projet'!$A$114,'Données projet'!$B$114,BY60+BX61-CG60)))</f>
        <v>333.51142857142838</v>
      </c>
      <c r="BZ61" s="13">
        <f>BY61*VLOOKUP('Données projet'!$B$12,Paramètres!$A$1:$I$89,3,0)*VLOOKUP('Données projet'!$B$12,Paramètres!$A$1:$I$89,5,0)</f>
        <v>156.08334857142847</v>
      </c>
      <c r="CA61" s="13">
        <f t="shared" si="39"/>
        <v>39.957833547833964</v>
      </c>
      <c r="CB61" s="20">
        <f t="shared" si="10"/>
        <v>341.43839219104871</v>
      </c>
      <c r="CC61" s="59">
        <f t="shared" si="11"/>
        <v>634.77172552438196</v>
      </c>
      <c r="CD61" s="59">
        <f ca="1">AVERAGE(OFFSET($CC$3,0,0,'Données projet'!$E$12+1,1))-AVERAGE(OFFSET($H$3,0,0,'Données projet'!$E$12+1,1))</f>
        <v>356.22620301934836</v>
      </c>
      <c r="CE61" s="59">
        <f t="shared" si="40"/>
        <v>342.25495410715513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55.230068413985983</v>
      </c>
      <c r="CL61" s="21">
        <f>EXP(-LN(2)/25)*CL60+(1-EXP(-LN(2)/25))/(LN(2)/25)*Calculateur!CG61*Calculateur!CI61*VLOOKUP('Données projet'!$B$12,Paramètres!$A$1:$I$89,3,0)*0.475*44/12</f>
        <v>40.83869940117382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96.068767815159802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8.757142857142858</v>
      </c>
      <c r="CT61" s="12">
        <f>IF('Données projet'!$A$140&gt;35,CT60+CS61-DB60,IF(A61&lt;'Données projet'!$A$140,$CQ$205^A61,IF(A61='Données projet'!$A$140,'Données projet'!$B$140,CT60+CS61-DB60)))</f>
        <v>173.8228571428572</v>
      </c>
      <c r="CU61" s="17">
        <f>CT61*VLOOKUP('Données projet'!$B$13,Paramètres!$A$1:$I$89,3,0)*VLOOKUP('Données projet'!$B$13,Paramètres!$A$1:$I$89,5,0)</f>
        <v>197.94946971428578</v>
      </c>
      <c r="CV61" s="13">
        <f t="shared" si="41"/>
        <v>49.2932532988928</v>
      </c>
      <c r="CW61" s="20">
        <f t="shared" si="13"/>
        <v>430.61440924795266</v>
      </c>
      <c r="CX61" s="59">
        <f t="shared" si="14"/>
        <v>723.94774258128598</v>
      </c>
      <c r="CY61" s="59">
        <f ca="1">AVERAGE(OFFSET($CX$3,0,0,'Données projet'!$E$13+1,1))-AVERAGE(OFFSET($H$3,0,0,'Données projet'!$E$13+1,1))</f>
        <v>473.48875234867705</v>
      </c>
      <c r="CZ61" s="59">
        <f t="shared" si="42"/>
        <v>322.74347070996379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10.808991630434221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10.808991630434221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13.14</v>
      </c>
      <c r="N62" s="13">
        <f>IF('Données projet'!$A$36&gt;35,N61+M62-V61,IF(A62&lt;'Données projet'!$A$36,$K$205^A62,IF(A62='Données projet'!$A$36,'Données projet'!$B$36,N61+M62-V61)))</f>
        <v>423.19999999999987</v>
      </c>
      <c r="O62" s="13">
        <f>N62*VLOOKUP('Données projet'!$B$9,Paramètres!$A$1:$I$89,3,0)*VLOOKUP('Données projet'!$B$9,Paramètres!$A$1:$I$89,5,0)</f>
        <v>253.07359999999994</v>
      </c>
      <c r="P62" s="13">
        <f t="shared" si="33"/>
        <v>61.243637233758619</v>
      </c>
      <c r="Q62" s="20">
        <f t="shared" si="53"/>
        <v>547.43585484879611</v>
      </c>
      <c r="R62" s="59">
        <f t="shared" si="0"/>
        <v>840.76918818212948</v>
      </c>
      <c r="S62" s="59">
        <f ca="1">AVERAGE(OFFSET($R$3,0,0,'Données projet'!$E$9+1,1))-AVERAGE(OFFSET($H$3,0,0,'Données projet'!$E$9+1,1))</f>
        <v>300.80663531652721</v>
      </c>
      <c r="T62" s="59">
        <f t="shared" si="34"/>
        <v>306.01967513533549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29.848488004809283</v>
      </c>
      <c r="AA62" s="21">
        <f>EXP(-LN(2)/25)*AA61+(1-EXP(-LN(2)/25))/(LN(2)/25)*Calculateur!V62*Calculateur!X62*VLOOKUP('Données projet'!$B$9,Paramètres!$A$1:$I$89,3,0)*0.475*44/12</f>
        <v>40.250793358375681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70.099281363184957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14.12</v>
      </c>
      <c r="AI62" s="13">
        <f>IF('Données projet'!$A$62&gt;35,AI61+AH62-AQ61,IF(A62&lt;'Données projet'!$A$62,$AF$205^A62,IF(A62='Données projet'!$A$62,'Données projet'!$B$62,AI61+AH62-AQ61)))</f>
        <v>426.82000000000022</v>
      </c>
      <c r="AJ62" s="13">
        <f>AI62*VLOOKUP('Données projet'!$B$10,Paramètres!$A$1:$I$89,3,0)*VLOOKUP('Données projet'!$B$10,Paramètres!$A$1:$I$89,5,0)</f>
        <v>255.23836000000014</v>
      </c>
      <c r="AK62" s="13">
        <f t="shared" si="35"/>
        <v>61.706299433596136</v>
      </c>
      <c r="AL62" s="20">
        <f t="shared" si="4"/>
        <v>552.0119485135134</v>
      </c>
      <c r="AM62" s="59">
        <f t="shared" si="5"/>
        <v>845.34528184684677</v>
      </c>
      <c r="AN62" s="59">
        <f ca="1">AVERAGE(OFFSET($AM$3,0,0,'Données projet'!$E$10+1,1))-AVERAGE(OFFSET($H$3,0,0,'Données projet'!$E$10+1,1))</f>
        <v>349.5718186624772</v>
      </c>
      <c r="AO62" s="59">
        <f t="shared" si="36"/>
        <v>258.14152930815959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24.928257719592089</v>
      </c>
      <c r="AV62" s="21">
        <f>EXP(-LN(2)/25)*AV61+(1-EXP(-LN(2)/25))/(LN(2)/25)*Calculateur!AQ62*Calculateur!AS62*VLOOKUP('Données projet'!$B$10,Paramètres!$A$1:$I$89,3,0)*0.475*44/12</f>
        <v>27.755543899749437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52.683801619341523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14.12</v>
      </c>
      <c r="BD62" s="12">
        <f>IF('Données projet'!$A$88&gt;35,BD61+BC62-BL61,IF(A62&lt;'Données projet'!$A$88,$BA$205^A62,IF(A62='Données projet'!$A$88,'Données projet'!$B$88,BD61+BC62-BL61)))</f>
        <v>426.82000000000022</v>
      </c>
      <c r="BE62" s="13">
        <f>BD62*VLOOKUP('Données projet'!$B$11,Paramètres!$A$1:$I$89,3,0)*VLOOKUP('Données projet'!$B$11,Paramètres!$A$1:$I$89,5,0)</f>
        <v>255.23836000000014</v>
      </c>
      <c r="BF62" s="13">
        <f t="shared" si="37"/>
        <v>61.706299433596136</v>
      </c>
      <c r="BG62" s="20">
        <f t="shared" si="7"/>
        <v>552.0119485135134</v>
      </c>
      <c r="BH62" s="59">
        <f t="shared" si="8"/>
        <v>845.34528184684677</v>
      </c>
      <c r="BI62" s="59">
        <f ca="1">AVERAGE(OFFSET($BH$3,0,0,'Données projet'!$E$11+1,1))-AVERAGE(OFFSET($H$3,0,0,'Données projet'!$E$11+1,1))</f>
        <v>349.5718186624772</v>
      </c>
      <c r="BJ62" s="59">
        <f t="shared" si="38"/>
        <v>258.14152930815959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24.928257719592089</v>
      </c>
      <c r="BQ62" s="21">
        <f>EXP(-LN(2)/25)*BQ61+(1-EXP(-LN(2)/25))/(LN(2)/25)*Calculateur!BL62*Calculateur!BN62*VLOOKUP('Données projet'!$B$11,Paramètres!$A$1:$I$89,3,0)*0.475*44/12</f>
        <v>27.755543899749437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52.683801619341523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16.595714285714287</v>
      </c>
      <c r="BY62" s="12">
        <f>IF('Données projet'!$A$114&gt;35,BY61+BX62-CG61,IF(A62&lt;'Données projet'!$A$114,$BV$205^A62,IF(A62='Données projet'!$A$114,'Données projet'!$B$114,BY61+BX62-CG61)))</f>
        <v>350.10714285714266</v>
      </c>
      <c r="BZ62" s="13">
        <f>BY62*VLOOKUP('Données projet'!$B$12,Paramètres!$A$1:$I$89,3,0)*VLOOKUP('Données projet'!$B$12,Paramètres!$A$1:$I$89,5,0)</f>
        <v>163.85014285714277</v>
      </c>
      <c r="CA62" s="13">
        <f t="shared" si="39"/>
        <v>41.709720429643745</v>
      </c>
      <c r="CB62" s="20">
        <f t="shared" si="10"/>
        <v>358.01676189115318</v>
      </c>
      <c r="CC62" s="59">
        <f t="shared" si="11"/>
        <v>651.35009522448649</v>
      </c>
      <c r="CD62" s="59">
        <f ca="1">AVERAGE(OFFSET($CC$3,0,0,'Données projet'!$E$12+1,1))-AVERAGE(OFFSET($H$3,0,0,'Données projet'!$E$12+1,1))</f>
        <v>356.22620301934836</v>
      </c>
      <c r="CE62" s="59">
        <f t="shared" si="40"/>
        <v>342.25495410715513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54.147040459403136</v>
      </c>
      <c r="CL62" s="21">
        <f>EXP(-LN(2)/25)*CL61+(1-EXP(-LN(2)/25))/(LN(2)/25)*Calculateur!CG62*Calculateur!CI62*VLOOKUP('Données projet'!$B$12,Paramètres!$A$1:$I$89,3,0)*0.475*44/12</f>
        <v>39.721963018434856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93.869003477837992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182.58</v>
      </c>
      <c r="CR62" s="12">
        <f>VLOOKUP(A62,'Données projet'!$A$139:$I$159,9,0)</f>
        <v>8.757142857142858</v>
      </c>
      <c r="CS62" s="12">
        <f t="array" ref="CS62">INDEX(CR:CR,MIN(IF(ISNUMBER(CR62:CR258),ROW(CR62:CR258),"")))</f>
        <v>8.757142857142858</v>
      </c>
      <c r="CT62" s="12">
        <f>IF('Données projet'!$A$140&gt;35,CT61+CS62-DB61,IF(A62&lt;'Données projet'!$A$140,$CQ$205^A62,IF(A62='Données projet'!$A$140,'Données projet'!$B$140,CT61+CS62-DB61)))</f>
        <v>182.58000000000007</v>
      </c>
      <c r="CU62" s="17">
        <f>CT62*VLOOKUP('Données projet'!$B$13,Paramètres!$A$1:$I$89,3,0)*VLOOKUP('Données projet'!$B$13,Paramètres!$A$1:$I$89,5,0)</f>
        <v>207.9221040000001</v>
      </c>
      <c r="CV62" s="13">
        <f t="shared" si="41"/>
        <v>51.481250686689272</v>
      </c>
      <c r="CW62" s="20">
        <f t="shared" si="13"/>
        <v>451.79417607931731</v>
      </c>
      <c r="CX62" s="59">
        <f t="shared" si="14"/>
        <v>745.12750941265062</v>
      </c>
      <c r="CY62" s="59">
        <f ca="1">AVERAGE(OFFSET($CX$3,0,0,'Données projet'!$E$13+1,1))-AVERAGE(OFFSET($H$3,0,0,'Données projet'!$E$13+1,1))</f>
        <v>473.48875234867705</v>
      </c>
      <c r="CZ62" s="59">
        <f t="shared" si="42"/>
        <v>322.74347070996379</v>
      </c>
      <c r="DA62" s="15">
        <f>IF(ISNA(VLOOKUP(A62,'Données projet'!$A$139:$I$159,3,0)),0,VLOOKUP(A62,'Données projet'!$A$139:$I$159,3,0))</f>
        <v>4</v>
      </c>
      <c r="DB62" s="15">
        <f>IF(ISNA(VLOOKUP(A62,'Données projet'!$A$139:$I$159,4,0)),0,VLOOKUP(A62,'Données projet'!$A$139:$I$159,4,0))</f>
        <v>38.119999999999997</v>
      </c>
      <c r="DC62" s="16">
        <f>IF(ISNA(VLOOKUP(A62,'Données projet'!$A$139:$I$159,5,0)),0%,VLOOKUP(A62,'Données projet'!$A$139:$I$159,5,0)*VLOOKUP('Données projet'!$B$13,Paramètres!$A$1:$I$89,7,0))</f>
        <v>0.129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16.787697012635064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16.787697012635064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436.34</v>
      </c>
      <c r="L63" s="12">
        <f>VLOOKUP(A63,'Données projet'!$A$35:$I$55,9,0)</f>
        <v>13.14</v>
      </c>
      <c r="M63" s="12">
        <f t="array" ref="M63">INDEX(L:L,MIN(IF(ISNUMBER(L63:L259),ROW(L63:L259),"")))</f>
        <v>13.14</v>
      </c>
      <c r="N63" s="13">
        <f>IF('Données projet'!$A$36&gt;35,N62+M63-V62,IF(A63&lt;'Données projet'!$A$36,$K$205^A63,IF(A63='Données projet'!$A$36,'Données projet'!$B$36,N62+M63-V62)))</f>
        <v>436.33999999999986</v>
      </c>
      <c r="O63" s="13">
        <f>N63*VLOOKUP('Données projet'!$B$9,Paramètres!$A$1:$I$89,3,0)*VLOOKUP('Données projet'!$B$9,Paramètres!$A$1:$I$89,5,0)</f>
        <v>260.93131999999991</v>
      </c>
      <c r="P63" s="13">
        <f t="shared" si="33"/>
        <v>62.92085641383472</v>
      </c>
      <c r="Q63" s="20">
        <f t="shared" si="53"/>
        <v>564.04254058742856</v>
      </c>
      <c r="R63" s="59">
        <f t="shared" si="0"/>
        <v>857.37587392076193</v>
      </c>
      <c r="S63" s="59">
        <f ca="1">AVERAGE(OFFSET($R$3,0,0,'Données projet'!$E$9+1,1))-AVERAGE(OFFSET($H$3,0,0,'Données projet'!$E$9+1,1))</f>
        <v>300.80663531652721</v>
      </c>
      <c r="T63" s="59">
        <f t="shared" si="34"/>
        <v>306.01967513533549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436.34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138.2979749040349</v>
      </c>
      <c r="AA63" s="21">
        <f>EXP(-LN(2)/25)*AA62+(1-EXP(-LN(2)/25))/(LN(2)/25)*Calculateur!V63*Calculateur!X63*VLOOKUP('Données projet'!$B$9,Paramètres!$A$1:$I$89,3,0)*0.475*44/12</f>
        <v>85.695341582912519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223.99331648694744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14.12</v>
      </c>
      <c r="AH63" s="12">
        <f t="array" ref="AH63">INDEX(AG:AG,MIN(IF(ISNUMBER(AG63:AG259),ROW(AG63:AG259),"")))</f>
        <v>14.12</v>
      </c>
      <c r="AI63" s="13">
        <f>IF('Données projet'!$A$62&gt;35,AI62+AH63-AQ62,IF(A63&lt;'Données projet'!$A$62,$AF$205^A63,IF(A63='Données projet'!$A$62,'Données projet'!$B$62,AI62+AH63-AQ62)))</f>
        <v>440.94000000000023</v>
      </c>
      <c r="AJ63" s="13">
        <f>AI63*VLOOKUP('Données projet'!$B$10,Paramètres!$A$1:$I$89,3,0)*VLOOKUP('Données projet'!$B$10,Paramètres!$A$1:$I$89,5,0)</f>
        <v>263.68212000000017</v>
      </c>
      <c r="AK63" s="13">
        <f t="shared" si="35"/>
        <v>63.506613606650063</v>
      </c>
      <c r="AL63" s="20">
        <f t="shared" si="4"/>
        <v>569.85371103158241</v>
      </c>
      <c r="AM63" s="59">
        <f t="shared" si="5"/>
        <v>863.18704436491566</v>
      </c>
      <c r="AN63" s="59">
        <f ca="1">AVERAGE(OFFSET($AM$3,0,0,'Données projet'!$E$10+1,1))-AVERAGE(OFFSET($H$3,0,0,'Données projet'!$E$10+1,1))</f>
        <v>349.5718186624772</v>
      </c>
      <c r="AO63" s="59">
        <f t="shared" si="36"/>
        <v>258.14152930815959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69.849999999999994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41.893893301456316</v>
      </c>
      <c r="AV63" s="21">
        <f>EXP(-LN(2)/25)*AV62+(1-EXP(-LN(2)/25))/(LN(2)/25)*Calculateur!AQ63*Calculateur!AS63*VLOOKUP('Données projet'!$B$10,Paramètres!$A$1:$I$89,3,0)*0.475*44/12</f>
        <v>34.447597936850762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76.341491238307071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440.94</v>
      </c>
      <c r="BB63" s="12">
        <f>VLOOKUP(A63,'Données projet'!$A$87:$I$107,9,0)</f>
        <v>14.12</v>
      </c>
      <c r="BC63" s="12">
        <f t="array" ref="BC63">INDEX(BB:BB,MIN(IF(ISNUMBER(BB63:BB259),ROW(BB63:BB259),"")))</f>
        <v>14.12</v>
      </c>
      <c r="BD63" s="12">
        <f>IF('Données projet'!$A$88&gt;35,BD62+BC63-BL62,IF(A63&lt;'Données projet'!$A$88,$BA$205^A63,IF(A63='Données projet'!$A$88,'Données projet'!$B$88,BD62+BC63-BL62)))</f>
        <v>440.94000000000023</v>
      </c>
      <c r="BE63" s="13">
        <f>BD63*VLOOKUP('Données projet'!$B$11,Paramètres!$A$1:$I$89,3,0)*VLOOKUP('Données projet'!$B$11,Paramètres!$A$1:$I$89,5,0)</f>
        <v>263.68212000000017</v>
      </c>
      <c r="BF63" s="13">
        <f t="shared" si="37"/>
        <v>63.506613606650063</v>
      </c>
      <c r="BG63" s="20">
        <f t="shared" si="7"/>
        <v>569.85371103158241</v>
      </c>
      <c r="BH63" s="59">
        <f t="shared" si="8"/>
        <v>863.18704436491566</v>
      </c>
      <c r="BI63" s="59">
        <f ca="1">AVERAGE(OFFSET($BH$3,0,0,'Données projet'!$E$11+1,1))-AVERAGE(OFFSET($H$3,0,0,'Données projet'!$E$11+1,1))</f>
        <v>349.5718186624772</v>
      </c>
      <c r="BJ63" s="59">
        <f t="shared" si="38"/>
        <v>258.14152930815959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69.849999999999994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0.13500000000000001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41.893893301456316</v>
      </c>
      <c r="BQ63" s="21">
        <f>EXP(-LN(2)/25)*BQ62+(1-EXP(-LN(2)/25))/(LN(2)/25)*Calculateur!BL63*Calculateur!BN63*VLOOKUP('Données projet'!$B$11,Paramètres!$A$1:$I$89,3,0)*0.475*44/12</f>
        <v>34.447597936850762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76.341491238307071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16.595714285714287</v>
      </c>
      <c r="BY63" s="12">
        <f>IF('Données projet'!$A$114&gt;35,BY62+BX63-CG62,IF(A63&lt;'Données projet'!$A$114,$BV$205^A63,IF(A63='Données projet'!$A$114,'Données projet'!$B$114,BY62+BX63-CG62)))</f>
        <v>366.70285714285694</v>
      </c>
      <c r="BZ63" s="13">
        <f>BY63*VLOOKUP('Données projet'!$B$12,Paramètres!$A$1:$I$89,3,0)*VLOOKUP('Données projet'!$B$12,Paramètres!$A$1:$I$89,5,0)</f>
        <v>171.61693714285704</v>
      </c>
      <c r="CA63" s="13">
        <f t="shared" si="39"/>
        <v>43.45196395541258</v>
      </c>
      <c r="CB63" s="20">
        <f t="shared" si="10"/>
        <v>374.57833607948623</v>
      </c>
      <c r="CC63" s="59">
        <f t="shared" si="11"/>
        <v>667.91166941281949</v>
      </c>
      <c r="CD63" s="59">
        <f ca="1">AVERAGE(OFFSET($CC$3,0,0,'Données projet'!$E$12+1,1))-AVERAGE(OFFSET($H$3,0,0,'Données projet'!$E$12+1,1))</f>
        <v>356.22620301934836</v>
      </c>
      <c r="CE63" s="59">
        <f t="shared" si="40"/>
        <v>342.25495410715513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53.085250022427829</v>
      </c>
      <c r="CL63" s="21">
        <f>EXP(-LN(2)/25)*CL62+(1-EXP(-LN(2)/25))/(LN(2)/25)*Calculateur!CG63*Calculateur!CI63*VLOOKUP('Données projet'!$B$12,Paramètres!$A$1:$I$89,3,0)*0.475*44/12</f>
        <v>38.635763850808509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91.72101387323633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8.5500000000000007</v>
      </c>
      <c r="CT63" s="12">
        <f>IF('Données projet'!$A$140&gt;35,CT62+CS63-DB62,IF(A63&lt;'Données projet'!$A$140,$CQ$205^A63,IF(A63='Données projet'!$A$140,'Données projet'!$B$140,CT62+CS63-DB62)))</f>
        <v>153.01000000000008</v>
      </c>
      <c r="CU63" s="17">
        <f>CT63*VLOOKUP('Données projet'!$B$13,Paramètres!$A$1:$I$89,3,0)*VLOOKUP('Données projet'!$B$13,Paramètres!$A$1:$I$89,5,0)</f>
        <v>174.2477880000001</v>
      </c>
      <c r="CV63" s="13">
        <f t="shared" si="41"/>
        <v>44.040015975992617</v>
      </c>
      <c r="CW63" s="20">
        <f t="shared" si="13"/>
        <v>380.18459192485398</v>
      </c>
      <c r="CX63" s="59">
        <f t="shared" si="14"/>
        <v>673.51792525818723</v>
      </c>
      <c r="CY63" s="59">
        <f ca="1">AVERAGE(OFFSET($CX$3,0,0,'Données projet'!$E$13+1,1))-AVERAGE(OFFSET($H$3,0,0,'Données projet'!$E$13+1,1))</f>
        <v>473.48875234867705</v>
      </c>
      <c r="CZ63" s="59">
        <f t="shared" si="42"/>
        <v>322.74347070996379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16.458500513701402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16.458500513701402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300.80663531652721</v>
      </c>
      <c r="T64" s="59">
        <f t="shared" si="34"/>
        <v>306.01967513533549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135.58603596960225</v>
      </c>
      <c r="AA64" s="21">
        <f>EXP(-LN(2)/25)*AA63+(1-EXP(-LN(2)/25))/(LN(2)/25)*Calculateur!V64*Calculateur!X64*VLOOKUP('Données projet'!$B$9,Paramètres!$A$1:$I$89,3,0)*0.475*44/12</f>
        <v>83.351997960805619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218.93803393040787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382.98700000000019</v>
      </c>
      <c r="AJ64" s="13">
        <f>AI64*VLOOKUP('Données projet'!$B$10,Paramètres!$A$1:$I$89,3,0)*VLOOKUP('Données projet'!$B$10,Paramètres!$A$1:$I$89,5,0)</f>
        <v>229.02622600000012</v>
      </c>
      <c r="AK64" s="13">
        <f t="shared" si="35"/>
        <v>56.072076861881605</v>
      </c>
      <c r="AL64" s="20">
        <f t="shared" si="4"/>
        <v>496.54621081777736</v>
      </c>
      <c r="AM64" s="59">
        <f t="shared" si="5"/>
        <v>789.87954415111062</v>
      </c>
      <c r="AN64" s="59">
        <f ca="1">AVERAGE(OFFSET($AM$3,0,0,'Données projet'!$E$10+1,1))-AVERAGE(OFFSET($H$3,0,0,'Données projet'!$E$10+1,1))</f>
        <v>349.5718186624772</v>
      </c>
      <c r="AO64" s="59">
        <f t="shared" si="36"/>
        <v>258.14152930815959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41.07237960656655</v>
      </c>
      <c r="AV64" s="21">
        <f>EXP(-LN(2)/25)*AV63+(1-EXP(-LN(2)/25))/(LN(2)/25)*Calculateur!AQ64*Calculateur!AS64*VLOOKUP('Données projet'!$B$10,Paramètres!$A$1:$I$89,3,0)*0.475*44/12</f>
        <v>33.505626559747135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74.578006166313685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11.896999999999997</v>
      </c>
      <c r="BD64" s="12">
        <f>IF('Données projet'!$A$88&gt;35,BD63+BC64-BL63,IF(A64&lt;'Données projet'!$A$88,$BA$205^A64,IF(A64='Données projet'!$A$88,'Données projet'!$B$88,BD63+BC64-BL63)))</f>
        <v>382.98700000000019</v>
      </c>
      <c r="BE64" s="13">
        <f>BD64*VLOOKUP('Données projet'!$B$11,Paramètres!$A$1:$I$89,3,0)*VLOOKUP('Données projet'!$B$11,Paramètres!$A$1:$I$89,5,0)</f>
        <v>229.02622600000012</v>
      </c>
      <c r="BF64" s="13">
        <f t="shared" si="37"/>
        <v>56.072076861881605</v>
      </c>
      <c r="BG64" s="20">
        <f t="shared" si="7"/>
        <v>496.54621081777736</v>
      </c>
      <c r="BH64" s="59">
        <f t="shared" si="8"/>
        <v>789.87954415111062</v>
      </c>
      <c r="BI64" s="59">
        <f ca="1">AVERAGE(OFFSET($BH$3,0,0,'Données projet'!$E$11+1,1))-AVERAGE(OFFSET($H$3,0,0,'Données projet'!$E$11+1,1))</f>
        <v>349.5718186624772</v>
      </c>
      <c r="BJ64" s="59">
        <f t="shared" si="38"/>
        <v>258.14152930815959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41.07237960656655</v>
      </c>
      <c r="BQ64" s="21">
        <f>EXP(-LN(2)/25)*BQ63+(1-EXP(-LN(2)/25))/(LN(2)/25)*Calculateur!BL64*Calculateur!BN64*VLOOKUP('Données projet'!$B$11,Paramètres!$A$1:$I$89,3,0)*0.475*44/12</f>
        <v>33.505626559747135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74.578006166313685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16.595714285714287</v>
      </c>
      <c r="BY64" s="12">
        <f>IF('Données projet'!$A$114&gt;35,BY63+BX64-CG63,IF(A64&lt;'Données projet'!$A$114,$BV$205^A64,IF(A64='Données projet'!$A$114,'Données projet'!$B$114,BY63+BX64-CG63)))</f>
        <v>383.29857142857122</v>
      </c>
      <c r="BZ64" s="13">
        <f>BY64*VLOOKUP('Données projet'!$B$12,Paramètres!$A$1:$I$89,3,0)*VLOOKUP('Données projet'!$B$12,Paramètres!$A$1:$I$89,5,0)</f>
        <v>179.38373142857134</v>
      </c>
      <c r="CA64" s="13">
        <f t="shared" si="39"/>
        <v>45.185050408380668</v>
      </c>
      <c r="CB64" s="20">
        <f t="shared" si="10"/>
        <v>391.12396169935806</v>
      </c>
      <c r="CC64" s="59">
        <f t="shared" si="11"/>
        <v>684.45729503269138</v>
      </c>
      <c r="CD64" s="59">
        <f ca="1">AVERAGE(OFFSET($CC$3,0,0,'Données projet'!$E$12+1,1))-AVERAGE(OFFSET($H$3,0,0,'Données projet'!$E$12+1,1))</f>
        <v>356.22620301934836</v>
      </c>
      <c r="CE64" s="59">
        <f t="shared" si="40"/>
        <v>342.25495410715513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52.044280648293395</v>
      </c>
      <c r="CL64" s="21">
        <f>EXP(-LN(2)/25)*CL63+(1-EXP(-LN(2)/25))/(LN(2)/25)*Calculateur!CG64*Calculateur!CI64*VLOOKUP('Données projet'!$B$12,Paramètres!$A$1:$I$89,3,0)*0.475*44/12</f>
        <v>37.579266856541629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89.623547504835017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8.5500000000000007</v>
      </c>
      <c r="CT64" s="12">
        <f>IF('Données projet'!$A$140&gt;35,CT63+CS64-DB63,IF(A64&lt;'Données projet'!$A$140,$CQ$205^A64,IF(A64='Données projet'!$A$140,'Données projet'!$B$140,CT63+CS64-DB63)))</f>
        <v>161.56000000000009</v>
      </c>
      <c r="CU64" s="17">
        <f>CT64*VLOOKUP('Données projet'!$B$13,Paramètres!$A$1:$I$89,3,0)*VLOOKUP('Données projet'!$B$13,Paramètres!$A$1:$I$89,5,0)</f>
        <v>183.9845280000001</v>
      </c>
      <c r="CV64" s="13">
        <f t="shared" si="41"/>
        <v>46.207537450724736</v>
      </c>
      <c r="CW64" s="20">
        <f t="shared" si="13"/>
        <v>400.91784732667907</v>
      </c>
      <c r="CX64" s="59">
        <f t="shared" si="14"/>
        <v>694.25118066001232</v>
      </c>
      <c r="CY64" s="59">
        <f ca="1">AVERAGE(OFFSET($CX$3,0,0,'Données projet'!$E$13+1,1))-AVERAGE(OFFSET($H$3,0,0,'Données projet'!$E$13+1,1))</f>
        <v>473.48875234867705</v>
      </c>
      <c r="CZ64" s="59">
        <f t="shared" si="42"/>
        <v>322.74347070996379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16.135759357321792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16.135759357321792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300.80663531652721</v>
      </c>
      <c r="T65" s="59">
        <f t="shared" si="34"/>
        <v>306.01967513533549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132.92727650355442</v>
      </c>
      <c r="AA65" s="21">
        <f>EXP(-LN(2)/25)*AA64+(1-EXP(-LN(2)/25))/(LN(2)/25)*Calculateur!V65*Calculateur!X65*VLOOKUP('Données projet'!$B$9,Paramètres!$A$1:$I$89,3,0)*0.475*44/12</f>
        <v>81.072733193276321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214.00000969683074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394.88400000000019</v>
      </c>
      <c r="AJ65" s="13">
        <f>AI65*VLOOKUP('Données projet'!$B$10,Paramètres!$A$1:$I$89,3,0)*VLOOKUP('Données projet'!$B$10,Paramètres!$A$1:$I$89,5,0)</f>
        <v>236.14063200000015</v>
      </c>
      <c r="AK65" s="13">
        <f t="shared" si="35"/>
        <v>57.608386833134347</v>
      </c>
      <c r="AL65" s="20">
        <f t="shared" si="4"/>
        <v>511.61287446770933</v>
      </c>
      <c r="AM65" s="59">
        <f t="shared" si="5"/>
        <v>804.94620780104265</v>
      </c>
      <c r="AN65" s="59">
        <f ca="1">AVERAGE(OFFSET($AM$3,0,0,'Données projet'!$E$10+1,1))-AVERAGE(OFFSET($H$3,0,0,'Données projet'!$E$10+1,1))</f>
        <v>349.5718186624772</v>
      </c>
      <c r="AO65" s="59">
        <f t="shared" si="36"/>
        <v>258.14152930815959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40.266975294159693</v>
      </c>
      <c r="AV65" s="21">
        <f>EXP(-LN(2)/25)*AV64+(1-EXP(-LN(2)/25))/(LN(2)/25)*Calculateur!AQ65*Calculateur!AS65*VLOOKUP('Données projet'!$B$10,Paramètres!$A$1:$I$89,3,0)*0.475*44/12</f>
        <v>32.589413439486528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72.856388733646213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11.896999999999997</v>
      </c>
      <c r="BD65" s="12">
        <f>IF('Données projet'!$A$88&gt;35,BD64+BC65-BL64,IF(A65&lt;'Données projet'!$A$88,$BA$205^A65,IF(A65='Données projet'!$A$88,'Données projet'!$B$88,BD64+BC65-BL64)))</f>
        <v>394.88400000000019</v>
      </c>
      <c r="BE65" s="13">
        <f>BD65*VLOOKUP('Données projet'!$B$11,Paramètres!$A$1:$I$89,3,0)*VLOOKUP('Données projet'!$B$11,Paramètres!$A$1:$I$89,5,0)</f>
        <v>236.14063200000015</v>
      </c>
      <c r="BF65" s="13">
        <f t="shared" si="37"/>
        <v>57.608386833134347</v>
      </c>
      <c r="BG65" s="20">
        <f t="shared" si="7"/>
        <v>511.61287446770933</v>
      </c>
      <c r="BH65" s="59">
        <f t="shared" si="8"/>
        <v>804.94620780104265</v>
      </c>
      <c r="BI65" s="59">
        <f ca="1">AVERAGE(OFFSET($BH$3,0,0,'Données projet'!$E$11+1,1))-AVERAGE(OFFSET($H$3,0,0,'Données projet'!$E$11+1,1))</f>
        <v>349.5718186624772</v>
      </c>
      <c r="BJ65" s="59">
        <f t="shared" si="38"/>
        <v>258.14152930815959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40.266975294159693</v>
      </c>
      <c r="BQ65" s="21">
        <f>EXP(-LN(2)/25)*BQ64+(1-EXP(-LN(2)/25))/(LN(2)/25)*Calculateur!BL65*Calculateur!BN65*VLOOKUP('Données projet'!$B$11,Paramètres!$A$1:$I$89,3,0)*0.475*44/12</f>
        <v>32.589413439486528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72.856388733646213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16.595714285714287</v>
      </c>
      <c r="BY65" s="12">
        <f>IF('Données projet'!$A$114&gt;35,BY64+BX65-CG64,IF(A65&lt;'Données projet'!$A$114,$BV$205^A65,IF(A65='Données projet'!$A$114,'Données projet'!$B$114,BY64+BX65-CG64)))</f>
        <v>399.8942857142855</v>
      </c>
      <c r="BZ65" s="13">
        <f>BY65*VLOOKUP('Données projet'!$B$12,Paramètres!$A$1:$I$89,3,0)*VLOOKUP('Données projet'!$B$12,Paramètres!$A$1:$I$89,5,0)</f>
        <v>187.15052571428564</v>
      </c>
      <c r="CA65" s="13">
        <f t="shared" si="39"/>
        <v>46.909421581101313</v>
      </c>
      <c r="CB65" s="20">
        <f t="shared" si="10"/>
        <v>407.6544082061323</v>
      </c>
      <c r="CC65" s="59">
        <f t="shared" si="11"/>
        <v>700.98774153946556</v>
      </c>
      <c r="CD65" s="59">
        <f ca="1">AVERAGE(OFFSET($CC$3,0,0,'Données projet'!$E$12+1,1))-AVERAGE(OFFSET($H$3,0,0,'Données projet'!$E$12+1,1))</f>
        <v>356.22620301934836</v>
      </c>
      <c r="CE65" s="59">
        <f t="shared" si="40"/>
        <v>342.25495410715513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51.023724048657108</v>
      </c>
      <c r="CL65" s="21">
        <f>EXP(-LN(2)/25)*CL64+(1-EXP(-LN(2)/25))/(LN(2)/25)*Calculateur!CG65*Calculateur!CI65*VLOOKUP('Données projet'!$B$12,Paramètres!$A$1:$I$89,3,0)*0.475*44/12</f>
        <v>36.551659828141744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87.575383876798853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8.5500000000000007</v>
      </c>
      <c r="CT65" s="12">
        <f>IF('Données projet'!$A$140&gt;35,CT64+CS65-DB64,IF(A65&lt;'Données projet'!$A$140,$CQ$205^A65,IF(A65='Données projet'!$A$140,'Données projet'!$B$140,CT64+CS65-DB64)))</f>
        <v>170.1100000000001</v>
      </c>
      <c r="CU65" s="17">
        <f>CT65*VLOOKUP('Données projet'!$B$13,Paramètres!$A$1:$I$89,3,0)*VLOOKUP('Données projet'!$B$13,Paramètres!$A$1:$I$89,5,0)</f>
        <v>193.72126800000012</v>
      </c>
      <c r="CV65" s="13">
        <f t="shared" si="41"/>
        <v>48.361741331727551</v>
      </c>
      <c r="CW65" s="20">
        <f t="shared" si="13"/>
        <v>421.6279079194257</v>
      </c>
      <c r="CX65" s="59">
        <f t="shared" si="14"/>
        <v>714.96124125275901</v>
      </c>
      <c r="CY65" s="59">
        <f ca="1">AVERAGE(OFFSET($CX$3,0,0,'Données projet'!$E$13+1,1))-AVERAGE(OFFSET($H$3,0,0,'Données projet'!$E$13+1,1))</f>
        <v>473.48875234867705</v>
      </c>
      <c r="CZ65" s="59">
        <f t="shared" si="42"/>
        <v>322.74347070996379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15.819346958166118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15.819346958166118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300.80663531652721</v>
      </c>
      <c r="T66" s="59">
        <f t="shared" si="34"/>
        <v>306.01967513533549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130.32065368895263</v>
      </c>
      <c r="AA66" s="21">
        <f>EXP(-LN(2)/25)*AA65+(1-EXP(-LN(2)/25))/(LN(2)/25)*Calculateur!V66*Calculateur!X66*VLOOKUP('Données projet'!$B$9,Paramètres!$A$1:$I$89,3,0)*0.475*44/12</f>
        <v>78.855795040676441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209.17644872962907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406.78100000000018</v>
      </c>
      <c r="AJ66" s="13">
        <f>AI66*VLOOKUP('Données projet'!$B$10,Paramètres!$A$1:$I$89,3,0)*VLOOKUP('Données projet'!$B$10,Paramètres!$A$1:$I$89,5,0)</f>
        <v>243.25503800000013</v>
      </c>
      <c r="AK66" s="13">
        <f t="shared" si="35"/>
        <v>59.139317725784991</v>
      </c>
      <c r="AL66" s="20">
        <f t="shared" si="4"/>
        <v>526.6701695557424</v>
      </c>
      <c r="AM66" s="59">
        <f t="shared" si="5"/>
        <v>820.00350288907566</v>
      </c>
      <c r="AN66" s="59">
        <f ca="1">AVERAGE(OFFSET($AM$3,0,0,'Données projet'!$E$10+1,1))-AVERAGE(OFFSET($H$3,0,0,'Données projet'!$E$10+1,1))</f>
        <v>349.5718186624772</v>
      </c>
      <c r="AO66" s="59">
        <f t="shared" si="36"/>
        <v>258.14152930815959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39.477364469071013</v>
      </c>
      <c r="AV66" s="21">
        <f>EXP(-LN(2)/25)*AV65+(1-EXP(-LN(2)/25))/(LN(2)/25)*Calculateur!AQ66*Calculateur!AS66*VLOOKUP('Données projet'!$B$10,Paramètres!$A$1:$I$89,3,0)*0.475*44/12</f>
        <v>31.698254215180999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71.175618684252015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11.896999999999997</v>
      </c>
      <c r="BD66" s="12">
        <f>IF('Données projet'!$A$88&gt;35,BD65+BC66-BL65,IF(A66&lt;'Données projet'!$A$88,$BA$205^A66,IF(A66='Données projet'!$A$88,'Données projet'!$B$88,BD65+BC66-BL65)))</f>
        <v>406.78100000000018</v>
      </c>
      <c r="BE66" s="13">
        <f>BD66*VLOOKUP('Données projet'!$B$11,Paramètres!$A$1:$I$89,3,0)*VLOOKUP('Données projet'!$B$11,Paramètres!$A$1:$I$89,5,0)</f>
        <v>243.25503800000013</v>
      </c>
      <c r="BF66" s="13">
        <f t="shared" si="37"/>
        <v>59.139317725784991</v>
      </c>
      <c r="BG66" s="20">
        <f t="shared" si="7"/>
        <v>526.6701695557424</v>
      </c>
      <c r="BH66" s="59">
        <f t="shared" si="8"/>
        <v>820.00350288907566</v>
      </c>
      <c r="BI66" s="59">
        <f ca="1">AVERAGE(OFFSET($BH$3,0,0,'Données projet'!$E$11+1,1))-AVERAGE(OFFSET($H$3,0,0,'Données projet'!$E$11+1,1))</f>
        <v>349.5718186624772</v>
      </c>
      <c r="BJ66" s="59">
        <f t="shared" si="38"/>
        <v>258.14152930815959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39.477364469071013</v>
      </c>
      <c r="BQ66" s="21">
        <f>EXP(-LN(2)/25)*BQ65+(1-EXP(-LN(2)/25))/(LN(2)/25)*Calculateur!BL66*Calculateur!BN66*VLOOKUP('Données projet'!$B$11,Paramètres!$A$1:$I$89,3,0)*0.475*44/12</f>
        <v>31.698254215180999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71.175618684252015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416.49</v>
      </c>
      <c r="BW66" s="12">
        <f>VLOOKUP(A66,'Données projet'!$A$113:$I$133,9,0)</f>
        <v>16.595714285714287</v>
      </c>
      <c r="BX66" s="12">
        <f t="array" ref="BX66">INDEX(BW:BW,MIN(IF(ISNUMBER(BW66:BW262),ROW(BW66:BW262),"")))</f>
        <v>16.595714285714287</v>
      </c>
      <c r="BY66" s="12">
        <f>IF('Données projet'!$A$114&gt;35,BY65+BX66-CG65,IF(A66&lt;'Données projet'!$A$114,$BV$205^A66,IF(A66='Données projet'!$A$114,'Données projet'!$B$114,BY65+BX66-CG65)))</f>
        <v>416.48999999999978</v>
      </c>
      <c r="BZ66" s="13">
        <f>BY66*VLOOKUP('Données projet'!$B$12,Paramètres!$A$1:$I$89,3,0)*VLOOKUP('Données projet'!$B$12,Paramètres!$A$1:$I$89,5,0)</f>
        <v>194.91731999999988</v>
      </c>
      <c r="CA66" s="13">
        <f t="shared" si="39"/>
        <v>48.625480522444235</v>
      </c>
      <c r="CB66" s="20">
        <f t="shared" si="10"/>
        <v>424.17037757659017</v>
      </c>
      <c r="CC66" s="59">
        <f t="shared" si="11"/>
        <v>717.50371090992348</v>
      </c>
      <c r="CD66" s="59">
        <f ca="1">AVERAGE(OFFSET($CC$3,0,0,'Données projet'!$E$12+1,1))-AVERAGE(OFFSET($H$3,0,0,'Données projet'!$E$12+1,1))</f>
        <v>356.22620301934836</v>
      </c>
      <c r="CE66" s="59">
        <f t="shared" si="40"/>
        <v>342.25495410715513</v>
      </c>
      <c r="CF66" s="15">
        <f>IF(ISNA(VLOOKUP(A66,'Données projet'!$A$113:$I$133,3,0)),0,VLOOKUP(A66,'Données projet'!$A$113:$I$133,3,0))</f>
        <v>4</v>
      </c>
      <c r="CG66" s="15">
        <f>IF(ISNA(VLOOKUP(A66,'Données projet'!$A$113:$I$133,4,0)),0,VLOOKUP(A66,'Données projet'!$A$113:$I$133,4,0))</f>
        <v>79.099999999999994</v>
      </c>
      <c r="CH66" s="16">
        <f>IF(ISNA(VLOOKUP(A66,'Données projet'!$A$113:$I$133,5,0)),0%,VLOOKUP(A66,'Données projet'!$A$113:$I$133,5,0)*VLOOKUP('Données projet'!$B$12,Paramètres!$A$1:$I$89,7,0))</f>
        <v>0.38500000000000001</v>
      </c>
      <c r="CI66" s="16">
        <f>IF(ISNA(VLOOKUP(A66,'Données projet'!$A$113:$I$133,6,0)),0%,VLOOKUP(A66,'Données projet'!$A$113:$I$133,6,0)*VLOOKUP('Données projet'!$B$12,Paramètres!$A$1:$I$89,7,0))</f>
        <v>0.16500000000000001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68.92969228272635</v>
      </c>
      <c r="CL66" s="21">
        <f>EXP(-LN(2)/25)*CL65+(1-EXP(-LN(2)/25))/(LN(2)/25)*Calculateur!CG66*Calculateur!CI66*VLOOKUP('Données projet'!$B$12,Paramètres!$A$1:$I$89,3,0)*0.475*44/12</f>
        <v>43.623039995786321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112.55273227851268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8.5500000000000007</v>
      </c>
      <c r="CT66" s="12">
        <f>IF('Données projet'!$A$140&gt;35,CT65+CS66-DB65,IF(A66&lt;'Données projet'!$A$140,$CQ$205^A66,IF(A66='Données projet'!$A$140,'Données projet'!$B$140,CT65+CS66-DB65)))</f>
        <v>178.66000000000011</v>
      </c>
      <c r="CU66" s="17">
        <f>CT66*VLOOKUP('Données projet'!$B$13,Paramètres!$A$1:$I$89,3,0)*VLOOKUP('Données projet'!$B$13,Paramètres!$A$1:$I$89,5,0)</f>
        <v>203.45800800000012</v>
      </c>
      <c r="CV66" s="13">
        <f t="shared" si="41"/>
        <v>50.503373357910306</v>
      </c>
      <c r="CW66" s="20">
        <f t="shared" si="13"/>
        <v>442.31607253169392</v>
      </c>
      <c r="CX66" s="59">
        <f t="shared" si="14"/>
        <v>735.64940586502723</v>
      </c>
      <c r="CY66" s="59">
        <f ca="1">AVERAGE(OFFSET($CX$3,0,0,'Données projet'!$E$13+1,1))-AVERAGE(OFFSET($H$3,0,0,'Données projet'!$E$13+1,1))</f>
        <v>473.48875234867705</v>
      </c>
      <c r="CZ66" s="59">
        <f t="shared" si="42"/>
        <v>322.74347070996379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15.50913921316538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15.50913921316538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300.80663531652721</v>
      </c>
      <c r="T67" s="59">
        <f t="shared" si="34"/>
        <v>306.01967513533549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127.76514515786226</v>
      </c>
      <c r="AA67" s="21">
        <f>EXP(-LN(2)/25)*AA66+(1-EXP(-LN(2)/25))/(LN(2)/25)*Calculateur!V67*Calculateur!X67*VLOOKUP('Données projet'!$B$9,Paramètres!$A$1:$I$89,3,0)*0.475*44/12</f>
        <v>76.699479178443113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204.46462433630538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418.67800000000017</v>
      </c>
      <c r="AJ67" s="13">
        <f>AI67*VLOOKUP('Données projet'!$B$10,Paramètres!$A$1:$I$89,3,0)*VLOOKUP('Données projet'!$B$10,Paramètres!$A$1:$I$89,5,0)</f>
        <v>250.36944400000013</v>
      </c>
      <c r="AK67" s="13">
        <f t="shared" si="35"/>
        <v>60.665044924256527</v>
      </c>
      <c r="AL67" s="20">
        <f t="shared" si="4"/>
        <v>541.71840154308029</v>
      </c>
      <c r="AM67" s="59">
        <f t="shared" si="5"/>
        <v>835.05173487641355</v>
      </c>
      <c r="AN67" s="59">
        <f ca="1">AVERAGE(OFFSET($AM$3,0,0,'Données projet'!$E$10+1,1))-AVERAGE(OFFSET($H$3,0,0,'Données projet'!$E$10+1,1))</f>
        <v>349.5718186624772</v>
      </c>
      <c r="AO67" s="59">
        <f t="shared" si="36"/>
        <v>258.14152930815959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38.70323743064727</v>
      </c>
      <c r="AV67" s="21">
        <f>EXP(-LN(2)/25)*AV66+(1-EXP(-LN(2)/25))/(LN(2)/25)*Calculateur!AQ67*Calculateur!AS67*VLOOKUP('Données projet'!$B$10,Paramètres!$A$1:$I$89,3,0)*0.475*44/12</f>
        <v>30.831463786728133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69.5347012173754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11.896999999999997</v>
      </c>
      <c r="BD67" s="12">
        <f>IF('Données projet'!$A$88&gt;35,BD66+BC67-BL66,IF(A67&lt;'Données projet'!$A$88,$BA$205^A67,IF(A67='Données projet'!$A$88,'Données projet'!$B$88,BD66+BC67-BL66)))</f>
        <v>418.67800000000017</v>
      </c>
      <c r="BE67" s="13">
        <f>BD67*VLOOKUP('Données projet'!$B$11,Paramètres!$A$1:$I$89,3,0)*VLOOKUP('Données projet'!$B$11,Paramètres!$A$1:$I$89,5,0)</f>
        <v>250.36944400000013</v>
      </c>
      <c r="BF67" s="13">
        <f t="shared" si="37"/>
        <v>60.665044924256527</v>
      </c>
      <c r="BG67" s="20">
        <f t="shared" si="7"/>
        <v>541.71840154308029</v>
      </c>
      <c r="BH67" s="59">
        <f t="shared" si="8"/>
        <v>835.05173487641355</v>
      </c>
      <c r="BI67" s="59">
        <f ca="1">AVERAGE(OFFSET($BH$3,0,0,'Données projet'!$E$11+1,1))-AVERAGE(OFFSET($H$3,0,0,'Données projet'!$E$11+1,1))</f>
        <v>349.5718186624772</v>
      </c>
      <c r="BJ67" s="59">
        <f t="shared" si="38"/>
        <v>258.14152930815959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38.70323743064727</v>
      </c>
      <c r="BQ67" s="21">
        <f>EXP(-LN(2)/25)*BQ66+(1-EXP(-LN(2)/25))/(LN(2)/25)*Calculateur!BL67*Calculateur!BN67*VLOOKUP('Données projet'!$B$11,Paramètres!$A$1:$I$89,3,0)*0.475*44/12</f>
        <v>30.831463786728133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69.5347012173754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16.050000000000004</v>
      </c>
      <c r="BY67" s="12">
        <f>IF('Données projet'!$A$114&gt;35,BY66+BX67-CG66,IF(A67&lt;'Données projet'!$A$114,$BV$205^A67,IF(A67='Données projet'!$A$114,'Données projet'!$B$114,BY66+BX67-CG66)))</f>
        <v>353.43999999999983</v>
      </c>
      <c r="BZ67" s="13">
        <f>BY67*VLOOKUP('Données projet'!$B$12,Paramètres!$A$1:$I$89,3,0)*VLOOKUP('Données projet'!$B$12,Paramètres!$A$1:$I$89,5,0)</f>
        <v>165.40991999999991</v>
      </c>
      <c r="CA67" s="13">
        <f t="shared" si="39"/>
        <v>42.060366422582085</v>
      </c>
      <c r="CB67" s="20">
        <f t="shared" si="10"/>
        <v>361.34408218599697</v>
      </c>
      <c r="CC67" s="59">
        <f t="shared" si="11"/>
        <v>654.67741551933022</v>
      </c>
      <c r="CD67" s="59">
        <f ca="1">AVERAGE(OFFSET($CC$3,0,0,'Données projet'!$E$12+1,1))-AVERAGE(OFFSET($H$3,0,0,'Données projet'!$E$12+1,1))</f>
        <v>356.22620301934836</v>
      </c>
      <c r="CE67" s="59">
        <f t="shared" si="40"/>
        <v>342.25495410715513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67.578023060022986</v>
      </c>
      <c r="CL67" s="21">
        <f>EXP(-LN(2)/25)*CL66+(1-EXP(-LN(2)/25))/(LN(2)/25)*Calculateur!CG67*Calculateur!CI67*VLOOKUP('Données projet'!$B$12,Paramètres!$A$1:$I$89,3,0)*0.475*44/12</f>
        <v>42.430165673065574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110.00818873308856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8.5500000000000007</v>
      </c>
      <c r="CT67" s="12">
        <f>IF('Données projet'!$A$140&gt;35,CT66+CS67-DB66,IF(A67&lt;'Données projet'!$A$140,$CQ$205^A67,IF(A67='Données projet'!$A$140,'Données projet'!$B$140,CT66+CS67-DB66)))</f>
        <v>187.21000000000012</v>
      </c>
      <c r="CU67" s="17">
        <f>CT67*VLOOKUP('Données projet'!$B$13,Paramètres!$A$1:$I$89,3,0)*VLOOKUP('Données projet'!$B$13,Paramètres!$A$1:$I$89,5,0)</f>
        <v>213.19474800000012</v>
      </c>
      <c r="CV67" s="13">
        <f t="shared" si="41"/>
        <v>52.633103858586573</v>
      </c>
      <c r="CW67" s="20">
        <f t="shared" si="13"/>
        <v>462.9835086537052</v>
      </c>
      <c r="CX67" s="59">
        <f t="shared" si="14"/>
        <v>756.31684198703852</v>
      </c>
      <c r="CY67" s="59">
        <f ca="1">AVERAGE(OFFSET($CX$3,0,0,'Données projet'!$E$13+1,1))-AVERAGE(OFFSET($H$3,0,0,'Données projet'!$E$13+1,1))</f>
        <v>473.48875234867705</v>
      </c>
      <c r="CZ67" s="59">
        <f t="shared" si="42"/>
        <v>322.74347070996379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15.205014452836064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15.205014452836064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300.80663531652721</v>
      </c>
      <c r="T68" s="59">
        <f t="shared" si="34"/>
        <v>306.01967513533549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125.25974859036027</v>
      </c>
      <c r="AA68" s="21">
        <f>EXP(-LN(2)/25)*AA67+(1-EXP(-LN(2)/25))/(LN(2)/25)*Calculateur!V68*Calculateur!X68*VLOOKUP('Données projet'!$B$9,Paramètres!$A$1:$I$89,3,0)*0.475*44/12</f>
        <v>74.60212788685827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199.86187647721854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430.57500000000016</v>
      </c>
      <c r="AJ68" s="13">
        <f>AI68*VLOOKUP('Données projet'!$B$10,Paramètres!$A$1:$I$89,3,0)*VLOOKUP('Données projet'!$B$10,Paramètres!$A$1:$I$89,5,0)</f>
        <v>257.48385000000013</v>
      </c>
      <c r="AK68" s="13">
        <f t="shared" si="35"/>
        <v>62.185733278690435</v>
      </c>
      <c r="AL68" s="20">
        <f t="shared" ref="AL68:AL131" si="58">(AJ68+AK68)*0.475*44/12</f>
        <v>556.7578575437193</v>
      </c>
      <c r="AM68" s="59">
        <f t="shared" ref="AM68:AM131" si="59">AL68+(AD68+AE68)*44/12</f>
        <v>850.09119087705267</v>
      </c>
      <c r="AN68" s="59">
        <f ca="1">AVERAGE(OFFSET($AM$3,0,0,'Données projet'!$E$10+1,1))-AVERAGE(OFFSET($H$3,0,0,'Données projet'!$E$10+1,1))</f>
        <v>349.5718186624772</v>
      </c>
      <c r="AO68" s="59">
        <f t="shared" si="36"/>
        <v>258.14152930815959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37.944290551276147</v>
      </c>
      <c r="AV68" s="21">
        <f>EXP(-LN(2)/25)*AV67+(1-EXP(-LN(2)/25))/(LN(2)/25)*Calculateur!AQ68*Calculateur!AS68*VLOOKUP('Données projet'!$B$10,Paramètres!$A$1:$I$89,3,0)*0.475*44/12</f>
        <v>29.988375788123836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67.932666339399987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11.896999999999997</v>
      </c>
      <c r="BD68" s="12">
        <f>IF('Données projet'!$A$88&gt;35,BD67+BC68-BL67,IF(A68&lt;'Données projet'!$A$88,$BA$205^A68,IF(A68='Données projet'!$A$88,'Données projet'!$B$88,BD67+BC68-BL67)))</f>
        <v>430.57500000000016</v>
      </c>
      <c r="BE68" s="13">
        <f>BD68*VLOOKUP('Données projet'!$B$11,Paramètres!$A$1:$I$89,3,0)*VLOOKUP('Données projet'!$B$11,Paramètres!$A$1:$I$89,5,0)</f>
        <v>257.48385000000013</v>
      </c>
      <c r="BF68" s="13">
        <f t="shared" si="37"/>
        <v>62.185733278690435</v>
      </c>
      <c r="BG68" s="20">
        <f t="shared" ref="BG68:BG131" si="61">(BE68+BF68)*0.475*44/12</f>
        <v>556.7578575437193</v>
      </c>
      <c r="BH68" s="59">
        <f t="shared" ref="BH68:BH131" si="62">BG68+(AY68+AZ68)*44/12</f>
        <v>850.09119087705267</v>
      </c>
      <c r="BI68" s="59">
        <f ca="1">AVERAGE(OFFSET($BH$3,0,0,'Données projet'!$E$11+1,1))-AVERAGE(OFFSET($H$3,0,0,'Données projet'!$E$11+1,1))</f>
        <v>349.5718186624772</v>
      </c>
      <c r="BJ68" s="59">
        <f t="shared" si="38"/>
        <v>258.14152930815959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37.944290551276147</v>
      </c>
      <c r="BQ68" s="21">
        <f>EXP(-LN(2)/25)*BQ67+(1-EXP(-LN(2)/25))/(LN(2)/25)*Calculateur!BL68*Calculateur!BN68*VLOOKUP('Données projet'!$B$11,Paramètres!$A$1:$I$89,3,0)*0.475*44/12</f>
        <v>29.988375788123836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67.932666339399987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16.050000000000004</v>
      </c>
      <c r="BY68" s="12">
        <f>IF('Données projet'!$A$114&gt;35,BY67+BX68-CG67,IF(A68&lt;'Données projet'!$A$114,$BV$205^A68,IF(A68='Données projet'!$A$114,'Données projet'!$B$114,BY67+BX68-CG67)))</f>
        <v>369.48999999999984</v>
      </c>
      <c r="BZ68" s="13">
        <f>BY68*VLOOKUP('Données projet'!$B$12,Paramètres!$A$1:$I$89,3,0)*VLOOKUP('Données projet'!$B$12,Paramètres!$A$1:$I$89,5,0)</f>
        <v>172.92131999999995</v>
      </c>
      <c r="CA68" s="13">
        <f t="shared" si="39"/>
        <v>43.743651873932684</v>
      </c>
      <c r="CB68" s="20">
        <f t="shared" ref="CB68:CB131" si="64">(BZ68+CA68)*0.475*44/12</f>
        <v>377.35815934709927</v>
      </c>
      <c r="CC68" s="59">
        <f t="shared" ref="CC68:CC131" si="65">CB68+(BT68+BU68)*44/12</f>
        <v>670.69149268043259</v>
      </c>
      <c r="CD68" s="59">
        <f ca="1">AVERAGE(OFFSET($CC$3,0,0,'Données projet'!$E$12+1,1))-AVERAGE(OFFSET($H$3,0,0,'Données projet'!$E$12+1,1))</f>
        <v>356.22620301934836</v>
      </c>
      <c r="CE68" s="59">
        <f t="shared" si="40"/>
        <v>342.25495410715513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66.252859246340009</v>
      </c>
      <c r="CL68" s="21">
        <f>EXP(-LN(2)/25)*CL67+(1-EXP(-LN(2)/25))/(LN(2)/25)*Calculateur!CG68*Calculateur!CI68*VLOOKUP('Données projet'!$B$12,Paramètres!$A$1:$I$89,3,0)*0.475*44/12</f>
        <v>41.269910561430159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107.52276980777017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8.5500000000000007</v>
      </c>
      <c r="CT68" s="12">
        <f>IF('Données projet'!$A$140&gt;35,CT67+CS68-DB67,IF(A68&lt;'Données projet'!$A$140,$CQ$205^A68,IF(A68='Données projet'!$A$140,'Données projet'!$B$140,CT67+CS68-DB67)))</f>
        <v>195.76000000000013</v>
      </c>
      <c r="CU68" s="17">
        <f>CT68*VLOOKUP('Données projet'!$B$13,Paramètres!$A$1:$I$89,3,0)*VLOOKUP('Données projet'!$B$13,Paramètres!$A$1:$I$89,5,0)</f>
        <v>222.93148800000014</v>
      </c>
      <c r="CV68" s="13">
        <f t="shared" si="41"/>
        <v>54.751538473445727</v>
      </c>
      <c r="CW68" s="20">
        <f t="shared" ref="CW68:CW131" si="67">(CU68+CV68)*0.475*44/12</f>
        <v>483.63127110791817</v>
      </c>
      <c r="CX68" s="59">
        <f t="shared" ref="CX68:CX131" si="68">CW68+(CO68+CP68)*44/12</f>
        <v>776.96460444125148</v>
      </c>
      <c r="CY68" s="59">
        <f ca="1">AVERAGE(OFFSET($CX$3,0,0,'Données projet'!$E$13+1,1))-AVERAGE(OFFSET($H$3,0,0,'Données projet'!$E$13+1,1))</f>
        <v>473.48875234867705</v>
      </c>
      <c r="CZ68" s="59">
        <f t="shared" si="42"/>
        <v>322.74347070996379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14.90685339355902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14.90685339355902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300.80663531652721</v>
      </c>
      <c r="T69" s="59">
        <f t="shared" ref="T69:T132" si="88">$T$3</f>
        <v>306.01967513533549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122.80348132140598</v>
      </c>
      <c r="AA69" s="21">
        <f>EXP(-LN(2)/25)*AA68+(1-EXP(-LN(2)/25))/(LN(2)/25)*Calculateur!V69*Calculateur!X69*VLOOKUP('Données projet'!$B$9,Paramètres!$A$1:$I$89,3,0)*0.475*44/12</f>
        <v>72.562128776636726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195.36561009804271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442.47200000000015</v>
      </c>
      <c r="AJ69" s="13">
        <f>AI69*VLOOKUP('Données projet'!$B$10,Paramètres!$A$1:$I$89,3,0)*VLOOKUP('Données projet'!$B$10,Paramètres!$A$1:$I$89,5,0)</f>
        <v>264.59825600000011</v>
      </c>
      <c r="AK69" s="13">
        <f t="shared" ref="AK69:AK132" si="89">EXP(-1.0587+0.8836*LN(AJ69)+0.284)</f>
        <v>63.701538011039567</v>
      </c>
      <c r="AL69" s="20">
        <f t="shared" si="58"/>
        <v>571.78880790256073</v>
      </c>
      <c r="AM69" s="59">
        <f t="shared" si="59"/>
        <v>865.12214123589411</v>
      </c>
      <c r="AN69" s="59">
        <f ca="1">AVERAGE(OFFSET($AM$3,0,0,'Données projet'!$E$10+1,1))-AVERAGE(OFFSET($H$3,0,0,'Données projet'!$E$10+1,1))</f>
        <v>349.5718186624772</v>
      </c>
      <c r="AO69" s="59">
        <f t="shared" ref="AO69:AO132" si="90">$AO$3</f>
        <v>258.14152930815959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37.200226157297607</v>
      </c>
      <c r="AV69" s="21">
        <f>EXP(-LN(2)/25)*AV68+(1-EXP(-LN(2)/25))/(LN(2)/25)*Calculateur!AQ69*Calculateur!AS69*VLOOKUP('Données projet'!$B$10,Paramètres!$A$1:$I$89,3,0)*0.475*44/12</f>
        <v>29.168342075177446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66.368568232475056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11.896999999999997</v>
      </c>
      <c r="BD69" s="12">
        <f>IF('Données projet'!$A$88&gt;35,BD68+BC69-BL68,IF(A69&lt;'Données projet'!$A$88,$BA$205^A69,IF(A69='Données projet'!$A$88,'Données projet'!$B$88,BD68+BC69-BL68)))</f>
        <v>442.47200000000015</v>
      </c>
      <c r="BE69" s="13">
        <f>BD69*VLOOKUP('Données projet'!$B$11,Paramètres!$A$1:$I$89,3,0)*VLOOKUP('Données projet'!$B$11,Paramètres!$A$1:$I$89,5,0)</f>
        <v>264.59825600000011</v>
      </c>
      <c r="BF69" s="13">
        <f t="shared" ref="BF69:BF132" si="91">EXP(-1.0587+0.8836*LN(BE69)+0.284)</f>
        <v>63.701538011039567</v>
      </c>
      <c r="BG69" s="20">
        <f t="shared" si="61"/>
        <v>571.78880790256073</v>
      </c>
      <c r="BH69" s="59">
        <f t="shared" si="62"/>
        <v>865.12214123589411</v>
      </c>
      <c r="BI69" s="59">
        <f ca="1">AVERAGE(OFFSET($BH$3,0,0,'Données projet'!$E$11+1,1))-AVERAGE(OFFSET($H$3,0,0,'Données projet'!$E$11+1,1))</f>
        <v>349.5718186624772</v>
      </c>
      <c r="BJ69" s="59">
        <f t="shared" ref="BJ69:BJ132" si="92">$BJ$3</f>
        <v>258.14152930815959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37.200226157297607</v>
      </c>
      <c r="BQ69" s="21">
        <f>EXP(-LN(2)/25)*BQ68+(1-EXP(-LN(2)/25))/(LN(2)/25)*Calculateur!BL69*Calculateur!BN69*VLOOKUP('Données projet'!$B$11,Paramètres!$A$1:$I$89,3,0)*0.475*44/12</f>
        <v>29.168342075177446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66.368568232475056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16.050000000000004</v>
      </c>
      <c r="BY69" s="12">
        <f>IF('Données projet'!$A$114&gt;35,BY68+BX69-CG68,IF(A69&lt;'Données projet'!$A$114,$BV$205^A69,IF(A69='Données projet'!$A$114,'Données projet'!$B$114,BY68+BX69-CG68)))</f>
        <v>385.53999999999985</v>
      </c>
      <c r="BZ69" s="13">
        <f>BY69*VLOOKUP('Données projet'!$B$12,Paramètres!$A$1:$I$89,3,0)*VLOOKUP('Données projet'!$B$12,Paramètres!$A$1:$I$89,5,0)</f>
        <v>180.43271999999993</v>
      </c>
      <c r="CA69" s="13">
        <f t="shared" ref="CA69:CA132" si="93">EXP(-1.0587+0.8836*LN(BZ69)+0.284)</f>
        <v>45.418444936488953</v>
      </c>
      <c r="CB69" s="20">
        <f t="shared" si="64"/>
        <v>393.35744559771814</v>
      </c>
      <c r="CC69" s="59">
        <f t="shared" si="65"/>
        <v>686.69077893105145</v>
      </c>
      <c r="CD69" s="59">
        <f ca="1">AVERAGE(OFFSET($CC$3,0,0,'Données projet'!$E$12+1,1))-AVERAGE(OFFSET($H$3,0,0,'Données projet'!$E$12+1,1))</f>
        <v>356.22620301934836</v>
      </c>
      <c r="CE69" s="59">
        <f t="shared" ref="CE69:CE132" si="94">$CE$3</f>
        <v>342.25495410715513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64.953681086773244</v>
      </c>
      <c r="CL69" s="21">
        <f>EXP(-LN(2)/25)*CL68+(1-EXP(-LN(2)/25))/(LN(2)/25)*Calculateur!CG69*Calculateur!CI69*VLOOKUP('Données projet'!$B$12,Paramètres!$A$1:$I$89,3,0)*0.475*44/12</f>
        <v>40.141382686837581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105.09506377361083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8.5500000000000007</v>
      </c>
      <c r="CT69" s="12">
        <f>IF('Données projet'!$A$140&gt;35,CT68+CS69-DB68,IF(A69&lt;'Données projet'!$A$140,$CQ$205^A69,IF(A69='Données projet'!$A$140,'Données projet'!$B$140,CT68+CS69-DB68)))</f>
        <v>204.31000000000014</v>
      </c>
      <c r="CU69" s="17">
        <f>CT69*VLOOKUP('Données projet'!$B$13,Paramètres!$A$1:$I$89,3,0)*VLOOKUP('Données projet'!$B$13,Paramètres!$A$1:$I$89,5,0)</f>
        <v>232.66822800000017</v>
      </c>
      <c r="CV69" s="13">
        <f t="shared" ref="CV69:CV132" si="95">EXP(-1.0587+0.8836*LN(CU69)+0.284)</f>
        <v>56.859226946851557</v>
      </c>
      <c r="CW69" s="20">
        <f t="shared" si="67"/>
        <v>504.2603173657667</v>
      </c>
      <c r="CX69" s="59">
        <f t="shared" si="68"/>
        <v>797.59365069909995</v>
      </c>
      <c r="CY69" s="59">
        <f ca="1">AVERAGE(OFFSET($CX$3,0,0,'Données projet'!$E$13+1,1))-AVERAGE(OFFSET($H$3,0,0,'Données projet'!$E$13+1,1))</f>
        <v>473.48875234867705</v>
      </c>
      <c r="CZ69" s="59">
        <f t="shared" ref="CZ69:CZ132" si="96">$CZ$3</f>
        <v>322.74347070996379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14.614539090794109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14.614539090794109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300.80663531652721</v>
      </c>
      <c r="T70" s="59">
        <f t="shared" si="88"/>
        <v>306.01967513533549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120.39537995542079</v>
      </c>
      <c r="AA70" s="21">
        <f>EXP(-LN(2)/25)*AA69+(1-EXP(-LN(2)/25))/(LN(2)/25)*Calculateur!V70*Calculateur!X70*VLOOKUP('Données projet'!$B$9,Paramètres!$A$1:$I$89,3,0)*0.475*44/12</f>
        <v>70.577913549363089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190.9732935047839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454.36900000000014</v>
      </c>
      <c r="AJ70" s="13">
        <f>AI70*VLOOKUP('Données projet'!$B$10,Paramètres!$A$1:$I$89,3,0)*VLOOKUP('Données projet'!$B$10,Paramètres!$A$1:$I$89,5,0)</f>
        <v>271.71266200000014</v>
      </c>
      <c r="AK70" s="13">
        <f t="shared" si="89"/>
        <v>65.212605520968935</v>
      </c>
      <c r="AL70" s="20">
        <f t="shared" si="58"/>
        <v>586.81150759902118</v>
      </c>
      <c r="AM70" s="59">
        <f t="shared" si="59"/>
        <v>880.14484093235455</v>
      </c>
      <c r="AN70" s="59">
        <f ca="1">AVERAGE(OFFSET($AM$3,0,0,'Données projet'!$E$10+1,1))-AVERAGE(OFFSET($H$3,0,0,'Données projet'!$E$10+1,1))</f>
        <v>349.5718186624772</v>
      </c>
      <c r="AO70" s="59">
        <f t="shared" si="90"/>
        <v>258.14152930815959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36.470752412250512</v>
      </c>
      <c r="AV70" s="21">
        <f>EXP(-LN(2)/25)*AV69+(1-EXP(-LN(2)/25))/(LN(2)/25)*Calculateur!AQ70*Calculateur!AS70*VLOOKUP('Données projet'!$B$10,Paramètres!$A$1:$I$89,3,0)*0.475*44/12</f>
        <v>28.370732227235273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64.841484639485785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11.896999999999997</v>
      </c>
      <c r="BD70" s="12">
        <f>IF('Données projet'!$A$88&gt;35,BD69+BC70-BL69,IF(A70&lt;'Données projet'!$A$88,$BA$205^A70,IF(A70='Données projet'!$A$88,'Données projet'!$B$88,BD69+BC70-BL69)))</f>
        <v>454.36900000000014</v>
      </c>
      <c r="BE70" s="13">
        <f>BD70*VLOOKUP('Données projet'!$B$11,Paramètres!$A$1:$I$89,3,0)*VLOOKUP('Données projet'!$B$11,Paramètres!$A$1:$I$89,5,0)</f>
        <v>271.71266200000014</v>
      </c>
      <c r="BF70" s="13">
        <f t="shared" si="91"/>
        <v>65.212605520968935</v>
      </c>
      <c r="BG70" s="20">
        <f t="shared" si="61"/>
        <v>586.81150759902118</v>
      </c>
      <c r="BH70" s="59">
        <f t="shared" si="62"/>
        <v>880.14484093235455</v>
      </c>
      <c r="BI70" s="59">
        <f ca="1">AVERAGE(OFFSET($BH$3,0,0,'Données projet'!$E$11+1,1))-AVERAGE(OFFSET($H$3,0,0,'Données projet'!$E$11+1,1))</f>
        <v>349.5718186624772</v>
      </c>
      <c r="BJ70" s="59">
        <f t="shared" si="92"/>
        <v>258.14152930815959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36.470752412250512</v>
      </c>
      <c r="BQ70" s="21">
        <f>EXP(-LN(2)/25)*BQ69+(1-EXP(-LN(2)/25))/(LN(2)/25)*Calculateur!BL70*Calculateur!BN70*VLOOKUP('Données projet'!$B$11,Paramètres!$A$1:$I$89,3,0)*0.475*44/12</f>
        <v>28.370732227235273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64.841484639485785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16.050000000000004</v>
      </c>
      <c r="BY70" s="12">
        <f>IF('Données projet'!$A$114&gt;35,BY69+BX70-CG69,IF(A70&lt;'Données projet'!$A$114,$BV$205^A70,IF(A70='Données projet'!$A$114,'Données projet'!$B$114,BY69+BX70-CG69)))</f>
        <v>401.58999999999986</v>
      </c>
      <c r="BZ70" s="13">
        <f>BY70*VLOOKUP('Données projet'!$B$12,Paramètres!$A$1:$I$89,3,0)*VLOOKUP('Données projet'!$B$12,Paramètres!$A$1:$I$89,5,0)</f>
        <v>187.94411999999991</v>
      </c>
      <c r="CA70" s="13">
        <f t="shared" si="93"/>
        <v>47.085139576843218</v>
      </c>
      <c r="CB70" s="20">
        <f t="shared" si="64"/>
        <v>409.34262709633504</v>
      </c>
      <c r="CC70" s="59">
        <f t="shared" si="65"/>
        <v>702.67596042966829</v>
      </c>
      <c r="CD70" s="59">
        <f ca="1">AVERAGE(OFFSET($CC$3,0,0,'Données projet'!$E$12+1,1))-AVERAGE(OFFSET($H$3,0,0,'Données projet'!$E$12+1,1))</f>
        <v>356.22620301934836</v>
      </c>
      <c r="CE70" s="59">
        <f t="shared" si="94"/>
        <v>342.25495410715513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63.679979018495146</v>
      </c>
      <c r="CL70" s="21">
        <f>EXP(-LN(2)/25)*CL69+(1-EXP(-LN(2)/25))/(LN(2)/25)*Calculateur!CG70*Calculateur!CI70*VLOOKUP('Données projet'!$B$12,Paramètres!$A$1:$I$89,3,0)*0.475*44/12</f>
        <v>39.043714466322434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102.72369348481757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212.86</v>
      </c>
      <c r="CR70" s="12">
        <f>VLOOKUP(A70,'Données projet'!$A$139:$I$159,9,0)</f>
        <v>8.5500000000000007</v>
      </c>
      <c r="CS70" s="12">
        <f t="array" ref="CS70">INDEX(CR:CR,MIN(IF(ISNUMBER(CR70:CR266),ROW(CR70:CR266),"")))</f>
        <v>8.5500000000000007</v>
      </c>
      <c r="CT70" s="12">
        <f>IF('Données projet'!$A$140&gt;35,CT69+CS70-DB69,IF(A70&lt;'Données projet'!$A$140,$CQ$205^A70,IF(A70='Données projet'!$A$140,'Données projet'!$B$140,CT69+CS70-DB69)))</f>
        <v>212.86000000000016</v>
      </c>
      <c r="CU70" s="17">
        <f>CT70*VLOOKUP('Données projet'!$B$13,Paramètres!$A$1:$I$89,3,0)*VLOOKUP('Données projet'!$B$13,Paramètres!$A$1:$I$89,5,0)</f>
        <v>242.4049680000002</v>
      </c>
      <c r="CV70" s="13">
        <f t="shared" si="95"/>
        <v>58.956670408553236</v>
      </c>
      <c r="CW70" s="20">
        <f t="shared" si="67"/>
        <v>524.87152022823045</v>
      </c>
      <c r="CX70" s="59">
        <f t="shared" si="68"/>
        <v>818.20485356156382</v>
      </c>
      <c r="CY70" s="59">
        <f ca="1">AVERAGE(OFFSET($CX$3,0,0,'Données projet'!$E$13+1,1))-AVERAGE(OFFSET($H$3,0,0,'Données projet'!$E$13+1,1))</f>
        <v>473.48875234867705</v>
      </c>
      <c r="CZ70" s="59">
        <f t="shared" si="96"/>
        <v>322.74347070996379</v>
      </c>
      <c r="DA70" s="15">
        <f>IF(ISNA(VLOOKUP(A70,'Données projet'!$A$139:$I$159,3,0)),0,VLOOKUP(A70,'Données projet'!$A$139:$I$159,3,0))</f>
        <v>5</v>
      </c>
      <c r="DB70" s="15">
        <f>IF(ISNA(VLOOKUP(A70,'Données projet'!$A$139:$I$159,4,0)),0,VLOOKUP(A70,'Données projet'!$A$139:$I$159,4,0))</f>
        <v>38.229999999999997</v>
      </c>
      <c r="DC70" s="16">
        <f>IF(ISNA(VLOOKUP(A70,'Données projet'!$A$139:$I$159,5,0)),0%,VLOOKUP(A70,'Données projet'!$A$139:$I$159,5,0)*VLOOKUP('Données projet'!$B$13,Paramètres!$A$1:$I$89,7,0))</f>
        <v>0.25800000000000001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26.745010980075666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26.745010980075666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300.80663531652721</v>
      </c>
      <c r="T71" s="59">
        <f t="shared" si="88"/>
        <v>306.01967513533549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118.03449998842576</v>
      </c>
      <c r="AA71" s="21">
        <f>EXP(-LN(2)/25)*AA70+(1-EXP(-LN(2)/25))/(LN(2)/25)*Calculateur!V71*Calculateur!X71*VLOOKUP('Données projet'!$B$9,Paramètres!$A$1:$I$89,3,0)*0.475*44/12</f>
        <v>68.647956791824583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186.68245678025033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466.26600000000013</v>
      </c>
      <c r="AJ71" s="13">
        <f>AI71*VLOOKUP('Données projet'!$B$10,Paramètres!$A$1:$I$89,3,0)*VLOOKUP('Données projet'!$B$10,Paramètres!$A$1:$I$89,5,0)</f>
        <v>278.82706800000011</v>
      </c>
      <c r="AK71" s="13">
        <f t="shared" si="89"/>
        <v>66.719074104976841</v>
      </c>
      <c r="AL71" s="20">
        <f t="shared" si="58"/>
        <v>601.82619749950163</v>
      </c>
      <c r="AM71" s="59">
        <f t="shared" si="59"/>
        <v>895.15953083283489</v>
      </c>
      <c r="AN71" s="59">
        <f ca="1">AVERAGE(OFFSET($AM$3,0,0,'Données projet'!$E$10+1,1))-AVERAGE(OFFSET($H$3,0,0,'Données projet'!$E$10+1,1))</f>
        <v>349.5718186624772</v>
      </c>
      <c r="AO71" s="59">
        <f t="shared" si="90"/>
        <v>258.14152930815959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35.755583202408744</v>
      </c>
      <c r="AV71" s="21">
        <f>EXP(-LN(2)/25)*AV70+(1-EXP(-LN(2)/25))/(LN(2)/25)*Calculateur!AQ71*Calculateur!AS71*VLOOKUP('Données projet'!$B$10,Paramètres!$A$1:$I$89,3,0)*0.475*44/12</f>
        <v>27.594933062529559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63.350516264938307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11.896999999999997</v>
      </c>
      <c r="BD71" s="12">
        <f>IF('Données projet'!$A$88&gt;35,BD70+BC71-BL70,IF(A71&lt;'Données projet'!$A$88,$BA$205^A71,IF(A71='Données projet'!$A$88,'Données projet'!$B$88,BD70+BC71-BL70)))</f>
        <v>466.26600000000013</v>
      </c>
      <c r="BE71" s="13">
        <f>BD71*VLOOKUP('Données projet'!$B$11,Paramètres!$A$1:$I$89,3,0)*VLOOKUP('Données projet'!$B$11,Paramètres!$A$1:$I$89,5,0)</f>
        <v>278.82706800000011</v>
      </c>
      <c r="BF71" s="13">
        <f t="shared" si="91"/>
        <v>66.719074104976841</v>
      </c>
      <c r="BG71" s="20">
        <f t="shared" si="61"/>
        <v>601.82619749950163</v>
      </c>
      <c r="BH71" s="59">
        <f t="shared" si="62"/>
        <v>895.15953083283489</v>
      </c>
      <c r="BI71" s="59">
        <f ca="1">AVERAGE(OFFSET($BH$3,0,0,'Données projet'!$E$11+1,1))-AVERAGE(OFFSET($H$3,0,0,'Données projet'!$E$11+1,1))</f>
        <v>349.5718186624772</v>
      </c>
      <c r="BJ71" s="59">
        <f t="shared" si="92"/>
        <v>258.14152930815959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35.755583202408744</v>
      </c>
      <c r="BQ71" s="21">
        <f>EXP(-LN(2)/25)*BQ70+(1-EXP(-LN(2)/25))/(LN(2)/25)*Calculateur!BL71*Calculateur!BN71*VLOOKUP('Données projet'!$B$11,Paramètres!$A$1:$I$89,3,0)*0.475*44/12</f>
        <v>27.594933062529559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63.350516264938307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16.050000000000004</v>
      </c>
      <c r="BY71" s="12">
        <f>IF('Données projet'!$A$114&gt;35,BY70+BX71-CG70,IF(A71&lt;'Données projet'!$A$114,$BV$205^A71,IF(A71='Données projet'!$A$114,'Données projet'!$B$114,BY70+BX71-CG70)))</f>
        <v>417.63999999999987</v>
      </c>
      <c r="BZ71" s="13">
        <f>BY71*VLOOKUP('Données projet'!$B$12,Paramètres!$A$1:$I$89,3,0)*VLOOKUP('Données projet'!$B$12,Paramètres!$A$1:$I$89,5,0)</f>
        <v>195.45551999999995</v>
      </c>
      <c r="CA71" s="13">
        <f t="shared" si="93"/>
        <v>48.744096488454666</v>
      </c>
      <c r="CB71" s="20">
        <f t="shared" si="64"/>
        <v>425.31433205072511</v>
      </c>
      <c r="CC71" s="59">
        <f t="shared" si="65"/>
        <v>718.64766538405843</v>
      </c>
      <c r="CD71" s="59">
        <f ca="1">AVERAGE(OFFSET($CC$3,0,0,'Données projet'!$E$12+1,1))-AVERAGE(OFFSET($H$3,0,0,'Données projet'!$E$12+1,1))</f>
        <v>356.22620301934836</v>
      </c>
      <c r="CE71" s="59">
        <f t="shared" si="94"/>
        <v>342.25495410715513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62.431253470894433</v>
      </c>
      <c r="CL71" s="21">
        <f>EXP(-LN(2)/25)*CL70+(1-EXP(-LN(2)/25))/(LN(2)/25)*Calculateur!CG71*Calculateur!CI71*VLOOKUP('Données projet'!$B$12,Paramètres!$A$1:$I$89,3,0)*0.475*44/12</f>
        <v>37.976062041021137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100.40731551191557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8.4087499999999977</v>
      </c>
      <c r="CT71" s="12">
        <f>IF('Données projet'!$A$140&gt;35,CT70+CS71-DB70,IF(A71&lt;'Données projet'!$A$140,$CQ$205^A71,IF(A71='Données projet'!$A$140,'Données projet'!$B$140,CT70+CS71-DB70)))</f>
        <v>183.03875000000016</v>
      </c>
      <c r="CU71" s="17">
        <f>CT71*VLOOKUP('Données projet'!$B$13,Paramètres!$A$1:$I$89,3,0)*VLOOKUP('Données projet'!$B$13,Paramètres!$A$1:$I$89,5,0)</f>
        <v>208.44452850000019</v>
      </c>
      <c r="CV71" s="13">
        <f t="shared" si="95"/>
        <v>51.595529104059125</v>
      </c>
      <c r="CW71" s="20">
        <f t="shared" si="67"/>
        <v>452.90310032706998</v>
      </c>
      <c r="CX71" s="59">
        <f t="shared" si="68"/>
        <v>746.23643366040324</v>
      </c>
      <c r="CY71" s="59">
        <f ca="1">AVERAGE(OFFSET($CX$3,0,0,'Données projet'!$E$13+1,1))-AVERAGE(OFFSET($H$3,0,0,'Données projet'!$E$13+1,1))</f>
        <v>473.48875234867705</v>
      </c>
      <c r="CZ71" s="59">
        <f t="shared" si="96"/>
        <v>322.74347070996379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26.220557627602322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26.220557627602322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300.80663531652721</v>
      </c>
      <c r="T72" s="59">
        <f t="shared" si="88"/>
        <v>306.01967513533549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115.71991543758892</v>
      </c>
      <c r="AA72" s="21">
        <f>EXP(-LN(2)/25)*AA71+(1-EXP(-LN(2)/25))/(LN(2)/25)*Calculateur!V72*Calculateur!X72*VLOOKUP('Données projet'!$B$9,Paramètres!$A$1:$I$89,3,0)*0.475*44/12</f>
        <v>66.770774803312989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182.49069024090193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478.16300000000012</v>
      </c>
      <c r="AJ72" s="13">
        <f>AI72*VLOOKUP('Données projet'!$B$10,Paramètres!$A$1:$I$89,3,0)*VLOOKUP('Données projet'!$B$10,Paramètres!$A$1:$I$89,5,0)</f>
        <v>285.94147400000008</v>
      </c>
      <c r="AK72" s="13">
        <f t="shared" si="89"/>
        <v>68.221074600056156</v>
      </c>
      <c r="AL72" s="20">
        <f t="shared" si="58"/>
        <v>616.83310547843132</v>
      </c>
      <c r="AM72" s="59">
        <f t="shared" si="59"/>
        <v>910.16643881176469</v>
      </c>
      <c r="AN72" s="59">
        <f ca="1">AVERAGE(OFFSET($AM$3,0,0,'Données projet'!$E$10+1,1))-AVERAGE(OFFSET($H$3,0,0,'Données projet'!$E$10+1,1))</f>
        <v>349.5718186624772</v>
      </c>
      <c r="AO72" s="59">
        <f t="shared" si="90"/>
        <v>258.14152930815959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35.054438024561826</v>
      </c>
      <c r="AV72" s="21">
        <f>EXP(-LN(2)/25)*AV71+(1-EXP(-LN(2)/25))/(LN(2)/25)*Calculateur!AQ72*Calculateur!AS72*VLOOKUP('Données projet'!$B$10,Paramètres!$A$1:$I$89,3,0)*0.475*44/12</f>
        <v>26.840348166780228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61.89478619134205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11.896999999999997</v>
      </c>
      <c r="BD72" s="12">
        <f>IF('Données projet'!$A$88&gt;35,BD71+BC72-BL71,IF(A72&lt;'Données projet'!$A$88,$BA$205^A72,IF(A72='Données projet'!$A$88,'Données projet'!$B$88,BD71+BC72-BL71)))</f>
        <v>478.16300000000012</v>
      </c>
      <c r="BE72" s="13">
        <f>BD72*VLOOKUP('Données projet'!$B$11,Paramètres!$A$1:$I$89,3,0)*VLOOKUP('Données projet'!$B$11,Paramètres!$A$1:$I$89,5,0)</f>
        <v>285.94147400000008</v>
      </c>
      <c r="BF72" s="13">
        <f t="shared" si="91"/>
        <v>68.221074600056156</v>
      </c>
      <c r="BG72" s="20">
        <f t="shared" si="61"/>
        <v>616.83310547843132</v>
      </c>
      <c r="BH72" s="59">
        <f t="shared" si="62"/>
        <v>910.16643881176469</v>
      </c>
      <c r="BI72" s="59">
        <f ca="1">AVERAGE(OFFSET($BH$3,0,0,'Données projet'!$E$11+1,1))-AVERAGE(OFFSET($H$3,0,0,'Données projet'!$E$11+1,1))</f>
        <v>349.5718186624772</v>
      </c>
      <c r="BJ72" s="59">
        <f t="shared" si="92"/>
        <v>258.14152930815959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35.054438024561826</v>
      </c>
      <c r="BQ72" s="21">
        <f>EXP(-LN(2)/25)*BQ71+(1-EXP(-LN(2)/25))/(LN(2)/25)*Calculateur!BL72*Calculateur!BN72*VLOOKUP('Données projet'!$B$11,Paramètres!$A$1:$I$89,3,0)*0.475*44/12</f>
        <v>26.840348166780228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61.89478619134205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16.050000000000004</v>
      </c>
      <c r="BY72" s="12">
        <f>IF('Données projet'!$A$114&gt;35,BY71+BX72-CG71,IF(A72&lt;'Données projet'!$A$114,$BV$205^A72,IF(A72='Données projet'!$A$114,'Données projet'!$B$114,BY71+BX72-CG71)))</f>
        <v>433.68999999999988</v>
      </c>
      <c r="BZ72" s="13">
        <f>BY72*VLOOKUP('Données projet'!$B$12,Paramètres!$A$1:$I$89,3,0)*VLOOKUP('Données projet'!$B$12,Paramètres!$A$1:$I$89,5,0)</f>
        <v>202.96691999999993</v>
      </c>
      <c r="CA72" s="13">
        <f t="shared" si="93"/>
        <v>50.395647071710499</v>
      </c>
      <c r="CB72" s="20">
        <f t="shared" si="64"/>
        <v>441.27313764989566</v>
      </c>
      <c r="CC72" s="59">
        <f t="shared" si="65"/>
        <v>734.60647098322897</v>
      </c>
      <c r="CD72" s="59">
        <f ca="1">AVERAGE(OFFSET($CC$3,0,0,'Données projet'!$E$12+1,1))-AVERAGE(OFFSET($H$3,0,0,'Données projet'!$E$12+1,1))</f>
        <v>356.22620301934836</v>
      </c>
      <c r="CE72" s="59">
        <f t="shared" si="94"/>
        <v>342.25495410715513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61.207014669634788</v>
      </c>
      <c r="CL72" s="21">
        <f>EXP(-LN(2)/25)*CL71+(1-EXP(-LN(2)/25))/(LN(2)/25)*Calculateur!CG72*Calculateur!CI72*VLOOKUP('Données projet'!$B$12,Paramètres!$A$1:$I$89,3,0)*0.475*44/12</f>
        <v>36.937604627435107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98.144619297069895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8.4087499999999977</v>
      </c>
      <c r="CT72" s="12">
        <f>IF('Données projet'!$A$140&gt;35,CT71+CS72-DB71,IF(A72&lt;'Données projet'!$A$140,$CQ$205^A72,IF(A72='Données projet'!$A$140,'Données projet'!$B$140,CT71+CS72-DB71)))</f>
        <v>191.44750000000016</v>
      </c>
      <c r="CU72" s="17">
        <f>CT72*VLOOKUP('Données projet'!$B$13,Paramètres!$A$1:$I$89,3,0)*VLOOKUP('Données projet'!$B$13,Paramètres!$A$1:$I$89,5,0)</f>
        <v>218.02041300000019</v>
      </c>
      <c r="CV72" s="13">
        <f t="shared" si="95"/>
        <v>53.684406189054457</v>
      </c>
      <c r="CW72" s="20">
        <f t="shared" si="67"/>
        <v>473.21922675427021</v>
      </c>
      <c r="CX72" s="59">
        <f t="shared" si="68"/>
        <v>766.55256008760352</v>
      </c>
      <c r="CY72" s="59">
        <f ca="1">AVERAGE(OFFSET($CX$3,0,0,'Données projet'!$E$13+1,1))-AVERAGE(OFFSET($H$3,0,0,'Données projet'!$E$13+1,1))</f>
        <v>473.48875234867705</v>
      </c>
      <c r="CZ72" s="59">
        <f t="shared" si="96"/>
        <v>322.74347070996379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25.70638848548602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25.70638848548602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300.80663531652721</v>
      </c>
      <c r="T73" s="59">
        <f t="shared" si="88"/>
        <v>306.01967513533549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113.4507184780368</v>
      </c>
      <c r="AA73" s="21">
        <f>EXP(-LN(2)/25)*AA72+(1-EXP(-LN(2)/25))/(LN(2)/25)*Calculateur!V73*Calculateur!X73*VLOOKUP('Données projet'!$B$9,Paramètres!$A$1:$I$89,3,0)*0.475*44/12</f>
        <v>64.944924454993952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178.39564293303076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490.06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490.06000000000012</v>
      </c>
      <c r="AJ73" s="13">
        <f>AI73*VLOOKUP('Données projet'!$B$10,Paramètres!$A$1:$I$89,3,0)*VLOOKUP('Données projet'!$B$10,Paramètres!$A$1:$I$89,5,0)</f>
        <v>293.05588000000012</v>
      </c>
      <c r="AK73" s="13">
        <f t="shared" si="89"/>
        <v>69.718730961493122</v>
      </c>
      <c r="AL73" s="20">
        <f t="shared" si="58"/>
        <v>631.83244742460067</v>
      </c>
      <c r="AM73" s="59">
        <f t="shared" si="59"/>
        <v>925.16578075793404</v>
      </c>
      <c r="AN73" s="59">
        <f ca="1">AVERAGE(OFFSET($AM$3,0,0,'Données projet'!$E$10+1,1))-AVERAGE(OFFSET($H$3,0,0,'Données projet'!$E$10+1,1))</f>
        <v>349.5718186624772</v>
      </c>
      <c r="AO73" s="59">
        <f t="shared" si="90"/>
        <v>258.14152930815959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0.13500000000000001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51.329232042457562</v>
      </c>
      <c r="AV73" s="21">
        <f>EXP(-LN(2)/25)*AV72+(1-EXP(-LN(2)/25))/(LN(2)/25)*Calculateur!AQ73*Calculateur!AS73*VLOOKUP('Données projet'!$B$10,Paramètres!$A$1:$I$89,3,0)*0.475*44/12</f>
        <v>33.347284674976294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84.676516717433856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490.06</v>
      </c>
      <c r="BB73" s="12">
        <f>VLOOKUP(A73,'Données projet'!$A$87:$I$107,9,0)</f>
        <v>11.896999999999997</v>
      </c>
      <c r="BC73" s="12">
        <f t="array" ref="BC73">INDEX(BB:BB,MIN(IF(ISNUMBER(BB73:BB269),ROW(BB73:BB269),"")))</f>
        <v>11.896999999999997</v>
      </c>
      <c r="BD73" s="12">
        <f>IF('Données projet'!$A$88&gt;35,BD72+BC73-BL72,IF(A73&lt;'Données projet'!$A$88,$BA$205^A73,IF(A73='Données projet'!$A$88,'Données projet'!$B$88,BD72+BC73-BL72)))</f>
        <v>490.06000000000012</v>
      </c>
      <c r="BE73" s="13">
        <f>BD73*VLOOKUP('Données projet'!$B$11,Paramètres!$A$1:$I$89,3,0)*VLOOKUP('Données projet'!$B$11,Paramètres!$A$1:$I$89,5,0)</f>
        <v>293.05588000000012</v>
      </c>
      <c r="BF73" s="13">
        <f t="shared" si="91"/>
        <v>69.718730961493122</v>
      </c>
      <c r="BG73" s="20">
        <f t="shared" si="61"/>
        <v>631.83244742460067</v>
      </c>
      <c r="BH73" s="59">
        <f t="shared" si="62"/>
        <v>925.16578075793404</v>
      </c>
      <c r="BI73" s="59">
        <f ca="1">AVERAGE(OFFSET($BH$3,0,0,'Données projet'!$E$11+1,1))-AVERAGE(OFFSET($H$3,0,0,'Données projet'!$E$11+1,1))</f>
        <v>349.5718186624772</v>
      </c>
      <c r="BJ73" s="59">
        <f t="shared" si="92"/>
        <v>258.14152930815959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67.88</v>
      </c>
      <c r="BM73" s="16">
        <f>IF(ISNA(VLOOKUP(A73,'Données projet'!$A$87:$I$107,5,0)),0%,VLOOKUP(A73,'Données projet'!$A$87:$I$107,5,0)*VLOOKUP('Données projet'!$B$11,Paramètres!$A$1:$I$89,7,0))</f>
        <v>0.315</v>
      </c>
      <c r="BN73" s="16">
        <f>IF(ISNA(VLOOKUP(A73,'Données projet'!$A$87:$I$107,6,0)),0%,VLOOKUP(A73,'Données projet'!$A$87:$I$107,6,0)*VLOOKUP('Données projet'!$B$11,Paramètres!$A$1:$I$89,7,0))</f>
        <v>0.13500000000000001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51.329232042457562</v>
      </c>
      <c r="BQ73" s="21">
        <f>EXP(-LN(2)/25)*BQ72+(1-EXP(-LN(2)/25))/(LN(2)/25)*Calculateur!BL73*Calculateur!BN73*VLOOKUP('Données projet'!$B$11,Paramètres!$A$1:$I$89,3,0)*0.475*44/12</f>
        <v>33.347284674976294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84.676516717433856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16.050000000000004</v>
      </c>
      <c r="BY73" s="12">
        <f>IF('Données projet'!$A$114&gt;35,BY72+BX73-CG72,IF(A73&lt;'Données projet'!$A$114,$BV$205^A73,IF(A73='Données projet'!$A$114,'Données projet'!$B$114,BY72+BX73-CG72)))</f>
        <v>449.7399999999999</v>
      </c>
      <c r="BZ73" s="13">
        <f>BY73*VLOOKUP('Données projet'!$B$12,Paramètres!$A$1:$I$89,3,0)*VLOOKUP('Données projet'!$B$12,Paramètres!$A$1:$I$89,5,0)</f>
        <v>210.47831999999997</v>
      </c>
      <c r="CA73" s="13">
        <f t="shared" si="93"/>
        <v>52.040096808248755</v>
      </c>
      <c r="CB73" s="20">
        <f t="shared" si="64"/>
        <v>457.21957594103316</v>
      </c>
      <c r="CC73" s="59">
        <f t="shared" si="65"/>
        <v>750.55290927436647</v>
      </c>
      <c r="CD73" s="59">
        <f ca="1">AVERAGE(OFFSET($CC$3,0,0,'Données projet'!$E$12+1,1))-AVERAGE(OFFSET($H$3,0,0,'Données projet'!$E$12+1,1))</f>
        <v>356.22620301934836</v>
      </c>
      <c r="CE73" s="59">
        <f t="shared" si="94"/>
        <v>342.25495410715513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60.00678244455591</v>
      </c>
      <c r="CL73" s="21">
        <f>EXP(-LN(2)/25)*CL72+(1-EXP(-LN(2)/25))/(LN(2)/25)*Calculateur!CG73*Calculateur!CI73*VLOOKUP('Données projet'!$B$12,Paramètres!$A$1:$I$89,3,0)*0.475*44/12</f>
        <v>35.927543886433689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95.934326330989592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8.4087499999999977</v>
      </c>
      <c r="CT73" s="12">
        <f>IF('Données projet'!$A$140&gt;35,CT72+CS73-DB72,IF(A73&lt;'Données projet'!$A$140,$CQ$205^A73,IF(A73='Données projet'!$A$140,'Données projet'!$B$140,CT72+CS73-DB72)))</f>
        <v>199.85625000000016</v>
      </c>
      <c r="CU73" s="17">
        <f>CT73*VLOOKUP('Données projet'!$B$13,Paramètres!$A$1:$I$89,3,0)*VLOOKUP('Données projet'!$B$13,Paramètres!$A$1:$I$89,5,0)</f>
        <v>227.59629750000019</v>
      </c>
      <c r="CV73" s="13">
        <f t="shared" si="95"/>
        <v>55.762627490491802</v>
      </c>
      <c r="CW73" s="20">
        <f t="shared" si="67"/>
        <v>493.51679435844017</v>
      </c>
      <c r="CX73" s="59">
        <f t="shared" si="68"/>
        <v>786.85012769177342</v>
      </c>
      <c r="CY73" s="59">
        <f ca="1">AVERAGE(OFFSET($CX$3,0,0,'Données projet'!$E$13+1,1))-AVERAGE(OFFSET($H$3,0,0,'Données projet'!$E$13+1,1))</f>
        <v>473.48875234867705</v>
      </c>
      <c r="CZ73" s="59">
        <f t="shared" si="96"/>
        <v>322.74347070996379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25.202301886634409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25.202301886634409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300.80663531652721</v>
      </c>
      <c r="T74" s="59">
        <f t="shared" si="88"/>
        <v>306.01967513533549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111.22601908678803</v>
      </c>
      <c r="AA74" s="21">
        <f>EXP(-LN(2)/25)*AA73+(1-EXP(-LN(2)/25))/(LN(2)/25)*Calculateur!V74*Calculateur!X74*VLOOKUP('Données projet'!$B$9,Paramètres!$A$1:$I$89,3,0)*0.475*44/12</f>
        <v>63.169002080466996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174.39502116725504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9.782</v>
      </c>
      <c r="AI74" s="13">
        <f>IF('Données projet'!$A$62&gt;35,AI73+AH74-AQ73,IF(A74&lt;'Données projet'!$A$62,$AF$205^A74,IF(A74='Données projet'!$A$62,'Données projet'!$B$62,AI73+AH74-AQ73)))</f>
        <v>431.9620000000001</v>
      </c>
      <c r="AJ74" s="13">
        <f>AI74*VLOOKUP('Données projet'!$B$10,Paramètres!$A$1:$I$89,3,0)*VLOOKUP('Données projet'!$B$10,Paramètres!$A$1:$I$89,5,0)</f>
        <v>258.31327600000009</v>
      </c>
      <c r="AK74" s="13">
        <f t="shared" si="89"/>
        <v>62.362700481716175</v>
      </c>
      <c r="AL74" s="20">
        <f t="shared" si="58"/>
        <v>558.51065903898916</v>
      </c>
      <c r="AM74" s="59">
        <f t="shared" si="59"/>
        <v>851.84399237232242</v>
      </c>
      <c r="AN74" s="59">
        <f ca="1">AVERAGE(OFFSET($AM$3,0,0,'Données projet'!$E$10+1,1))-AVERAGE(OFFSET($H$3,0,0,'Données projet'!$E$10+1,1))</f>
        <v>349.5718186624772</v>
      </c>
      <c r="AO74" s="59">
        <f t="shared" si="90"/>
        <v>258.14152930815959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50.32269710984513</v>
      </c>
      <c r="AV74" s="21">
        <f>EXP(-LN(2)/25)*AV73+(1-EXP(-LN(2)/25))/(LN(2)/25)*Calculateur!AQ74*Calculateur!AS74*VLOOKUP('Données projet'!$B$10,Paramètres!$A$1:$I$89,3,0)*0.475*44/12</f>
        <v>32.435401421881579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82.758098531726716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9.782</v>
      </c>
      <c r="BD74" s="12">
        <f>IF('Données projet'!$A$88&gt;35,BD73+BC74-BL73,IF(A74&lt;'Données projet'!$A$88,$BA$205^A74,IF(A74='Données projet'!$A$88,'Données projet'!$B$88,BD73+BC74-BL73)))</f>
        <v>431.9620000000001</v>
      </c>
      <c r="BE74" s="13">
        <f>BD74*VLOOKUP('Données projet'!$B$11,Paramètres!$A$1:$I$89,3,0)*VLOOKUP('Données projet'!$B$11,Paramètres!$A$1:$I$89,5,0)</f>
        <v>258.31327600000009</v>
      </c>
      <c r="BF74" s="13">
        <f t="shared" si="91"/>
        <v>62.362700481716175</v>
      </c>
      <c r="BG74" s="20">
        <f t="shared" si="61"/>
        <v>558.51065903898916</v>
      </c>
      <c r="BH74" s="59">
        <f t="shared" si="62"/>
        <v>851.84399237232242</v>
      </c>
      <c r="BI74" s="59">
        <f ca="1">AVERAGE(OFFSET($BH$3,0,0,'Données projet'!$E$11+1,1))-AVERAGE(OFFSET($H$3,0,0,'Données projet'!$E$11+1,1))</f>
        <v>349.5718186624772</v>
      </c>
      <c r="BJ74" s="59">
        <f t="shared" si="92"/>
        <v>258.14152930815959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50.32269710984513</v>
      </c>
      <c r="BQ74" s="21">
        <f>EXP(-LN(2)/25)*BQ73+(1-EXP(-LN(2)/25))/(LN(2)/25)*Calculateur!BL74*Calculateur!BN74*VLOOKUP('Données projet'!$B$11,Paramètres!$A$1:$I$89,3,0)*0.475*44/12</f>
        <v>32.435401421881579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82.758098531726716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465.79</v>
      </c>
      <c r="BW74" s="12">
        <f>VLOOKUP(A74,'Données projet'!$A$113:$I$133,9,0)</f>
        <v>16.050000000000004</v>
      </c>
      <c r="BX74" s="12">
        <f t="array" ref="BX74">INDEX(BW:BW,MIN(IF(ISNUMBER(BW74:BW270),ROW(BW74:BW270),"")))</f>
        <v>16.050000000000004</v>
      </c>
      <c r="BY74" s="12">
        <f>IF('Données projet'!$A$114&gt;35,BY73+BX74-CG73,IF(A74&lt;'Données projet'!$A$114,$BV$205^A74,IF(A74='Données projet'!$A$114,'Données projet'!$B$114,BY73+BX74-CG73)))</f>
        <v>465.78999999999991</v>
      </c>
      <c r="BZ74" s="13">
        <f>BY74*VLOOKUP('Données projet'!$B$12,Paramètres!$A$1:$I$89,3,0)*VLOOKUP('Données projet'!$B$12,Paramètres!$A$1:$I$89,5,0)</f>
        <v>217.98971999999995</v>
      </c>
      <c r="CA74" s="13">
        <f t="shared" si="93"/>
        <v>53.677728140063088</v>
      </c>
      <c r="CB74" s="20">
        <f t="shared" si="64"/>
        <v>473.15413884394314</v>
      </c>
      <c r="CC74" s="59">
        <f t="shared" si="65"/>
        <v>766.48747217727646</v>
      </c>
      <c r="CD74" s="59">
        <f ca="1">AVERAGE(OFFSET($CC$3,0,0,'Données projet'!$E$12+1,1))-AVERAGE(OFFSET($H$3,0,0,'Données projet'!$E$12+1,1))</f>
        <v>356.22620301934836</v>
      </c>
      <c r="CE74" s="59">
        <f t="shared" si="94"/>
        <v>342.25495410715513</v>
      </c>
      <c r="CF74" s="15">
        <f>IF(ISNA(VLOOKUP(A74,'Données projet'!$A$113:$I$133,3,0)),0,VLOOKUP(A74,'Données projet'!$A$113:$I$133,3,0))</f>
        <v>5</v>
      </c>
      <c r="CG74" s="15">
        <f>IF(ISNA(VLOOKUP(A74,'Données projet'!$A$113:$I$133,4,0)),0,VLOOKUP(A74,'Données projet'!$A$113:$I$133,4,0))</f>
        <v>90.8</v>
      </c>
      <c r="CH74" s="16">
        <f>IF(ISNA(VLOOKUP(A74,'Données projet'!$A$113:$I$133,5,0)),0%,VLOOKUP(A74,'Données projet'!$A$113:$I$133,5,0)*VLOOKUP('Données projet'!$B$12,Paramètres!$A$1:$I$89,7,0))</f>
        <v>0.38500000000000001</v>
      </c>
      <c r="CI74" s="16">
        <f>IF(ISNA(VLOOKUP(A74,'Données projet'!$A$113:$I$133,6,0)),0%,VLOOKUP(A74,'Données projet'!$A$113:$I$133,6,0)*VLOOKUP('Données projet'!$B$12,Paramètres!$A$1:$I$89,7,0))</f>
        <v>0.16500000000000001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80.533136870505004</v>
      </c>
      <c r="CL74" s="21">
        <f>EXP(-LN(2)/25)*CL73+(1-EXP(-LN(2)/25))/(LN(2)/25)*Calculateur!CG74*Calculateur!CI74*VLOOKUP('Données projet'!$B$12,Paramètres!$A$1:$I$89,3,0)*0.475*44/12</f>
        <v>44.20978801602822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124.74292488653322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8.4087499999999977</v>
      </c>
      <c r="CT74" s="12">
        <f>IF('Données projet'!$A$140&gt;35,CT73+CS74-DB73,IF(A74&lt;'Données projet'!$A$140,$CQ$205^A74,IF(A74='Données projet'!$A$140,'Données projet'!$B$140,CT73+CS74-DB73)))</f>
        <v>208.26500000000016</v>
      </c>
      <c r="CU74" s="17">
        <f>CT74*VLOOKUP('Données projet'!$B$13,Paramètres!$A$1:$I$89,3,0)*VLOOKUP('Données projet'!$B$13,Paramètres!$A$1:$I$89,5,0)</f>
        <v>237.17218200000016</v>
      </c>
      <c r="CV74" s="13">
        <f t="shared" si="95"/>
        <v>57.830692602543813</v>
      </c>
      <c r="CW74" s="20">
        <f t="shared" si="67"/>
        <v>513.7966732660974</v>
      </c>
      <c r="CX74" s="59">
        <f t="shared" si="68"/>
        <v>807.13000659943077</v>
      </c>
      <c r="CY74" s="59">
        <f ca="1">AVERAGE(OFFSET($CX$3,0,0,'Données projet'!$E$13+1,1))-AVERAGE(OFFSET($H$3,0,0,'Données projet'!$E$13+1,1))</f>
        <v>473.48875234867705</v>
      </c>
      <c r="CZ74" s="59">
        <f t="shared" si="96"/>
        <v>322.74347070996379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24.708100118523813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24.708100118523813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300.80663531652721</v>
      </c>
      <c r="T75" s="59">
        <f t="shared" si="88"/>
        <v>306.01967513533549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109.044944693669</v>
      </c>
      <c r="AA75" s="21">
        <f>EXP(-LN(2)/25)*AA74+(1-EXP(-LN(2)/25))/(LN(2)/25)*Calculateur!V75*Calculateur!X75*VLOOKUP('Données projet'!$B$9,Paramètres!$A$1:$I$89,3,0)*0.475*44/12</f>
        <v>61.441642396663184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170.48658709033219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9.782</v>
      </c>
      <c r="AI75" s="13">
        <f>IF('Données projet'!$A$62&gt;35,AI74+AH75-AQ74,IF(A75&lt;'Données projet'!$A$62,$AF$205^A75,IF(A75='Données projet'!$A$62,'Données projet'!$B$62,AI74+AH75-AQ74)))</f>
        <v>441.74400000000009</v>
      </c>
      <c r="AJ75" s="13">
        <f>AI75*VLOOKUP('Données projet'!$B$10,Paramètres!$A$1:$I$89,3,0)*VLOOKUP('Données projet'!$B$10,Paramètres!$A$1:$I$89,5,0)</f>
        <v>264.16291200000006</v>
      </c>
      <c r="AK75" s="13">
        <f t="shared" si="89"/>
        <v>63.608920560680907</v>
      </c>
      <c r="AL75" s="20">
        <f t="shared" si="58"/>
        <v>570.86927504318601</v>
      </c>
      <c r="AM75" s="59">
        <f t="shared" si="59"/>
        <v>864.20260837651927</v>
      </c>
      <c r="AN75" s="59">
        <f ca="1">AVERAGE(OFFSET($AM$3,0,0,'Données projet'!$E$10+1,1))-AVERAGE(OFFSET($H$3,0,0,'Données projet'!$E$10+1,1))</f>
        <v>349.5718186624772</v>
      </c>
      <c r="AO75" s="59">
        <f t="shared" si="90"/>
        <v>258.14152930815959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49.335899713335543</v>
      </c>
      <c r="AV75" s="21">
        <f>EXP(-LN(2)/25)*AV74+(1-EXP(-LN(2)/25))/(LN(2)/25)*Calculateur!AQ75*Calculateur!AS75*VLOOKUP('Données projet'!$B$10,Paramètres!$A$1:$I$89,3,0)*0.475*44/12</f>
        <v>31.548453664296598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80.884353377632138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9.782</v>
      </c>
      <c r="BD75" s="12">
        <f>IF('Données projet'!$A$88&gt;35,BD74+BC75-BL74,IF(A75&lt;'Données projet'!$A$88,$BA$205^A75,IF(A75='Données projet'!$A$88,'Données projet'!$B$88,BD74+BC75-BL74)))</f>
        <v>441.74400000000009</v>
      </c>
      <c r="BE75" s="13">
        <f>BD75*VLOOKUP('Données projet'!$B$11,Paramètres!$A$1:$I$89,3,0)*VLOOKUP('Données projet'!$B$11,Paramètres!$A$1:$I$89,5,0)</f>
        <v>264.16291200000006</v>
      </c>
      <c r="BF75" s="13">
        <f t="shared" si="91"/>
        <v>63.608920560680907</v>
      </c>
      <c r="BG75" s="20">
        <f t="shared" si="61"/>
        <v>570.86927504318601</v>
      </c>
      <c r="BH75" s="59">
        <f t="shared" si="62"/>
        <v>864.20260837651927</v>
      </c>
      <c r="BI75" s="59">
        <f ca="1">AVERAGE(OFFSET($BH$3,0,0,'Données projet'!$E$11+1,1))-AVERAGE(OFFSET($H$3,0,0,'Données projet'!$E$11+1,1))</f>
        <v>349.5718186624772</v>
      </c>
      <c r="BJ75" s="59">
        <f t="shared" si="92"/>
        <v>258.14152930815959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49.335899713335543</v>
      </c>
      <c r="BQ75" s="21">
        <f>EXP(-LN(2)/25)*BQ74+(1-EXP(-LN(2)/25))/(LN(2)/25)*Calculateur!BL75*Calculateur!BN75*VLOOKUP('Données projet'!$B$11,Paramètres!$A$1:$I$89,3,0)*0.475*44/12</f>
        <v>31.548453664296598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80.884353377632138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15.115000000000002</v>
      </c>
      <c r="BY75" s="12">
        <f>IF('Données projet'!$A$114&gt;35,BY74+BX75-CG74,IF(A75&lt;'Données projet'!$A$114,$BV$205^A75,IF(A75='Données projet'!$A$114,'Données projet'!$B$114,BY74+BX75-CG74)))</f>
        <v>390.1049999999999</v>
      </c>
      <c r="BZ75" s="13">
        <f>BY75*VLOOKUP('Données projet'!$B$12,Paramètres!$A$1:$I$89,3,0)*VLOOKUP('Données projet'!$B$12,Paramètres!$A$1:$I$89,5,0)</f>
        <v>182.56913999999995</v>
      </c>
      <c r="CA75" s="13">
        <f t="shared" si="93"/>
        <v>45.893300175788823</v>
      </c>
      <c r="CB75" s="20">
        <f t="shared" si="64"/>
        <v>397.90541663949875</v>
      </c>
      <c r="CC75" s="59">
        <f t="shared" si="65"/>
        <v>691.23874997283201</v>
      </c>
      <c r="CD75" s="59">
        <f ca="1">AVERAGE(OFFSET($CC$3,0,0,'Données projet'!$E$12+1,1))-AVERAGE(OFFSET($H$3,0,0,'Données projet'!$E$12+1,1))</f>
        <v>356.22620301934836</v>
      </c>
      <c r="CE75" s="59">
        <f t="shared" si="94"/>
        <v>342.25495410715513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78.953931176837656</v>
      </c>
      <c r="CL75" s="21">
        <f>EXP(-LN(2)/25)*CL74+(1-EXP(-LN(2)/25))/(LN(2)/25)*Calculateur!CG75*Calculateur!CI75*VLOOKUP('Données projet'!$B$12,Paramètres!$A$1:$I$89,3,0)*0.475*44/12</f>
        <v>43.000869037838221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121.95480021467588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8.4087499999999977</v>
      </c>
      <c r="CT75" s="12">
        <f>IF('Données projet'!$A$140&gt;35,CT74+CS75-DB74,IF(A75&lt;'Données projet'!$A$140,$CQ$205^A75,IF(A75='Données projet'!$A$140,'Données projet'!$B$140,CT74+CS75-DB74)))</f>
        <v>216.67375000000015</v>
      </c>
      <c r="CU75" s="17">
        <f>CT75*VLOOKUP('Données projet'!$B$13,Paramètres!$A$1:$I$89,3,0)*VLOOKUP('Données projet'!$B$13,Paramètres!$A$1:$I$89,5,0)</f>
        <v>246.74806650000019</v>
      </c>
      <c r="CV75" s="13">
        <f t="shared" si="95"/>
        <v>59.889058493657245</v>
      </c>
      <c r="CW75" s="20">
        <f t="shared" si="67"/>
        <v>534.05965936395341</v>
      </c>
      <c r="CX75" s="59">
        <f t="shared" si="68"/>
        <v>827.39299269728667</v>
      </c>
      <c r="CY75" s="59">
        <f ca="1">AVERAGE(OFFSET($CX$3,0,0,'Données projet'!$E$13+1,1))-AVERAGE(OFFSET($H$3,0,0,'Données projet'!$E$13+1,1))</f>
        <v>473.48875234867705</v>
      </c>
      <c r="CZ75" s="59">
        <f t="shared" si="96"/>
        <v>322.74347070996379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24.223589345652549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24.223589345652549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300.80663531652721</v>
      </c>
      <c r="T76" s="59">
        <f t="shared" si="88"/>
        <v>306.01967513533549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106.90663983907501</v>
      </c>
      <c r="AA76" s="21">
        <f>EXP(-LN(2)/25)*AA75+(1-EXP(-LN(2)/25))/(LN(2)/25)*Calculateur!V76*Calculateur!X76*VLOOKUP('Données projet'!$B$9,Paramètres!$A$1:$I$89,3,0)*0.475*44/12</f>
        <v>59.761517454250885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166.66815729332589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9.782</v>
      </c>
      <c r="AI76" s="13">
        <f>IF('Données projet'!$A$62&gt;35,AI75+AH76-AQ75,IF(A76&lt;'Données projet'!$A$62,$AF$205^A76,IF(A76='Données projet'!$A$62,'Données projet'!$B$62,AI75+AH76-AQ75)))</f>
        <v>451.52600000000007</v>
      </c>
      <c r="AJ76" s="13">
        <f>AI76*VLOOKUP('Données projet'!$B$10,Paramètres!$A$1:$I$89,3,0)*VLOOKUP('Données projet'!$B$10,Paramètres!$A$1:$I$89,5,0)</f>
        <v>270.01254800000004</v>
      </c>
      <c r="AK76" s="13">
        <f t="shared" si="89"/>
        <v>64.851932282926271</v>
      </c>
      <c r="AL76" s="20">
        <f t="shared" si="58"/>
        <v>583.22230315943</v>
      </c>
      <c r="AM76" s="59">
        <f t="shared" si="59"/>
        <v>876.55563649276337</v>
      </c>
      <c r="AN76" s="59">
        <f ca="1">AVERAGE(OFFSET($AM$3,0,0,'Données projet'!$E$10+1,1))-AVERAGE(OFFSET($H$3,0,0,'Données projet'!$E$10+1,1))</f>
        <v>349.5718186624772</v>
      </c>
      <c r="AO76" s="59">
        <f t="shared" si="90"/>
        <v>258.14152930815959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48.368452811884524</v>
      </c>
      <c r="AV76" s="21">
        <f>EXP(-LN(2)/25)*AV75+(1-EXP(-LN(2)/25))/(LN(2)/25)*Calculateur!AQ76*Calculateur!AS76*VLOOKUP('Données projet'!$B$10,Paramètres!$A$1:$I$89,3,0)*0.475*44/12</f>
        <v>30.685759539785334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79.054212351669861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9.782</v>
      </c>
      <c r="BD76" s="12">
        <f>IF('Données projet'!$A$88&gt;35,BD75+BC76-BL75,IF(A76&lt;'Données projet'!$A$88,$BA$205^A76,IF(A76='Données projet'!$A$88,'Données projet'!$B$88,BD75+BC76-BL75)))</f>
        <v>451.52600000000007</v>
      </c>
      <c r="BE76" s="13">
        <f>BD76*VLOOKUP('Données projet'!$B$11,Paramètres!$A$1:$I$89,3,0)*VLOOKUP('Données projet'!$B$11,Paramètres!$A$1:$I$89,5,0)</f>
        <v>270.01254800000004</v>
      </c>
      <c r="BF76" s="13">
        <f t="shared" si="91"/>
        <v>64.851932282926271</v>
      </c>
      <c r="BG76" s="20">
        <f t="shared" si="61"/>
        <v>583.22230315943</v>
      </c>
      <c r="BH76" s="59">
        <f t="shared" si="62"/>
        <v>876.55563649276337</v>
      </c>
      <c r="BI76" s="59">
        <f ca="1">AVERAGE(OFFSET($BH$3,0,0,'Données projet'!$E$11+1,1))-AVERAGE(OFFSET($H$3,0,0,'Données projet'!$E$11+1,1))</f>
        <v>349.5718186624772</v>
      </c>
      <c r="BJ76" s="59">
        <f t="shared" si="92"/>
        <v>258.14152930815959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48.368452811884524</v>
      </c>
      <c r="BQ76" s="21">
        <f>EXP(-LN(2)/25)*BQ75+(1-EXP(-LN(2)/25))/(LN(2)/25)*Calculateur!BL76*Calculateur!BN76*VLOOKUP('Données projet'!$B$11,Paramètres!$A$1:$I$89,3,0)*0.475*44/12</f>
        <v>30.685759539785334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79.054212351669861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15.115000000000002</v>
      </c>
      <c r="BY76" s="12">
        <f>IF('Données projet'!$A$114&gt;35,BY75+BX76-CG75,IF(A76&lt;'Données projet'!$A$114,$BV$205^A76,IF(A76='Données projet'!$A$114,'Données projet'!$B$114,BY75+BX76-CG75)))</f>
        <v>405.21999999999991</v>
      </c>
      <c r="BZ76" s="13">
        <f>BY76*VLOOKUP('Données projet'!$B$12,Paramètres!$A$1:$I$89,3,0)*VLOOKUP('Données projet'!$B$12,Paramètres!$A$1:$I$89,5,0)</f>
        <v>189.64295999999996</v>
      </c>
      <c r="CA76" s="13">
        <f t="shared" si="93"/>
        <v>47.461007737470666</v>
      </c>
      <c r="CB76" s="20">
        <f t="shared" si="64"/>
        <v>412.95607714276122</v>
      </c>
      <c r="CC76" s="59">
        <f t="shared" si="65"/>
        <v>706.28941047609453</v>
      </c>
      <c r="CD76" s="59">
        <f ca="1">AVERAGE(OFFSET($CC$3,0,0,'Données projet'!$E$12+1,1))-AVERAGE(OFFSET($H$3,0,0,'Données projet'!$E$12+1,1))</f>
        <v>356.22620301934836</v>
      </c>
      <c r="CE76" s="59">
        <f t="shared" si="94"/>
        <v>342.25495410715513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77.405692743602771</v>
      </c>
      <c r="CL76" s="21">
        <f>EXP(-LN(2)/25)*CL75+(1-EXP(-LN(2)/25))/(LN(2)/25)*Calculateur!CG76*Calculateur!CI76*VLOOKUP('Données projet'!$B$12,Paramètres!$A$1:$I$89,3,0)*0.475*44/12</f>
        <v>41.82500801268111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119.23070075628388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8.4087499999999977</v>
      </c>
      <c r="CT76" s="12">
        <f>IF('Données projet'!$A$140&gt;35,CT75+CS76-DB75,IF(A76&lt;'Données projet'!$A$140,$CQ$205^A76,IF(A76='Données projet'!$A$140,'Données projet'!$B$140,CT75+CS76-DB75)))</f>
        <v>225.08250000000015</v>
      </c>
      <c r="CU76" s="17">
        <f>CT76*VLOOKUP('Données projet'!$B$13,Paramètres!$A$1:$I$89,3,0)*VLOOKUP('Données projet'!$B$13,Paramètres!$A$1:$I$89,5,0)</f>
        <v>256.32395100000019</v>
      </c>
      <c r="CV76" s="13">
        <f t="shared" si="95"/>
        <v>61.938144655513113</v>
      </c>
      <c r="CW76" s="20">
        <f t="shared" si="67"/>
        <v>554.30648326668563</v>
      </c>
      <c r="CX76" s="59">
        <f t="shared" si="68"/>
        <v>847.639816600019</v>
      </c>
      <c r="CY76" s="59">
        <f ca="1">AVERAGE(OFFSET($CX$3,0,0,'Données projet'!$E$13+1,1))-AVERAGE(OFFSET($H$3,0,0,'Données projet'!$E$13+1,1))</f>
        <v>473.48875234867705</v>
      </c>
      <c r="CZ76" s="59">
        <f t="shared" si="96"/>
        <v>322.74347070996379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23.748579533514899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23.748579533514899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300.80663531652721</v>
      </c>
      <c r="T77" s="59">
        <f t="shared" si="88"/>
        <v>306.01967513533549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104.81026583844243</v>
      </c>
      <c r="AA77" s="21">
        <f>EXP(-LN(2)/25)*AA76+(1-EXP(-LN(2)/25))/(LN(2)/25)*Calculateur!V77*Calculateur!X77*VLOOKUP('Données projet'!$B$9,Paramètres!$A$1:$I$89,3,0)*0.475*44/12</f>
        <v>58.127335616742776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162.93760145518522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9.782</v>
      </c>
      <c r="AI77" s="13">
        <f>IF('Données projet'!$A$62&gt;35,AI76+AH77-AQ76,IF(A77&lt;'Données projet'!$A$62,$AF$205^A77,IF(A77='Données projet'!$A$62,'Données projet'!$B$62,AI76+AH77-AQ76)))</f>
        <v>461.30800000000005</v>
      </c>
      <c r="AJ77" s="13">
        <f>AI77*VLOOKUP('Données projet'!$B$10,Paramètres!$A$1:$I$89,3,0)*VLOOKUP('Données projet'!$B$10,Paramètres!$A$1:$I$89,5,0)</f>
        <v>275.86218400000007</v>
      </c>
      <c r="AK77" s="13">
        <f t="shared" si="89"/>
        <v>66.091813160377626</v>
      </c>
      <c r="AL77" s="20">
        <f t="shared" si="58"/>
        <v>595.5698783876577</v>
      </c>
      <c r="AM77" s="59">
        <f t="shared" si="59"/>
        <v>888.90321172099107</v>
      </c>
      <c r="AN77" s="59">
        <f ca="1">AVERAGE(OFFSET($AM$3,0,0,'Données projet'!$E$10+1,1))-AVERAGE(OFFSET($H$3,0,0,'Données projet'!$E$10+1,1))</f>
        <v>349.5718186624772</v>
      </c>
      <c r="AO77" s="59">
        <f t="shared" si="90"/>
        <v>258.14152930815959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47.419976954086621</v>
      </c>
      <c r="AV77" s="21">
        <f>EXP(-LN(2)/25)*AV76+(1-EXP(-LN(2)/25))/(LN(2)/25)*Calculateur!AQ77*Calculateur!AS77*VLOOKUP('Données projet'!$B$10,Paramètres!$A$1:$I$89,3,0)*0.475*44/12</f>
        <v>29.846655831475942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77.266632785562564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9.782</v>
      </c>
      <c r="BD77" s="12">
        <f>IF('Données projet'!$A$88&gt;35,BD76+BC77-BL76,IF(A77&lt;'Données projet'!$A$88,$BA$205^A77,IF(A77='Données projet'!$A$88,'Données projet'!$B$88,BD76+BC77-BL76)))</f>
        <v>461.30800000000005</v>
      </c>
      <c r="BE77" s="13">
        <f>BD77*VLOOKUP('Données projet'!$B$11,Paramètres!$A$1:$I$89,3,0)*VLOOKUP('Données projet'!$B$11,Paramètres!$A$1:$I$89,5,0)</f>
        <v>275.86218400000007</v>
      </c>
      <c r="BF77" s="13">
        <f t="shared" si="91"/>
        <v>66.091813160377626</v>
      </c>
      <c r="BG77" s="20">
        <f t="shared" si="61"/>
        <v>595.5698783876577</v>
      </c>
      <c r="BH77" s="59">
        <f t="shared" si="62"/>
        <v>888.90321172099107</v>
      </c>
      <c r="BI77" s="59">
        <f ca="1">AVERAGE(OFFSET($BH$3,0,0,'Données projet'!$E$11+1,1))-AVERAGE(OFFSET($H$3,0,0,'Données projet'!$E$11+1,1))</f>
        <v>349.5718186624772</v>
      </c>
      <c r="BJ77" s="59">
        <f t="shared" si="92"/>
        <v>258.14152930815959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47.419976954086621</v>
      </c>
      <c r="BQ77" s="21">
        <f>EXP(-LN(2)/25)*BQ76+(1-EXP(-LN(2)/25))/(LN(2)/25)*Calculateur!BL77*Calculateur!BN77*VLOOKUP('Données projet'!$B$11,Paramètres!$A$1:$I$89,3,0)*0.475*44/12</f>
        <v>29.846655831475942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77.266632785562564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15.115000000000002</v>
      </c>
      <c r="BY77" s="12">
        <f>IF('Données projet'!$A$114&gt;35,BY76+BX77-CG76,IF(A77&lt;'Données projet'!$A$114,$BV$205^A77,IF(A77='Données projet'!$A$114,'Données projet'!$B$114,BY76+BX77-CG76)))</f>
        <v>420.33499999999992</v>
      </c>
      <c r="BZ77" s="13">
        <f>BY77*VLOOKUP('Données projet'!$B$12,Paramètres!$A$1:$I$89,3,0)*VLOOKUP('Données projet'!$B$12,Paramètres!$A$1:$I$89,5,0)</f>
        <v>196.71677999999994</v>
      </c>
      <c r="CA77" s="13">
        <f t="shared" si="93"/>
        <v>49.021921710754086</v>
      </c>
      <c r="CB77" s="20">
        <f t="shared" si="64"/>
        <v>427.99490547956322</v>
      </c>
      <c r="CC77" s="59">
        <f t="shared" si="65"/>
        <v>721.32823881289653</v>
      </c>
      <c r="CD77" s="59">
        <f ca="1">AVERAGE(OFFSET($CC$3,0,0,'Données projet'!$E$12+1,1))-AVERAGE(OFFSET($H$3,0,0,'Données projet'!$E$12+1,1))</f>
        <v>356.22620301934836</v>
      </c>
      <c r="CE77" s="59">
        <f t="shared" si="94"/>
        <v>342.25495410715513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75.887814321711417</v>
      </c>
      <c r="CL77" s="21">
        <f>EXP(-LN(2)/25)*CL76+(1-EXP(-LN(2)/25))/(LN(2)/25)*Calculateur!CG77*Calculateur!CI77*VLOOKUP('Données projet'!$B$12,Paramètres!$A$1:$I$89,3,0)*0.475*44/12</f>
        <v>40.681300969092767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116.56911529080418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8.4087499999999977</v>
      </c>
      <c r="CT77" s="12">
        <f>IF('Données projet'!$A$140&gt;35,CT76+CS77-DB76,IF(A77&lt;'Données projet'!$A$140,$CQ$205^A77,IF(A77='Données projet'!$A$140,'Données projet'!$B$140,CT76+CS77-DB76)))</f>
        <v>233.49125000000015</v>
      </c>
      <c r="CU77" s="17">
        <f>CT77*VLOOKUP('Données projet'!$B$13,Paramètres!$A$1:$I$89,3,0)*VLOOKUP('Données projet'!$B$13,Paramètres!$A$1:$I$89,5,0)</f>
        <v>265.89983550000017</v>
      </c>
      <c r="CV77" s="13">
        <f t="shared" si="95"/>
        <v>63.978337460923775</v>
      </c>
      <c r="CW77" s="20">
        <f t="shared" si="67"/>
        <v>574.53781790694256</v>
      </c>
      <c r="CX77" s="59">
        <f t="shared" si="68"/>
        <v>867.87115124027582</v>
      </c>
      <c r="CY77" s="59">
        <f ca="1">AVERAGE(OFFSET($CX$3,0,0,'Données projet'!$E$13+1,1))-AVERAGE(OFFSET($H$3,0,0,'Données projet'!$E$13+1,1))</f>
        <v>473.48875234867705</v>
      </c>
      <c r="CZ77" s="59">
        <f t="shared" si="96"/>
        <v>322.74347070996379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23.282884374065894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23.282884374065894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300.80663531652721</v>
      </c>
      <c r="T78" s="59">
        <f t="shared" si="88"/>
        <v>306.01967513533549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102.75500045330038</v>
      </c>
      <c r="AA78" s="21">
        <f>EXP(-LN(2)/25)*AA77+(1-EXP(-LN(2)/25))/(LN(2)/25)*Calculateur!V78*Calculateur!X78*VLOOKUP('Données projet'!$B$9,Paramètres!$A$1:$I$89,3,0)*0.475*44/12</f>
        <v>56.537840567519218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159.29284102081959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9.782</v>
      </c>
      <c r="AI78" s="13">
        <f>IF('Données projet'!$A$62&gt;35,AI77+AH78-AQ77,IF(A78&lt;'Données projet'!$A$62,$AF$205^A78,IF(A78='Données projet'!$A$62,'Données projet'!$B$62,AI77+AH78-AQ77)))</f>
        <v>471.09000000000003</v>
      </c>
      <c r="AJ78" s="13">
        <f>AI78*VLOOKUP('Données projet'!$B$10,Paramètres!$A$1:$I$89,3,0)*VLOOKUP('Données projet'!$B$10,Paramètres!$A$1:$I$89,5,0)</f>
        <v>281.71182000000005</v>
      </c>
      <c r="AK78" s="13">
        <f t="shared" si="89"/>
        <v>67.328637229880215</v>
      </c>
      <c r="AL78" s="20">
        <f t="shared" si="58"/>
        <v>607.91212967537479</v>
      </c>
      <c r="AM78" s="59">
        <f t="shared" si="59"/>
        <v>901.24546300870816</v>
      </c>
      <c r="AN78" s="59">
        <f ca="1">AVERAGE(OFFSET($AM$3,0,0,'Données projet'!$E$10+1,1))-AVERAGE(OFFSET($H$3,0,0,'Données projet'!$E$10+1,1))</f>
        <v>349.5718186624772</v>
      </c>
      <c r="AO78" s="59">
        <f t="shared" si="90"/>
        <v>258.14152930815959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46.490100129346985</v>
      </c>
      <c r="AV78" s="21">
        <f>EXP(-LN(2)/25)*AV77+(1-EXP(-LN(2)/25))/(LN(2)/25)*Calculateur!AQ78*Calculateur!AS78*VLOOKUP('Données projet'!$B$10,Paramètres!$A$1:$I$89,3,0)*0.475*44/12</f>
        <v>29.03049745819682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75.520597587543804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9.782</v>
      </c>
      <c r="BD78" s="12">
        <f>IF('Données projet'!$A$88&gt;35,BD77+BC78-BL77,IF(A78&lt;'Données projet'!$A$88,$BA$205^A78,IF(A78='Données projet'!$A$88,'Données projet'!$B$88,BD77+BC78-BL77)))</f>
        <v>471.09000000000003</v>
      </c>
      <c r="BE78" s="13">
        <f>BD78*VLOOKUP('Données projet'!$B$11,Paramètres!$A$1:$I$89,3,0)*VLOOKUP('Données projet'!$B$11,Paramètres!$A$1:$I$89,5,0)</f>
        <v>281.71182000000005</v>
      </c>
      <c r="BF78" s="13">
        <f t="shared" si="91"/>
        <v>67.328637229880215</v>
      </c>
      <c r="BG78" s="20">
        <f t="shared" si="61"/>
        <v>607.91212967537479</v>
      </c>
      <c r="BH78" s="59">
        <f t="shared" si="62"/>
        <v>901.24546300870816</v>
      </c>
      <c r="BI78" s="59">
        <f ca="1">AVERAGE(OFFSET($BH$3,0,0,'Données projet'!$E$11+1,1))-AVERAGE(OFFSET($H$3,0,0,'Données projet'!$E$11+1,1))</f>
        <v>349.5718186624772</v>
      </c>
      <c r="BJ78" s="59">
        <f t="shared" si="92"/>
        <v>258.14152930815959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46.490100129346985</v>
      </c>
      <c r="BQ78" s="21">
        <f>EXP(-LN(2)/25)*BQ77+(1-EXP(-LN(2)/25))/(LN(2)/25)*Calculateur!BL78*Calculateur!BN78*VLOOKUP('Données projet'!$B$11,Paramètres!$A$1:$I$89,3,0)*0.475*44/12</f>
        <v>29.03049745819682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75.520597587543804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15.115000000000002</v>
      </c>
      <c r="BY78" s="12">
        <f>IF('Données projet'!$A$114&gt;35,BY77+BX78-CG77,IF(A78&lt;'Données projet'!$A$114,$BV$205^A78,IF(A78='Données projet'!$A$114,'Données projet'!$B$114,BY77+BX78-CG77)))</f>
        <v>435.44999999999993</v>
      </c>
      <c r="BZ78" s="13">
        <f>BY78*VLOOKUP('Données projet'!$B$12,Paramètres!$A$1:$I$89,3,0)*VLOOKUP('Données projet'!$B$12,Paramètres!$A$1:$I$89,5,0)</f>
        <v>203.79059999999998</v>
      </c>
      <c r="CA78" s="13">
        <f t="shared" si="93"/>
        <v>50.57631437420887</v>
      </c>
      <c r="CB78" s="20">
        <f t="shared" si="64"/>
        <v>443.02237586841375</v>
      </c>
      <c r="CC78" s="59">
        <f t="shared" si="65"/>
        <v>736.355709201747</v>
      </c>
      <c r="CD78" s="59">
        <f ca="1">AVERAGE(OFFSET($CC$3,0,0,'Données projet'!$E$12+1,1))-AVERAGE(OFFSET($H$3,0,0,'Données projet'!$E$12+1,1))</f>
        <v>356.22620301934836</v>
      </c>
      <c r="CE78" s="59">
        <f t="shared" si="94"/>
        <v>342.25495410715513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74.399700569858936</v>
      </c>
      <c r="CL78" s="21">
        <f>EXP(-LN(2)/25)*CL77+(1-EXP(-LN(2)/25))/(LN(2)/25)*Calculateur!CG78*Calculateur!CI78*VLOOKUP('Données projet'!$B$12,Paramètres!$A$1:$I$89,3,0)*0.475*44/12</f>
        <v>39.568868654756287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113.96856922461522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241.9</v>
      </c>
      <c r="CR78" s="12">
        <f>VLOOKUP(A78,'Données projet'!$A$139:$I$159,9,0)</f>
        <v>8.4087499999999977</v>
      </c>
      <c r="CS78" s="12">
        <f t="array" ref="CS78">INDEX(CR:CR,MIN(IF(ISNUMBER(CR78:CR274),ROW(CR78:CR274),"")))</f>
        <v>8.4087499999999977</v>
      </c>
      <c r="CT78" s="12">
        <f>IF('Données projet'!$A$140&gt;35,CT77+CS78-DB77,IF(A78&lt;'Données projet'!$A$140,$CQ$205^A78,IF(A78='Données projet'!$A$140,'Données projet'!$B$140,CT77+CS78-DB77)))</f>
        <v>241.90000000000015</v>
      </c>
      <c r="CU78" s="17">
        <f>CT78*VLOOKUP('Données projet'!$B$13,Paramètres!$A$1:$I$89,3,0)*VLOOKUP('Données projet'!$B$13,Paramètres!$A$1:$I$89,5,0)</f>
        <v>275.47572000000019</v>
      </c>
      <c r="CV78" s="13">
        <f t="shared" si="95"/>
        <v>66.009993876322369</v>
      </c>
      <c r="CW78" s="20">
        <f t="shared" si="67"/>
        <v>594.75428500126179</v>
      </c>
      <c r="CX78" s="59">
        <f t="shared" si="68"/>
        <v>888.08761833459516</v>
      </c>
      <c r="CY78" s="59">
        <f ca="1">AVERAGE(OFFSET($CX$3,0,0,'Données projet'!$E$13+1,1))-AVERAGE(OFFSET($H$3,0,0,'Données projet'!$E$13+1,1))</f>
        <v>473.48875234867705</v>
      </c>
      <c r="CZ78" s="59">
        <f t="shared" si="96"/>
        <v>322.74347070996379</v>
      </c>
      <c r="DA78" s="15">
        <f>IF(ISNA(VLOOKUP(A78,'Données projet'!$A$139:$I$159,3,0)),0,VLOOKUP(A78,'Données projet'!$A$139:$I$159,3,0))</f>
        <v>6</v>
      </c>
      <c r="DB78" s="15">
        <f>IF(ISNA(VLOOKUP(A78,'Données projet'!$A$139:$I$159,4,0)),0,VLOOKUP(A78,'Données projet'!$A$139:$I$159,4,0))</f>
        <v>38.909999999999997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35.464238411702183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35.464238411702183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300.80663531652721</v>
      </c>
      <c r="T79" s="59">
        <f t="shared" si="88"/>
        <v>306.01967513533549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100.74003756877286</v>
      </c>
      <c r="AA79" s="21">
        <f>EXP(-LN(2)/25)*AA78+(1-EXP(-LN(2)/25))/(LN(2)/25)*Calculateur!V79*Calculateur!X79*VLOOKUP('Données projet'!$B$9,Paramètres!$A$1:$I$89,3,0)*0.475*44/12</f>
        <v>54.991810344004591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155.73184791277745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9.782</v>
      </c>
      <c r="AI79" s="13">
        <f>IF('Données projet'!$A$62&gt;35,AI78+AH79-AQ78,IF(A79&lt;'Données projet'!$A$62,$AF$205^A79,IF(A79='Données projet'!$A$62,'Données projet'!$B$62,AI78+AH79-AQ78)))</f>
        <v>480.87200000000001</v>
      </c>
      <c r="AJ79" s="13">
        <f>AI79*VLOOKUP('Données projet'!$B$10,Paramètres!$A$1:$I$89,3,0)*VLOOKUP('Données projet'!$B$10,Paramètres!$A$1:$I$89,5,0)</f>
        <v>287.56145600000002</v>
      </c>
      <c r="AK79" s="13">
        <f t="shared" si="89"/>
        <v>68.562475277867222</v>
      </c>
      <c r="AL79" s="20">
        <f t="shared" si="58"/>
        <v>620.24918030895208</v>
      </c>
      <c r="AM79" s="59">
        <f t="shared" si="59"/>
        <v>913.58251364228545</v>
      </c>
      <c r="AN79" s="59">
        <f ca="1">AVERAGE(OFFSET($AM$3,0,0,'Données projet'!$E$10+1,1))-AVERAGE(OFFSET($H$3,0,0,'Données projet'!$E$10+1,1))</f>
        <v>349.5718186624772</v>
      </c>
      <c r="AO79" s="59">
        <f t="shared" si="90"/>
        <v>258.14152930815959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45.57845762197163</v>
      </c>
      <c r="AV79" s="21">
        <f>EXP(-LN(2)/25)*AV78+(1-EXP(-LN(2)/25))/(LN(2)/25)*Calculateur!AQ79*Calculateur!AS79*VLOOKUP('Données projet'!$B$10,Paramètres!$A$1:$I$89,3,0)*0.475*44/12</f>
        <v>28.236656978554915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73.815114600526542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9.782</v>
      </c>
      <c r="BD79" s="12">
        <f>IF('Données projet'!$A$88&gt;35,BD78+BC79-BL78,IF(A79&lt;'Données projet'!$A$88,$BA$205^A79,IF(A79='Données projet'!$A$88,'Données projet'!$B$88,BD78+BC79-BL78)))</f>
        <v>480.87200000000001</v>
      </c>
      <c r="BE79" s="13">
        <f>BD79*VLOOKUP('Données projet'!$B$11,Paramètres!$A$1:$I$89,3,0)*VLOOKUP('Données projet'!$B$11,Paramètres!$A$1:$I$89,5,0)</f>
        <v>287.56145600000002</v>
      </c>
      <c r="BF79" s="13">
        <f t="shared" si="91"/>
        <v>68.562475277867222</v>
      </c>
      <c r="BG79" s="20">
        <f t="shared" si="61"/>
        <v>620.24918030895208</v>
      </c>
      <c r="BH79" s="59">
        <f t="shared" si="62"/>
        <v>913.58251364228545</v>
      </c>
      <c r="BI79" s="59">
        <f ca="1">AVERAGE(OFFSET($BH$3,0,0,'Données projet'!$E$11+1,1))-AVERAGE(OFFSET($H$3,0,0,'Données projet'!$E$11+1,1))</f>
        <v>349.5718186624772</v>
      </c>
      <c r="BJ79" s="59">
        <f t="shared" si="92"/>
        <v>258.14152930815959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45.57845762197163</v>
      </c>
      <c r="BQ79" s="21">
        <f>EXP(-LN(2)/25)*BQ78+(1-EXP(-LN(2)/25))/(LN(2)/25)*Calculateur!BL79*Calculateur!BN79*VLOOKUP('Données projet'!$B$11,Paramètres!$A$1:$I$89,3,0)*0.475*44/12</f>
        <v>28.236656978554915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73.815114600526542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15.115000000000002</v>
      </c>
      <c r="BY79" s="12">
        <f>IF('Données projet'!$A$114&gt;35,BY78+BX79-CG78,IF(A79&lt;'Données projet'!$A$114,$BV$205^A79,IF(A79='Données projet'!$A$114,'Données projet'!$B$114,BY78+BX79-CG78)))</f>
        <v>450.56499999999994</v>
      </c>
      <c r="BZ79" s="13">
        <f>BY79*VLOOKUP('Données projet'!$B$12,Paramètres!$A$1:$I$89,3,0)*VLOOKUP('Données projet'!$B$12,Paramètres!$A$1:$I$89,5,0)</f>
        <v>210.86441999999997</v>
      </c>
      <c r="CA79" s="13">
        <f t="shared" si="93"/>
        <v>52.12443803219238</v>
      </c>
      <c r="CB79" s="20">
        <f t="shared" si="64"/>
        <v>458.03892773940169</v>
      </c>
      <c r="CC79" s="59">
        <f t="shared" si="65"/>
        <v>751.372261072735</v>
      </c>
      <c r="CD79" s="59">
        <f ca="1">AVERAGE(OFFSET($CC$3,0,0,'Données projet'!$E$12+1,1))-AVERAGE(OFFSET($H$3,0,0,'Données projet'!$E$12+1,1))</f>
        <v>356.22620301934836</v>
      </c>
      <c r="CE79" s="59">
        <f t="shared" si="94"/>
        <v>342.25495410715513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72.940767821020515</v>
      </c>
      <c r="CL79" s="21">
        <f>EXP(-LN(2)/25)*CL78+(1-EXP(-LN(2)/25))/(LN(2)/25)*Calculateur!CG79*Calculateur!CI79*VLOOKUP('Données projet'!$B$12,Paramètres!$A$1:$I$89,3,0)*0.475*44/12</f>
        <v>38.486855860555607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111.42762368157612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8.2100000000000009</v>
      </c>
      <c r="CT79" s="12">
        <f>IF('Données projet'!$A$140&gt;35,CT78+CS79-DB78,IF(A79&lt;'Données projet'!$A$140,$CQ$205^A79,IF(A79='Données projet'!$A$140,'Données projet'!$B$140,CT78+CS79-DB78)))</f>
        <v>211.20000000000016</v>
      </c>
      <c r="CU79" s="17">
        <f>CT79*VLOOKUP('Données projet'!$B$13,Paramètres!$A$1:$I$89,3,0)*VLOOKUP('Données projet'!$B$13,Paramètres!$A$1:$I$89,5,0)</f>
        <v>240.51456000000016</v>
      </c>
      <c r="CV79" s="13">
        <f t="shared" si="95"/>
        <v>58.55022676935382</v>
      </c>
      <c r="CW79" s="20">
        <f t="shared" si="67"/>
        <v>520.87117028995817</v>
      </c>
      <c r="CX79" s="59">
        <f t="shared" si="68"/>
        <v>814.20450362329143</v>
      </c>
      <c r="CY79" s="59">
        <f ca="1">AVERAGE(OFFSET($CX$3,0,0,'Données projet'!$E$13+1,1))-AVERAGE(OFFSET($H$3,0,0,'Données projet'!$E$13+1,1))</f>
        <v>473.48875234867705</v>
      </c>
      <c r="CZ79" s="59">
        <f t="shared" si="96"/>
        <v>322.74347070996379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34.768806327498247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34.768806327498247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300.80663531652721</v>
      </c>
      <c r="T80" s="59">
        <f t="shared" si="88"/>
        <v>306.01967513533549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98.764586877404923</v>
      </c>
      <c r="AA80" s="21">
        <f>EXP(-LN(2)/25)*AA79+(1-EXP(-LN(2)/25))/(LN(2)/25)*Calculateur!V80*Calculateur!X80*VLOOKUP('Données projet'!$B$9,Paramètres!$A$1:$I$89,3,0)*0.475*44/12</f>
        <v>53.488056398254166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152.2526432756591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9.782</v>
      </c>
      <c r="AI80" s="13">
        <f>IF('Données projet'!$A$62&gt;35,AI79+AH80-AQ79,IF(A80&lt;'Données projet'!$A$62,$AF$205^A80,IF(A80='Données projet'!$A$62,'Données projet'!$B$62,AI79+AH80-AQ79)))</f>
        <v>490.654</v>
      </c>
      <c r="AJ80" s="13">
        <f>AI80*VLOOKUP('Données projet'!$B$10,Paramètres!$A$1:$I$89,3,0)*VLOOKUP('Données projet'!$B$10,Paramètres!$A$1:$I$89,5,0)</f>
        <v>293.411092</v>
      </c>
      <c r="AK80" s="13">
        <f t="shared" si="89"/>
        <v>69.79339504623151</v>
      </c>
      <c r="AL80" s="20">
        <f t="shared" si="58"/>
        <v>632.58114827218651</v>
      </c>
      <c r="AM80" s="59">
        <f t="shared" si="59"/>
        <v>925.91448160551977</v>
      </c>
      <c r="AN80" s="59">
        <f ca="1">AVERAGE(OFFSET($AM$3,0,0,'Données projet'!$E$10+1,1))-AVERAGE(OFFSET($H$3,0,0,'Données projet'!$E$10+1,1))</f>
        <v>349.5718186624772</v>
      </c>
      <c r="AO80" s="59">
        <f t="shared" si="90"/>
        <v>258.14152930815959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44.684691868118882</v>
      </c>
      <c r="AV80" s="21">
        <f>EXP(-LN(2)/25)*AV79+(1-EXP(-LN(2)/25))/(LN(2)/25)*Calculateur!AQ80*Calculateur!AS80*VLOOKUP('Données projet'!$B$10,Paramètres!$A$1:$I$89,3,0)*0.475*44/12</f>
        <v>27.464524108575077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72.149215976693966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9.782</v>
      </c>
      <c r="BD80" s="12">
        <f>IF('Données projet'!$A$88&gt;35,BD79+BC80-BL79,IF(A80&lt;'Données projet'!$A$88,$BA$205^A80,IF(A80='Données projet'!$A$88,'Données projet'!$B$88,BD79+BC80-BL79)))</f>
        <v>490.654</v>
      </c>
      <c r="BE80" s="13">
        <f>BD80*VLOOKUP('Données projet'!$B$11,Paramètres!$A$1:$I$89,3,0)*VLOOKUP('Données projet'!$B$11,Paramètres!$A$1:$I$89,5,0)</f>
        <v>293.411092</v>
      </c>
      <c r="BF80" s="13">
        <f t="shared" si="91"/>
        <v>69.79339504623151</v>
      </c>
      <c r="BG80" s="20">
        <f t="shared" si="61"/>
        <v>632.58114827218651</v>
      </c>
      <c r="BH80" s="59">
        <f t="shared" si="62"/>
        <v>925.91448160551977</v>
      </c>
      <c r="BI80" s="59">
        <f ca="1">AVERAGE(OFFSET($BH$3,0,0,'Données projet'!$E$11+1,1))-AVERAGE(OFFSET($H$3,0,0,'Données projet'!$E$11+1,1))</f>
        <v>349.5718186624772</v>
      </c>
      <c r="BJ80" s="59">
        <f t="shared" si="92"/>
        <v>258.14152930815959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44.684691868118882</v>
      </c>
      <c r="BQ80" s="21">
        <f>EXP(-LN(2)/25)*BQ79+(1-EXP(-LN(2)/25))/(LN(2)/25)*Calculateur!BL80*Calculateur!BN80*VLOOKUP('Données projet'!$B$11,Paramètres!$A$1:$I$89,3,0)*0.475*44/12</f>
        <v>27.464524108575077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72.149215976693966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15.115000000000002</v>
      </c>
      <c r="BY80" s="12">
        <f>IF('Données projet'!$A$114&gt;35,BY79+BX80-CG79,IF(A80&lt;'Données projet'!$A$114,$BV$205^A80,IF(A80='Données projet'!$A$114,'Données projet'!$B$114,BY79+BX80-CG79)))</f>
        <v>465.67999999999995</v>
      </c>
      <c r="BZ80" s="13">
        <f>BY80*VLOOKUP('Données projet'!$B$12,Paramètres!$A$1:$I$89,3,0)*VLOOKUP('Données projet'!$B$12,Paramètres!$A$1:$I$89,5,0)</f>
        <v>217.93823999999998</v>
      </c>
      <c r="CA80" s="13">
        <f t="shared" si="93"/>
        <v>53.666527100584652</v>
      </c>
      <c r="CB80" s="20">
        <f t="shared" si="64"/>
        <v>473.0449693668516</v>
      </c>
      <c r="CC80" s="59">
        <f t="shared" si="65"/>
        <v>766.37830270018492</v>
      </c>
      <c r="CD80" s="59">
        <f ca="1">AVERAGE(OFFSET($CC$3,0,0,'Données projet'!$E$12+1,1))-AVERAGE(OFFSET($H$3,0,0,'Données projet'!$E$12+1,1))</f>
        <v>356.22620301934836</v>
      </c>
      <c r="CE80" s="59">
        <f t="shared" si="94"/>
        <v>342.25495410715513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71.5104438535257</v>
      </c>
      <c r="CL80" s="21">
        <f>EXP(-LN(2)/25)*CL79+(1-EXP(-LN(2)/25))/(LN(2)/25)*Calculateur!CG80*Calculateur!CI80*VLOOKUP('Données projet'!$B$12,Paramètres!$A$1:$I$89,3,0)*0.475*44/12</f>
        <v>37.434430763112928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108.94487461663863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8.2100000000000009</v>
      </c>
      <c r="CT80" s="12">
        <f>IF('Données projet'!$A$140&gt;35,CT79+CS80-DB79,IF(A80&lt;'Données projet'!$A$140,$CQ$205^A80,IF(A80='Données projet'!$A$140,'Données projet'!$B$140,CT79+CS80-DB79)))</f>
        <v>219.41000000000017</v>
      </c>
      <c r="CU80" s="17">
        <f>CT80*VLOOKUP('Données projet'!$B$13,Paramètres!$A$1:$I$89,3,0)*VLOOKUP('Données projet'!$B$13,Paramètres!$A$1:$I$89,5,0)</f>
        <v>249.86410800000019</v>
      </c>
      <c r="CV80" s="13">
        <f t="shared" si="95"/>
        <v>60.556840705048536</v>
      </c>
      <c r="CW80" s="20">
        <f t="shared" si="67"/>
        <v>540.64981899462646</v>
      </c>
      <c r="CX80" s="59">
        <f t="shared" si="68"/>
        <v>833.98315232795971</v>
      </c>
      <c r="CY80" s="59">
        <f ca="1">AVERAGE(OFFSET($CX$3,0,0,'Données projet'!$E$13+1,1))-AVERAGE(OFFSET($H$3,0,0,'Données projet'!$E$13+1,1))</f>
        <v>473.48875234867705</v>
      </c>
      <c r="CZ80" s="59">
        <f t="shared" si="96"/>
        <v>322.74347070996379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34.087011242293862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34.087011242293862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300.80663531652721</v>
      </c>
      <c r="T81" s="59">
        <f t="shared" si="88"/>
        <v>306.01967513533549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96.827873569188753</v>
      </c>
      <c r="AA81" s="21">
        <f>EXP(-LN(2)/25)*AA80+(1-EXP(-LN(2)/25))/(LN(2)/25)*Calculateur!V81*Calculateur!X81*VLOOKUP('Données projet'!$B$9,Paramètres!$A$1:$I$89,3,0)*0.475*44/12</f>
        <v>52.025422683229266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148.85329625241803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9.782</v>
      </c>
      <c r="AI81" s="13">
        <f>IF('Données projet'!$A$62&gt;35,AI80+AH81-AQ80,IF(A81&lt;'Données projet'!$A$62,$AF$205^A81,IF(A81='Données projet'!$A$62,'Données projet'!$B$62,AI80+AH81-AQ80)))</f>
        <v>500.43599999999998</v>
      </c>
      <c r="AJ81" s="13">
        <f>AI81*VLOOKUP('Données projet'!$B$10,Paramètres!$A$1:$I$89,3,0)*VLOOKUP('Données projet'!$B$10,Paramètres!$A$1:$I$89,5,0)</f>
        <v>299.26072800000003</v>
      </c>
      <c r="AK81" s="13">
        <f t="shared" si="89"/>
        <v>71.021461421315166</v>
      </c>
      <c r="AL81" s="20">
        <f t="shared" si="58"/>
        <v>644.90814657545729</v>
      </c>
      <c r="AM81" s="59">
        <f t="shared" si="59"/>
        <v>938.24147990879055</v>
      </c>
      <c r="AN81" s="59">
        <f ca="1">AVERAGE(OFFSET($AM$3,0,0,'Données projet'!$E$10+1,1))-AVERAGE(OFFSET($H$3,0,0,'Données projet'!$E$10+1,1))</f>
        <v>349.5718186624772</v>
      </c>
      <c r="AO81" s="59">
        <f t="shared" si="90"/>
        <v>258.14152930815959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43.808452315555904</v>
      </c>
      <c r="AV81" s="21">
        <f>EXP(-LN(2)/25)*AV80+(1-EXP(-LN(2)/25))/(LN(2)/25)*Calculateur!AQ81*Calculateur!AS81*VLOOKUP('Données projet'!$B$10,Paramètres!$A$1:$I$89,3,0)*0.475*44/12</f>
        <v>26.71350525252954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70.52195756808544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9.782</v>
      </c>
      <c r="BD81" s="12">
        <f>IF('Données projet'!$A$88&gt;35,BD80+BC81-BL80,IF(A81&lt;'Données projet'!$A$88,$BA$205^A81,IF(A81='Données projet'!$A$88,'Données projet'!$B$88,BD80+BC81-BL80)))</f>
        <v>500.43599999999998</v>
      </c>
      <c r="BE81" s="13">
        <f>BD81*VLOOKUP('Données projet'!$B$11,Paramètres!$A$1:$I$89,3,0)*VLOOKUP('Données projet'!$B$11,Paramètres!$A$1:$I$89,5,0)</f>
        <v>299.26072800000003</v>
      </c>
      <c r="BF81" s="13">
        <f t="shared" si="91"/>
        <v>71.021461421315166</v>
      </c>
      <c r="BG81" s="20">
        <f t="shared" si="61"/>
        <v>644.90814657545729</v>
      </c>
      <c r="BH81" s="59">
        <f t="shared" si="62"/>
        <v>938.24147990879055</v>
      </c>
      <c r="BI81" s="59">
        <f ca="1">AVERAGE(OFFSET($BH$3,0,0,'Données projet'!$E$11+1,1))-AVERAGE(OFFSET($H$3,0,0,'Données projet'!$E$11+1,1))</f>
        <v>349.5718186624772</v>
      </c>
      <c r="BJ81" s="59">
        <f t="shared" si="92"/>
        <v>258.14152930815959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43.808452315555904</v>
      </c>
      <c r="BQ81" s="21">
        <f>EXP(-LN(2)/25)*BQ80+(1-EXP(-LN(2)/25))/(LN(2)/25)*Calculateur!BL81*Calculateur!BN81*VLOOKUP('Données projet'!$B$11,Paramètres!$A$1:$I$89,3,0)*0.475*44/12</f>
        <v>26.71350525252954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70.52195756808544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15.115000000000002</v>
      </c>
      <c r="BY81" s="12">
        <f>IF('Données projet'!$A$114&gt;35,BY80+BX81-CG80,IF(A81&lt;'Données projet'!$A$114,$BV$205^A81,IF(A81='Données projet'!$A$114,'Données projet'!$B$114,BY80+BX81-CG80)))</f>
        <v>480.79499999999996</v>
      </c>
      <c r="BZ81" s="13">
        <f>BY81*VLOOKUP('Données projet'!$B$12,Paramètres!$A$1:$I$89,3,0)*VLOOKUP('Données projet'!$B$12,Paramètres!$A$1:$I$89,5,0)</f>
        <v>225.01205999999999</v>
      </c>
      <c r="CA81" s="13">
        <f t="shared" si="93"/>
        <v>55.202799914121982</v>
      </c>
      <c r="CB81" s="20">
        <f t="shared" si="64"/>
        <v>488.04088101709573</v>
      </c>
      <c r="CC81" s="59">
        <f t="shared" si="65"/>
        <v>781.37421435042904</v>
      </c>
      <c r="CD81" s="59">
        <f ca="1">AVERAGE(OFFSET($CC$3,0,0,'Données projet'!$E$12+1,1))-AVERAGE(OFFSET($H$3,0,0,'Données projet'!$E$12+1,1))</f>
        <v>356.22620301934836</v>
      </c>
      <c r="CE81" s="59">
        <f t="shared" si="94"/>
        <v>342.25495410715513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70.108167666621981</v>
      </c>
      <c r="CL81" s="21">
        <f>EXP(-LN(2)/25)*CL80+(1-EXP(-LN(2)/25))/(LN(2)/25)*Calculateur!CG81*Calculateur!CI81*VLOOKUP('Données projet'!$B$12,Paramètres!$A$1:$I$89,3,0)*0.475*44/12</f>
        <v>36.410784285304452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106.51895195192643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8.2100000000000009</v>
      </c>
      <c r="CT81" s="12">
        <f>IF('Données projet'!$A$140&gt;35,CT80+CS81-DB80,IF(A81&lt;'Données projet'!$A$140,$CQ$205^A81,IF(A81='Données projet'!$A$140,'Données projet'!$B$140,CT80+CS81-DB80)))</f>
        <v>227.62000000000018</v>
      </c>
      <c r="CU81" s="17">
        <f>CT81*VLOOKUP('Données projet'!$B$13,Paramètres!$A$1:$I$89,3,0)*VLOOKUP('Données projet'!$B$13,Paramètres!$A$1:$I$89,5,0)</f>
        <v>259.21365600000019</v>
      </c>
      <c r="CV81" s="13">
        <f t="shared" si="95"/>
        <v>62.554731655067876</v>
      </c>
      <c r="CW81" s="20">
        <f t="shared" si="67"/>
        <v>560.41327516591014</v>
      </c>
      <c r="CX81" s="59">
        <f t="shared" si="68"/>
        <v>853.74660849924339</v>
      </c>
      <c r="CY81" s="59">
        <f ca="1">AVERAGE(OFFSET($CX$3,0,0,'Données projet'!$E$13+1,1))-AVERAGE(OFFSET($H$3,0,0,'Données projet'!$E$13+1,1))</f>
        <v>473.48875234867705</v>
      </c>
      <c r="CZ81" s="59">
        <f t="shared" si="96"/>
        <v>322.74347070996379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33.418585742856393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33.418585742856393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300.80663531652721</v>
      </c>
      <c r="T82" s="59">
        <f t="shared" si="88"/>
        <v>306.01967513533549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94.92913802766823</v>
      </c>
      <c r="AA82" s="21">
        <f>EXP(-LN(2)/25)*AA81+(1-EXP(-LN(2)/25))/(LN(2)/25)*Calculateur!V82*Calculateur!X82*VLOOKUP('Données projet'!$B$9,Paramètres!$A$1:$I$89,3,0)*0.475*44/12</f>
        <v>50.602784764058292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145.53192279172652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9.782</v>
      </c>
      <c r="AI82" s="13">
        <f>IF('Données projet'!$A$62&gt;35,AI81+AH82-AQ81,IF(A82&lt;'Données projet'!$A$62,$AF$205^A82,IF(A82='Données projet'!$A$62,'Données projet'!$B$62,AI81+AH82-AQ81)))</f>
        <v>510.21799999999996</v>
      </c>
      <c r="AJ82" s="13">
        <f>AI82*VLOOKUP('Données projet'!$B$10,Paramètres!$A$1:$I$89,3,0)*VLOOKUP('Données projet'!$B$10,Paramètres!$A$1:$I$89,5,0)</f>
        <v>305.110364</v>
      </c>
      <c r="AK82" s="13">
        <f t="shared" si="89"/>
        <v>72.246736607705117</v>
      </c>
      <c r="AL82" s="20">
        <f t="shared" si="58"/>
        <v>657.23028355841973</v>
      </c>
      <c r="AM82" s="59">
        <f t="shared" si="59"/>
        <v>950.5636168917531</v>
      </c>
      <c r="AN82" s="59">
        <f ca="1">AVERAGE(OFFSET($AM$3,0,0,'Données projet'!$E$10+1,1))-AVERAGE(OFFSET($H$3,0,0,'Données projet'!$E$10+1,1))</f>
        <v>349.5718186624772</v>
      </c>
      <c r="AO82" s="59">
        <f t="shared" si="90"/>
        <v>258.14152930815959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42.949395286165334</v>
      </c>
      <c r="AV82" s="21">
        <f>EXP(-LN(2)/25)*AV81+(1-EXP(-LN(2)/25))/(LN(2)/25)*Calculateur!AQ82*Calculateur!AS82*VLOOKUP('Données projet'!$B$10,Paramètres!$A$1:$I$89,3,0)*0.475*44/12</f>
        <v>25.983023046596934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68.932418332762268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9.782</v>
      </c>
      <c r="BD82" s="12">
        <f>IF('Données projet'!$A$88&gt;35,BD81+BC82-BL81,IF(A82&lt;'Données projet'!$A$88,$BA$205^A82,IF(A82='Données projet'!$A$88,'Données projet'!$B$88,BD81+BC82-BL81)))</f>
        <v>510.21799999999996</v>
      </c>
      <c r="BE82" s="13">
        <f>BD82*VLOOKUP('Données projet'!$B$11,Paramètres!$A$1:$I$89,3,0)*VLOOKUP('Données projet'!$B$11,Paramètres!$A$1:$I$89,5,0)</f>
        <v>305.110364</v>
      </c>
      <c r="BF82" s="13">
        <f t="shared" si="91"/>
        <v>72.246736607705117</v>
      </c>
      <c r="BG82" s="20">
        <f t="shared" si="61"/>
        <v>657.23028355841973</v>
      </c>
      <c r="BH82" s="59">
        <f t="shared" si="62"/>
        <v>950.5636168917531</v>
      </c>
      <c r="BI82" s="59">
        <f ca="1">AVERAGE(OFFSET($BH$3,0,0,'Données projet'!$E$11+1,1))-AVERAGE(OFFSET($H$3,0,0,'Données projet'!$E$11+1,1))</f>
        <v>349.5718186624772</v>
      </c>
      <c r="BJ82" s="59">
        <f t="shared" si="92"/>
        <v>258.14152930815959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42.949395286165334</v>
      </c>
      <c r="BQ82" s="21">
        <f>EXP(-LN(2)/25)*BQ81+(1-EXP(-LN(2)/25))/(LN(2)/25)*Calculateur!BL82*Calculateur!BN82*VLOOKUP('Données projet'!$B$11,Paramètres!$A$1:$I$89,3,0)*0.475*44/12</f>
        <v>25.983023046596934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68.932418332762268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>
        <f>VLOOKUP(A82,'Données projet'!$A$113:$I$133,2,0)</f>
        <v>495.91</v>
      </c>
      <c r="BW82" s="12">
        <f>VLOOKUP(A82,'Données projet'!$A$113:$I$133,9,0)</f>
        <v>15.115000000000002</v>
      </c>
      <c r="BX82" s="12">
        <f t="array" ref="BX82">INDEX(BW:BW,MIN(IF(ISNUMBER(BW82:BW278),ROW(BW82:BW278),"")))</f>
        <v>15.115000000000002</v>
      </c>
      <c r="BY82" s="12">
        <f>IF('Données projet'!$A$114&gt;35,BY81+BX82-CG81,IF(A82&lt;'Données projet'!$A$114,$BV$205^A82,IF(A82='Données projet'!$A$114,'Données projet'!$B$114,BY81+BX82-CG81)))</f>
        <v>495.90999999999997</v>
      </c>
      <c r="BZ82" s="13">
        <f>BY82*VLOOKUP('Données projet'!$B$12,Paramètres!$A$1:$I$89,3,0)*VLOOKUP('Données projet'!$B$12,Paramètres!$A$1:$I$89,5,0)</f>
        <v>232.08587999999997</v>
      </c>
      <c r="CA82" s="13">
        <f t="shared" si="93"/>
        <v>56.733460300074178</v>
      </c>
      <c r="CB82" s="20">
        <f t="shared" si="64"/>
        <v>503.02701768929575</v>
      </c>
      <c r="CC82" s="59">
        <f t="shared" si="65"/>
        <v>796.36035102262906</v>
      </c>
      <c r="CD82" s="59">
        <f ca="1">AVERAGE(OFFSET($CC$3,0,0,'Données projet'!$E$12+1,1))-AVERAGE(OFFSET($H$3,0,0,'Données projet'!$E$12+1,1))</f>
        <v>356.22620301934836</v>
      </c>
      <c r="CE82" s="59">
        <f t="shared" si="94"/>
        <v>342.25495410715513</v>
      </c>
      <c r="CF82" s="15">
        <f>IF(ISNA(VLOOKUP(A82,'Données projet'!$A$113:$I$133,3,0)),0,VLOOKUP(A82,'Données projet'!$A$113:$I$133,3,0))</f>
        <v>6</v>
      </c>
      <c r="CG82" s="15">
        <f>IF(ISNA(VLOOKUP(A82,'Données projet'!$A$113:$I$133,4,0)),0,VLOOKUP(A82,'Données projet'!$A$113:$I$133,4,0))</f>
        <v>87.99</v>
      </c>
      <c r="CH82" s="16">
        <f>IF(ISNA(VLOOKUP(A82,'Données projet'!$A$113:$I$133,5,0)),0%,VLOOKUP(A82,'Données projet'!$A$113:$I$133,5,0)*VLOOKUP('Données projet'!$B$12,Paramètres!$A$1:$I$89,7,0))</f>
        <v>0.38500000000000001</v>
      </c>
      <c r="CI82" s="16">
        <f>IF(ISNA(VLOOKUP(A82,'Données projet'!$A$113:$I$133,6,0)),0%,VLOOKUP(A82,'Données projet'!$A$113:$I$133,6,0)*VLOOKUP('Données projet'!$B$12,Paramètres!$A$1:$I$89,7,0))</f>
        <v>0.16500000000000001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89.764792811740094</v>
      </c>
      <c r="CL82" s="21">
        <f>EXP(-LN(2)/25)*CL81+(1-EXP(-LN(2)/25))/(LN(2)/25)*Calculateur!CG82*Calculateur!CI82*VLOOKUP('Données projet'!$B$12,Paramètres!$A$1:$I$89,3,0)*0.475*44/12</f>
        <v>44.393098717945527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134.15789152968563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8.2100000000000009</v>
      </c>
      <c r="CT82" s="12">
        <f>IF('Données projet'!$A$140&gt;35,CT81+CS82-DB81,IF(A82&lt;'Données projet'!$A$140,$CQ$205^A82,IF(A82='Données projet'!$A$140,'Données projet'!$B$140,CT81+CS82-DB81)))</f>
        <v>235.83000000000018</v>
      </c>
      <c r="CU82" s="17">
        <f>CT82*VLOOKUP('Données projet'!$B$13,Paramètres!$A$1:$I$89,3,0)*VLOOKUP('Données projet'!$B$13,Paramètres!$A$1:$I$89,5,0)</f>
        <v>268.56320400000021</v>
      </c>
      <c r="CV82" s="13">
        <f t="shared" si="95"/>
        <v>64.5442502888652</v>
      </c>
      <c r="CW82" s="20">
        <f t="shared" si="67"/>
        <v>580.16214955310727</v>
      </c>
      <c r="CX82" s="59">
        <f t="shared" si="68"/>
        <v>873.49548288644064</v>
      </c>
      <c r="CY82" s="59">
        <f ca="1">AVERAGE(OFFSET($CX$3,0,0,'Données projet'!$E$13+1,1))-AVERAGE(OFFSET($H$3,0,0,'Données projet'!$E$13+1,1))</f>
        <v>473.48875234867705</v>
      </c>
      <c r="CZ82" s="59">
        <f t="shared" si="96"/>
        <v>322.74347070996379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32.763267659763599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32.763267659763599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300.80663531652721</v>
      </c>
      <c r="T83" s="59">
        <f t="shared" si="88"/>
        <v>306.01967513533549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93.067635532002598</v>
      </c>
      <c r="AA83" s="21">
        <f>EXP(-LN(2)/25)*AA82+(1-EXP(-LN(2)/25))/(LN(2)/25)*Calculateur!V83*Calculateur!X83*VLOOKUP('Données projet'!$B$9,Paramètres!$A$1:$I$89,3,0)*0.475*44/12</f>
        <v>49.219048953600321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142.2866844856029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</v>
      </c>
      <c r="AG83" s="12">
        <f>VLOOKUP(A83,'Données projet'!$A$61:$I$81,9,0)</f>
        <v>9.782</v>
      </c>
      <c r="AH83" s="12">
        <f t="array" ref="AH83">INDEX(AG:AG,MIN(IF(ISNUMBER(AG83:AG279),ROW(AG83:AG279),"")))</f>
        <v>9.782</v>
      </c>
      <c r="AI83" s="13">
        <f>IF('Données projet'!$A$62&gt;35,AI82+AH83-AQ82,IF(A83&lt;'Données projet'!$A$62,$AF$205^A83,IF(A83='Données projet'!$A$62,'Données projet'!$B$62,AI82+AH83-AQ82)))</f>
        <v>520</v>
      </c>
      <c r="AJ83" s="13">
        <f>AI83*VLOOKUP('Données projet'!$B$10,Paramètres!$A$1:$I$89,3,0)*VLOOKUP('Données projet'!$B$10,Paramètres!$A$1:$I$89,5,0)</f>
        <v>310.96000000000004</v>
      </c>
      <c r="AK83" s="13">
        <f t="shared" si="89"/>
        <v>73.469280288324128</v>
      </c>
      <c r="AL83" s="20">
        <f t="shared" si="58"/>
        <v>669.54766316883126</v>
      </c>
      <c r="AM83" s="59">
        <f t="shared" si="59"/>
        <v>962.88099650216463</v>
      </c>
      <c r="AN83" s="59">
        <f ca="1">AVERAGE(OFFSET($AM$3,0,0,'Données projet'!$E$10+1,1))-AVERAGE(OFFSET($H$3,0,0,'Données projet'!$E$10+1,1))</f>
        <v>349.5718186624772</v>
      </c>
      <c r="AO83" s="59">
        <f t="shared" si="90"/>
        <v>258.14152930815959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0.13500000000000001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172.04735600614413</v>
      </c>
      <c r="AV83" s="21">
        <f>EXP(-LN(2)/25)*AV82+(1-EXP(-LN(2)/25))/(LN(2)/25)*Calculateur!AQ83*Calculateur!AS83*VLOOKUP('Données projet'!$B$10,Paramètres!$A$1:$I$89,3,0)*0.475*44/12</f>
        <v>80.741893713326476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252.7892497194706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520</v>
      </c>
      <c r="BB83" s="12">
        <f>VLOOKUP(A83,'Données projet'!$A$87:$I$107,9,0)</f>
        <v>9.782</v>
      </c>
      <c r="BC83" s="12">
        <f t="array" ref="BC83">INDEX(BB:BB,MIN(IF(ISNUMBER(BB83:BB279),ROW(BB83:BB279),"")))</f>
        <v>9.782</v>
      </c>
      <c r="BD83" s="12">
        <f>IF('Données projet'!$A$88&gt;35,BD82+BC83-BL82,IF(A83&lt;'Données projet'!$A$88,$BA$205^A83,IF(A83='Données projet'!$A$88,'Données projet'!$B$88,BD82+BC83-BL82)))</f>
        <v>520</v>
      </c>
      <c r="BE83" s="13">
        <f>BD83*VLOOKUP('Données projet'!$B$11,Paramètres!$A$1:$I$89,3,0)*VLOOKUP('Données projet'!$B$11,Paramètres!$A$1:$I$89,5,0)</f>
        <v>310.96000000000004</v>
      </c>
      <c r="BF83" s="13">
        <f t="shared" si="91"/>
        <v>73.469280288324128</v>
      </c>
      <c r="BG83" s="20">
        <f t="shared" si="61"/>
        <v>669.54766316883126</v>
      </c>
      <c r="BH83" s="59">
        <f t="shared" si="62"/>
        <v>962.88099650216463</v>
      </c>
      <c r="BI83" s="59">
        <f ca="1">AVERAGE(OFFSET($BH$3,0,0,'Données projet'!$E$11+1,1))-AVERAGE(OFFSET($H$3,0,0,'Données projet'!$E$11+1,1))</f>
        <v>349.5718186624772</v>
      </c>
      <c r="BJ83" s="59">
        <f t="shared" si="92"/>
        <v>258.14152930815959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520</v>
      </c>
      <c r="BM83" s="16">
        <f>IF(ISNA(VLOOKUP(A83,'Données projet'!$A$87:$I$107,5,0)),0%,VLOOKUP(A83,'Données projet'!$A$87:$I$107,5,0)*VLOOKUP('Données projet'!$B$11,Paramètres!$A$1:$I$89,7,0))</f>
        <v>0.315</v>
      </c>
      <c r="BN83" s="16">
        <f>IF(ISNA(VLOOKUP(A83,'Données projet'!$A$87:$I$107,6,0)),0%,VLOOKUP(A83,'Données projet'!$A$87:$I$107,6,0)*VLOOKUP('Données projet'!$B$11,Paramètres!$A$1:$I$89,7,0))</f>
        <v>0.13500000000000001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172.04735600614413</v>
      </c>
      <c r="BQ83" s="21">
        <f>EXP(-LN(2)/25)*BQ82+(1-EXP(-LN(2)/25))/(LN(2)/25)*Calculateur!BL83*Calculateur!BN83*VLOOKUP('Données projet'!$B$11,Paramètres!$A$1:$I$89,3,0)*0.475*44/12</f>
        <v>80.741893713326476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252.7892497194706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14.212499999999999</v>
      </c>
      <c r="BY83" s="12">
        <f>IF('Données projet'!$A$114&gt;35,BY82+BX83-CG82,IF(A83&lt;'Données projet'!$A$114,$BV$205^A83,IF(A83='Données projet'!$A$114,'Données projet'!$B$114,BY82+BX83-CG82)))</f>
        <v>422.13249999999994</v>
      </c>
      <c r="BZ83" s="13">
        <f>BY83*VLOOKUP('Données projet'!$B$12,Paramètres!$A$1:$I$89,3,0)*VLOOKUP('Données projet'!$B$12,Paramètres!$A$1:$I$89,5,0)</f>
        <v>197.55800999999997</v>
      </c>
      <c r="CA83" s="13">
        <f t="shared" si="93"/>
        <v>49.207109119088621</v>
      </c>
      <c r="CB83" s="20">
        <f t="shared" si="64"/>
        <v>429.78258246574592</v>
      </c>
      <c r="CC83" s="59">
        <f t="shared" si="65"/>
        <v>723.11591579907918</v>
      </c>
      <c r="CD83" s="59">
        <f ca="1">AVERAGE(OFFSET($CC$3,0,0,'Données projet'!$E$12+1,1))-AVERAGE(OFFSET($H$3,0,0,'Données projet'!$E$12+1,1))</f>
        <v>356.22620301934836</v>
      </c>
      <c r="CE83" s="59">
        <f t="shared" si="94"/>
        <v>342.25495410715513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88.004559975819262</v>
      </c>
      <c r="CL83" s="21">
        <f>EXP(-LN(2)/25)*CL82+(1-EXP(-LN(2)/25))/(LN(2)/25)*Calculateur!CG83*Calculateur!CI83*VLOOKUP('Données projet'!$B$12,Paramètres!$A$1:$I$89,3,0)*0.475*44/12</f>
        <v>43.17916709897171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131.18372707479097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8.2100000000000009</v>
      </c>
      <c r="CT83" s="12">
        <f>IF('Données projet'!$A$140&gt;35,CT82+CS83-DB82,IF(A83&lt;'Données projet'!$A$140,$CQ$205^A83,IF(A83='Données projet'!$A$140,'Données projet'!$B$140,CT82+CS83-DB82)))</f>
        <v>244.04000000000019</v>
      </c>
      <c r="CU83" s="17">
        <f>CT83*VLOOKUP('Données projet'!$B$13,Paramètres!$A$1:$I$89,3,0)*VLOOKUP('Données projet'!$B$13,Paramètres!$A$1:$I$89,5,0)</f>
        <v>277.91275200000018</v>
      </c>
      <c r="CV83" s="13">
        <f t="shared" si="95"/>
        <v>66.525721475436214</v>
      </c>
      <c r="CW83" s="20">
        <f t="shared" si="67"/>
        <v>599.8970079697184</v>
      </c>
      <c r="CX83" s="59">
        <f t="shared" si="68"/>
        <v>893.23034130305177</v>
      </c>
      <c r="CY83" s="59">
        <f ca="1">AVERAGE(OFFSET($CX$3,0,0,'Données projet'!$E$13+1,1))-AVERAGE(OFFSET($H$3,0,0,'Données projet'!$E$13+1,1))</f>
        <v>473.48875234867705</v>
      </c>
      <c r="CZ83" s="59">
        <f t="shared" si="96"/>
        <v>322.74347070996379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32.120799964575689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32.120799964575689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300.80663531652721</v>
      </c>
      <c r="T84" s="59">
        <f t="shared" si="88"/>
        <v>306.01967513533549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91.242635964872562</v>
      </c>
      <c r="AA84" s="21">
        <f>EXP(-LN(2)/25)*AA83+(1-EXP(-LN(2)/25))/(LN(2)/25)*Calculateur!V84*Calculateur!X84*VLOOKUP('Données projet'!$B$9,Paramètres!$A$1:$I$89,3,0)*0.475*44/12</f>
        <v>47.873151471646828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139.11578743651938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349.5718186624772</v>
      </c>
      <c r="AO84" s="59">
        <f t="shared" si="90"/>
        <v>258.14152930815959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168.673612293389</v>
      </c>
      <c r="AV84" s="21">
        <f>EXP(-LN(2)/25)*AV83+(1-EXP(-LN(2)/25))/(LN(2)/25)*Calculateur!AQ84*Calculateur!AS84*VLOOKUP('Données projet'!$B$10,Paramètres!$A$1:$I$89,3,0)*0.475*44/12</f>
        <v>78.534002383703907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247.20761467709292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349.5718186624772</v>
      </c>
      <c r="BJ84" s="59">
        <f t="shared" si="92"/>
        <v>258.14152930815959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168.673612293389</v>
      </c>
      <c r="BQ84" s="21">
        <f>EXP(-LN(2)/25)*BQ83+(1-EXP(-LN(2)/25))/(LN(2)/25)*Calculateur!BL84*Calculateur!BN84*VLOOKUP('Données projet'!$B$11,Paramètres!$A$1:$I$89,3,0)*0.475*44/12</f>
        <v>78.534002383703907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247.20761467709292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14.212499999999999</v>
      </c>
      <c r="BY84" s="12">
        <f>IF('Données projet'!$A$114&gt;35,BY83+BX84-CG83,IF(A84&lt;'Données projet'!$A$114,$BV$205^A84,IF(A84='Données projet'!$A$114,'Données projet'!$B$114,BY83+BX84-CG83)))</f>
        <v>436.34499999999991</v>
      </c>
      <c r="BZ84" s="13">
        <f>BY84*VLOOKUP('Données projet'!$B$12,Paramètres!$A$1:$I$89,3,0)*VLOOKUP('Données projet'!$B$12,Paramètres!$A$1:$I$89,5,0)</f>
        <v>204.20945999999995</v>
      </c>
      <c r="CA84" s="13">
        <f t="shared" si="93"/>
        <v>50.668155185492893</v>
      </c>
      <c r="CB84" s="20">
        <f t="shared" si="64"/>
        <v>443.91184644806668</v>
      </c>
      <c r="CC84" s="59">
        <f t="shared" si="65"/>
        <v>737.2451797814</v>
      </c>
      <c r="CD84" s="59">
        <f ca="1">AVERAGE(OFFSET($CC$3,0,0,'Données projet'!$E$12+1,1))-AVERAGE(OFFSET($H$3,0,0,'Données projet'!$E$12+1,1))</f>
        <v>356.22620301934836</v>
      </c>
      <c r="CE84" s="59">
        <f t="shared" si="94"/>
        <v>342.25495410715513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86.278844232174819</v>
      </c>
      <c r="CL84" s="21">
        <f>EXP(-LN(2)/25)*CL83+(1-EXP(-LN(2)/25))/(LN(2)/25)*Calculateur!CG84*Calculateur!CI84*VLOOKUP('Données projet'!$B$12,Paramètres!$A$1:$I$89,3,0)*0.475*44/12</f>
        <v>41.998430503956619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128.27727473613143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8.2100000000000009</v>
      </c>
      <c r="CT84" s="12">
        <f>IF('Données projet'!$A$140&gt;35,CT83+CS84-DB83,IF(A84&lt;'Données projet'!$A$140,$CQ$205^A84,IF(A84='Données projet'!$A$140,'Données projet'!$B$140,CT83+CS84-DB83)))</f>
        <v>252.2500000000002</v>
      </c>
      <c r="CU84" s="17">
        <f>CT84*VLOOKUP('Données projet'!$B$13,Paramètres!$A$1:$I$89,3,0)*VLOOKUP('Données projet'!$B$13,Paramètres!$A$1:$I$89,5,0)</f>
        <v>287.26230000000027</v>
      </c>
      <c r="CV84" s="13">
        <f t="shared" si="95"/>
        <v>68.499446985086067</v>
      </c>
      <c r="CW84" s="20">
        <f t="shared" si="67"/>
        <v>619.61837599902537</v>
      </c>
      <c r="CX84" s="59">
        <f t="shared" si="68"/>
        <v>912.95170933235863</v>
      </c>
      <c r="CY84" s="59">
        <f ca="1">AVERAGE(OFFSET($CX$3,0,0,'Données projet'!$E$13+1,1))-AVERAGE(OFFSET($H$3,0,0,'Données projet'!$E$13+1,1))</f>
        <v>473.48875234867705</v>
      </c>
      <c r="CZ84" s="59">
        <f t="shared" si="96"/>
        <v>322.74347070996379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31.490930669023811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31.490930669023811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300.80663531652721</v>
      </c>
      <c r="T85" s="59">
        <f t="shared" si="88"/>
        <v>306.01967513533549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89.453423526114122</v>
      </c>
      <c r="AA85" s="21">
        <f>EXP(-LN(2)/25)*AA84+(1-EXP(-LN(2)/25))/(LN(2)/25)*Calculateur!V85*Calculateur!X85*VLOOKUP('Données projet'!$B$9,Paramètres!$A$1:$I$89,3,0)*0.475*44/12</f>
        <v>46.564057627115027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136.01748115322914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349.5718186624772</v>
      </c>
      <c r="AO85" s="59">
        <f t="shared" si="90"/>
        <v>258.14152930815959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165.36602563706052</v>
      </c>
      <c r="AV85" s="21">
        <f>EXP(-LN(2)/25)*AV84+(1-EXP(-LN(2)/25))/(LN(2)/25)*Calculateur!AQ85*Calculateur!AS85*VLOOKUP('Données projet'!$B$10,Paramètres!$A$1:$I$89,3,0)*0.475*44/12</f>
        <v>76.386485958597831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241.75251159565835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349.5718186624772</v>
      </c>
      <c r="BJ85" s="59">
        <f t="shared" si="92"/>
        <v>258.14152930815959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165.36602563706052</v>
      </c>
      <c r="BQ85" s="21">
        <f>EXP(-LN(2)/25)*BQ84+(1-EXP(-LN(2)/25))/(LN(2)/25)*Calculateur!BL85*Calculateur!BN85*VLOOKUP('Données projet'!$B$11,Paramètres!$A$1:$I$89,3,0)*0.475*44/12</f>
        <v>76.386485958597831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241.75251159565835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14.212499999999999</v>
      </c>
      <c r="BY85" s="12">
        <f>IF('Données projet'!$A$114&gt;35,BY84+BX85-CG84,IF(A85&lt;'Données projet'!$A$114,$BV$205^A85,IF(A85='Données projet'!$A$114,'Données projet'!$B$114,BY84+BX85-CG84)))</f>
        <v>450.55749999999989</v>
      </c>
      <c r="BZ85" s="13">
        <f>BY85*VLOOKUP('Données projet'!$B$12,Paramètres!$A$1:$I$89,3,0)*VLOOKUP('Données projet'!$B$12,Paramètres!$A$1:$I$89,5,0)</f>
        <v>210.86090999999996</v>
      </c>
      <c r="CA85" s="13">
        <f t="shared" si="93"/>
        <v>52.123671374805603</v>
      </c>
      <c r="CB85" s="20">
        <f t="shared" si="64"/>
        <v>458.03147922778635</v>
      </c>
      <c r="CC85" s="59">
        <f t="shared" si="65"/>
        <v>751.36481256111961</v>
      </c>
      <c r="CD85" s="59">
        <f ca="1">AVERAGE(OFFSET($CC$3,0,0,'Données projet'!$E$12+1,1))-AVERAGE(OFFSET($H$3,0,0,'Données projet'!$E$12+1,1))</f>
        <v>356.22620301934836</v>
      </c>
      <c r="CE85" s="59">
        <f t="shared" si="94"/>
        <v>342.25495410715513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84.586968721680577</v>
      </c>
      <c r="CL85" s="21">
        <f>EXP(-LN(2)/25)*CL84+(1-EXP(-LN(2)/25))/(LN(2)/25)*Calculateur!CG85*Calculateur!CI85*VLOOKUP('Données projet'!$B$12,Paramètres!$A$1:$I$89,3,0)*0.475*44/12</f>
        <v>40.849981213224453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125.43694993490503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8.2100000000000009</v>
      </c>
      <c r="CT85" s="12">
        <f>IF('Données projet'!$A$140&gt;35,CT84+CS85-DB84,IF(A85&lt;'Données projet'!$A$140,$CQ$205^A85,IF(A85='Données projet'!$A$140,'Données projet'!$B$140,CT84+CS85-DB84)))</f>
        <v>260.46000000000021</v>
      </c>
      <c r="CU85" s="17">
        <f>CT85*VLOOKUP('Données projet'!$B$13,Paramètres!$A$1:$I$89,3,0)*VLOOKUP('Données projet'!$B$13,Paramètres!$A$1:$I$89,5,0)</f>
        <v>296.61184800000024</v>
      </c>
      <c r="CV85" s="13">
        <f t="shared" si="95"/>
        <v>70.465707829577084</v>
      </c>
      <c r="CW85" s="20">
        <f t="shared" si="67"/>
        <v>639.32674306984711</v>
      </c>
      <c r="CX85" s="59">
        <f t="shared" si="68"/>
        <v>932.66007640318048</v>
      </c>
      <c r="CY85" s="59">
        <f ca="1">AVERAGE(OFFSET($CX$3,0,0,'Données projet'!$E$13+1,1))-AVERAGE(OFFSET($H$3,0,0,'Données projet'!$E$13+1,1))</f>
        <v>473.48875234867705</v>
      </c>
      <c r="CZ85" s="59">
        <f t="shared" si="96"/>
        <v>322.74347070996379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30.873412726175371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30.873412726175371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300.80663531652721</v>
      </c>
      <c r="T86" s="59">
        <f t="shared" si="88"/>
        <v>306.01967513533549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87.699296451967911</v>
      </c>
      <c r="AA86" s="21">
        <f>EXP(-LN(2)/25)*AA85+(1-EXP(-LN(2)/25))/(LN(2)/25)*Calculateur!V86*Calculateur!X86*VLOOKUP('Données projet'!$B$9,Paramètres!$A$1:$I$89,3,0)*0.475*44/12</f>
        <v>45.290761022604201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132.9900574745721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349.5718186624772</v>
      </c>
      <c r="AO86" s="59">
        <f t="shared" si="90"/>
        <v>258.14152930815959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162.12329873763397</v>
      </c>
      <c r="AV86" s="21">
        <f>EXP(-LN(2)/25)*AV85+(1-EXP(-LN(2)/25))/(LN(2)/25)*Calculateur!AQ86*Calculateur!AS86*VLOOKUP('Données projet'!$B$10,Paramètres!$A$1:$I$89,3,0)*0.475*44/12</f>
        <v>74.297693483069267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236.42099222070323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349.5718186624772</v>
      </c>
      <c r="BJ86" s="59">
        <f t="shared" si="92"/>
        <v>258.14152930815959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162.12329873763397</v>
      </c>
      <c r="BQ86" s="21">
        <f>EXP(-LN(2)/25)*BQ85+(1-EXP(-LN(2)/25))/(LN(2)/25)*Calculateur!BL86*Calculateur!BN86*VLOOKUP('Données projet'!$B$11,Paramètres!$A$1:$I$89,3,0)*0.475*44/12</f>
        <v>74.297693483069267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236.42099222070323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14.212499999999999</v>
      </c>
      <c r="BY86" s="12">
        <f>IF('Données projet'!$A$114&gt;35,BY85+BX86-CG85,IF(A86&lt;'Données projet'!$A$114,$BV$205^A86,IF(A86='Données projet'!$A$114,'Données projet'!$B$114,BY85+BX86-CG85)))</f>
        <v>464.76999999999987</v>
      </c>
      <c r="BZ86" s="13">
        <f>BY86*VLOOKUP('Données projet'!$B$12,Paramètres!$A$1:$I$89,3,0)*VLOOKUP('Données projet'!$B$12,Paramètres!$A$1:$I$89,5,0)</f>
        <v>217.51235999999994</v>
      </c>
      <c r="CA86" s="13">
        <f t="shared" si="93"/>
        <v>53.573852135564842</v>
      </c>
      <c r="CB86" s="20">
        <f t="shared" si="64"/>
        <v>472.141819469442</v>
      </c>
      <c r="CC86" s="59">
        <f t="shared" si="65"/>
        <v>765.47515280277526</v>
      </c>
      <c r="CD86" s="59">
        <f ca="1">AVERAGE(OFFSET($CC$3,0,0,'Données projet'!$E$12+1,1))-AVERAGE(OFFSET($H$3,0,0,'Données projet'!$E$12+1,1))</f>
        <v>356.22620301934836</v>
      </c>
      <c r="CE86" s="59">
        <f t="shared" si="94"/>
        <v>342.25495410715513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82.928269858004967</v>
      </c>
      <c r="CL86" s="21">
        <f>EXP(-LN(2)/25)*CL85+(1-EXP(-LN(2)/25))/(LN(2)/25)*Calculateur!CG86*Calculateur!CI86*VLOOKUP('Données projet'!$B$12,Paramètres!$A$1:$I$89,3,0)*0.475*44/12</f>
        <v>39.73293632874168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122.66120618674665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>
        <f>VLOOKUP(A86,'Données projet'!$A$139:$I$159,2,0)</f>
        <v>268.67</v>
      </c>
      <c r="CR86" s="12">
        <f>VLOOKUP(A86,'Données projet'!$A$139:$I$159,9,0)</f>
        <v>8.2100000000000009</v>
      </c>
      <c r="CS86" s="12">
        <f t="array" ref="CS86">INDEX(CR:CR,MIN(IF(ISNUMBER(CR86:CR282),ROW(CR86:CR282),"")))</f>
        <v>8.2100000000000009</v>
      </c>
      <c r="CT86" s="12">
        <f>IF('Données projet'!$A$140&gt;35,CT85+CS86-DB85,IF(A86&lt;'Données projet'!$A$140,$CQ$205^A86,IF(A86='Données projet'!$A$140,'Données projet'!$B$140,CT85+CS86-DB85)))</f>
        <v>268.67000000000019</v>
      </c>
      <c r="CU86" s="17">
        <f>CT86*VLOOKUP('Données projet'!$B$13,Paramètres!$A$1:$I$89,3,0)*VLOOKUP('Données projet'!$B$13,Paramètres!$A$1:$I$89,5,0)</f>
        <v>305.96139600000021</v>
      </c>
      <c r="CV86" s="13">
        <f t="shared" si="95"/>
        <v>72.424766298931175</v>
      </c>
      <c r="CW86" s="20">
        <f t="shared" si="67"/>
        <v>659.02256600397209</v>
      </c>
      <c r="CX86" s="59">
        <f t="shared" si="68"/>
        <v>952.35589933730535</v>
      </c>
      <c r="CY86" s="59">
        <f ca="1">AVERAGE(OFFSET($CX$3,0,0,'Données projet'!$E$13+1,1))-AVERAGE(OFFSET($H$3,0,0,'Données projet'!$E$13+1,1))</f>
        <v>473.48875234867705</v>
      </c>
      <c r="CZ86" s="59">
        <f t="shared" si="96"/>
        <v>322.74347070996379</v>
      </c>
      <c r="DA86" s="15">
        <f>IF(ISNA(VLOOKUP(A86,'Données projet'!$A$139:$I$159,3,0)),0,VLOOKUP(A86,'Données projet'!$A$139:$I$159,3,0))</f>
        <v>7</v>
      </c>
      <c r="DB86" s="15">
        <f>IF(ISNA(VLOOKUP(A86,'Données projet'!$A$139:$I$159,4,0)),0,VLOOKUP(A86,'Données projet'!$A$139:$I$159,4,0))</f>
        <v>44.22</v>
      </c>
      <c r="DC86" s="16">
        <f>IF(ISNA(VLOOKUP(A86,'Données projet'!$A$139:$I$159,5,0)),0%,VLOOKUP(A86,'Données projet'!$A$139:$I$159,5,0)*VLOOKUP('Données projet'!$B$13,Paramètres!$A$1:$I$89,7,0))</f>
        <v>0.25800000000000001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44.630602199849179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44.630602199849179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300.80663531652721</v>
      </c>
      <c r="T87" s="59">
        <f t="shared" si="88"/>
        <v>306.01967513533549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85.979566739833828</v>
      </c>
      <c r="AA87" s="21">
        <f>EXP(-LN(2)/25)*AA86+(1-EXP(-LN(2)/25))/(LN(2)/25)*Calculateur!V87*Calculateur!X87*VLOOKUP('Données projet'!$B$9,Paramètres!$A$1:$I$89,3,0)*0.475*44/12</f>
        <v>44.052282780703479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130.03184952053732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349.5718186624772</v>
      </c>
      <c r="AO87" s="59">
        <f t="shared" si="90"/>
        <v>258.14152930815959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158.94415973483709</v>
      </c>
      <c r="AV87" s="21">
        <f>EXP(-LN(2)/25)*AV86+(1-EXP(-LN(2)/25))/(LN(2)/25)*Calculateur!AQ87*Calculateur!AS87*VLOOKUP('Données projet'!$B$10,Paramètres!$A$1:$I$89,3,0)*0.475*44/12</f>
        <v>72.266019147628853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231.21017888246593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349.5718186624772</v>
      </c>
      <c r="BJ87" s="59">
        <f t="shared" si="92"/>
        <v>258.14152930815959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158.94415973483709</v>
      </c>
      <c r="BQ87" s="21">
        <f>EXP(-LN(2)/25)*BQ86+(1-EXP(-LN(2)/25))/(LN(2)/25)*Calculateur!BL87*Calculateur!BN87*VLOOKUP('Données projet'!$B$11,Paramètres!$A$1:$I$89,3,0)*0.475*44/12</f>
        <v>72.266019147628853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231.21017888246593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14.212499999999999</v>
      </c>
      <c r="BY87" s="12">
        <f>IF('Données projet'!$A$114&gt;35,BY86+BX87-CG86,IF(A87&lt;'Données projet'!$A$114,$BV$205^A87,IF(A87='Données projet'!$A$114,'Données projet'!$B$114,BY86+BX87-CG86)))</f>
        <v>478.98249999999985</v>
      </c>
      <c r="BZ87" s="13">
        <f>BY87*VLOOKUP('Données projet'!$B$12,Paramètres!$A$1:$I$89,3,0)*VLOOKUP('Données projet'!$B$12,Paramètres!$A$1:$I$89,5,0)</f>
        <v>224.16380999999993</v>
      </c>
      <c r="CA87" s="13">
        <f t="shared" si="93"/>
        <v>55.018879348273053</v>
      </c>
      <c r="CB87" s="20">
        <f t="shared" si="64"/>
        <v>486.24318394824201</v>
      </c>
      <c r="CC87" s="59">
        <f t="shared" si="65"/>
        <v>779.57651728157532</v>
      </c>
      <c r="CD87" s="59">
        <f ca="1">AVERAGE(OFFSET($CC$3,0,0,'Données projet'!$E$12+1,1))-AVERAGE(OFFSET($H$3,0,0,'Données projet'!$E$12+1,1))</f>
        <v>356.22620301934836</v>
      </c>
      <c r="CE87" s="59">
        <f t="shared" si="94"/>
        <v>342.25495410715513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81.302097067339616</v>
      </c>
      <c r="CL87" s="21">
        <f>EXP(-LN(2)/25)*CL86+(1-EXP(-LN(2)/25))/(LN(2)/25)*Calculateur!CG87*Calculateur!CI87*VLOOKUP('Données projet'!$B$12,Paramètres!$A$1:$I$89,3,0)*0.475*44/12</f>
        <v>38.646437095367929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119.94853416270755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7.9879999999999969</v>
      </c>
      <c r="CT87" s="12">
        <f>IF('Données projet'!$A$140&gt;35,CT86+CS87-DB86,IF(A87&lt;'Données projet'!$A$140,$CQ$205^A87,IF(A87='Données projet'!$A$140,'Données projet'!$B$140,CT86+CS87-DB86)))</f>
        <v>232.43800000000019</v>
      </c>
      <c r="CU87" s="17">
        <f>CT87*VLOOKUP('Données projet'!$B$13,Paramètres!$A$1:$I$89,3,0)*VLOOKUP('Données projet'!$B$13,Paramètres!$A$1:$I$89,5,0)</f>
        <v>264.70039440000022</v>
      </c>
      <c r="CV87" s="13">
        <f t="shared" si="95"/>
        <v>63.72326491990485</v>
      </c>
      <c r="CW87" s="20">
        <f t="shared" si="67"/>
        <v>572.00453998216801</v>
      </c>
      <c r="CX87" s="59">
        <f t="shared" si="68"/>
        <v>865.33787331550138</v>
      </c>
      <c r="CY87" s="59">
        <f ca="1">AVERAGE(OFFSET($CX$3,0,0,'Données projet'!$E$13+1,1))-AVERAGE(OFFSET($H$3,0,0,'Données projet'!$E$13+1,1))</f>
        <v>473.48875234867705</v>
      </c>
      <c r="CZ87" s="59">
        <f t="shared" si="96"/>
        <v>322.74347070996379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43.75542331268953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43.75542331268953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300.80663531652721</v>
      </c>
      <c r="T88" s="59">
        <f t="shared" si="88"/>
        <v>306.01967513533549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84.293559878423139</v>
      </c>
      <c r="AA88" s="21">
        <f>EXP(-LN(2)/25)*AA87+(1-EXP(-LN(2)/25))/(LN(2)/25)*Calculateur!V88*Calculateur!X88*VLOOKUP('Données projet'!$B$9,Paramètres!$A$1:$I$89,3,0)*0.475*44/12</f>
        <v>42.847670791456274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127.14123066987941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349.5718186624772</v>
      </c>
      <c r="AO88" s="59">
        <f t="shared" si="90"/>
        <v>258.14152930815959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155.8273617088017</v>
      </c>
      <c r="AV88" s="21">
        <f>EXP(-LN(2)/25)*AV87+(1-EXP(-LN(2)/25))/(LN(2)/25)*Calculateur!AQ88*Calculateur!AS88*VLOOKUP('Données projet'!$B$10,Paramètres!$A$1:$I$89,3,0)*0.475*44/12</f>
        <v>70.289901053732166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226.11726276253387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349.5718186624772</v>
      </c>
      <c r="BJ88" s="59">
        <f t="shared" si="92"/>
        <v>258.14152930815959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155.8273617088017</v>
      </c>
      <c r="BQ88" s="21">
        <f>EXP(-LN(2)/25)*BQ87+(1-EXP(-LN(2)/25))/(LN(2)/25)*Calculateur!BL88*Calculateur!BN88*VLOOKUP('Données projet'!$B$11,Paramètres!$A$1:$I$89,3,0)*0.475*44/12</f>
        <v>70.289901053732166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226.11726276253387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14.212499999999999</v>
      </c>
      <c r="BY88" s="12">
        <f>IF('Données projet'!$A$114&gt;35,BY87+BX88-CG87,IF(A88&lt;'Données projet'!$A$114,$BV$205^A88,IF(A88='Données projet'!$A$114,'Données projet'!$B$114,BY87+BX88-CG87)))</f>
        <v>493.19499999999982</v>
      </c>
      <c r="BZ88" s="13">
        <f>BY88*VLOOKUP('Données projet'!$B$12,Paramètres!$A$1:$I$89,3,0)*VLOOKUP('Données projet'!$B$12,Paramètres!$A$1:$I$89,5,0)</f>
        <v>230.81525999999991</v>
      </c>
      <c r="CA88" s="13">
        <f t="shared" si="93"/>
        <v>56.458923486259444</v>
      </c>
      <c r="CB88" s="20">
        <f t="shared" si="64"/>
        <v>500.33586957190164</v>
      </c>
      <c r="CC88" s="59">
        <f t="shared" si="65"/>
        <v>793.6692029052349</v>
      </c>
      <c r="CD88" s="59">
        <f ca="1">AVERAGE(OFFSET($CC$3,0,0,'Données projet'!$E$12+1,1))-AVERAGE(OFFSET($H$3,0,0,'Données projet'!$E$12+1,1))</f>
        <v>356.22620301934836</v>
      </c>
      <c r="CE88" s="59">
        <f t="shared" si="94"/>
        <v>342.25495410715513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79.70781253323176</v>
      </c>
      <c r="CL88" s="21">
        <f>EXP(-LN(2)/25)*CL87+(1-EXP(-LN(2)/25))/(LN(2)/25)*Calculateur!CG88*Calculateur!CI88*VLOOKUP('Données projet'!$B$12,Paramètres!$A$1:$I$89,3,0)*0.475*44/12</f>
        <v>37.589648240667294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117.29746077389905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7.9879999999999969</v>
      </c>
      <c r="CT88" s="12">
        <f>IF('Données projet'!$A$140&gt;35,CT87+CS88-DB87,IF(A88&lt;'Données projet'!$A$140,$CQ$205^A88,IF(A88='Données projet'!$A$140,'Données projet'!$B$140,CT87+CS88-DB87)))</f>
        <v>240.42600000000019</v>
      </c>
      <c r="CU88" s="17">
        <f>CT88*VLOOKUP('Données projet'!$B$13,Paramètres!$A$1:$I$89,3,0)*VLOOKUP('Données projet'!$B$13,Paramètres!$A$1:$I$89,5,0)</f>
        <v>273.79712880000022</v>
      </c>
      <c r="CV88" s="13">
        <f t="shared" si="95"/>
        <v>65.654459699593488</v>
      </c>
      <c r="CW88" s="20">
        <f t="shared" si="67"/>
        <v>591.21151663679234</v>
      </c>
      <c r="CX88" s="59">
        <f t="shared" si="68"/>
        <v>884.5448499701256</v>
      </c>
      <c r="CY88" s="59">
        <f ca="1">AVERAGE(OFFSET($CX$3,0,0,'Données projet'!$E$13+1,1))-AVERAGE(OFFSET($H$3,0,0,'Données projet'!$E$13+1,1))</f>
        <v>473.48875234867705</v>
      </c>
      <c r="CZ88" s="59">
        <f t="shared" si="96"/>
        <v>322.74347070996379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42.897406149700672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42.897406149700672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300.80663531652721</v>
      </c>
      <c r="T89" s="59">
        <f t="shared" si="88"/>
        <v>306.01967513533549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82.64061458320208</v>
      </c>
      <c r="AA89" s="21">
        <f>EXP(-LN(2)/25)*AA88+(1-EXP(-LN(2)/25))/(LN(2)/25)*Calculateur!V89*Calculateur!X89*VLOOKUP('Données projet'!$B$9,Paramètres!$A$1:$I$89,3,0)*0.475*44/12</f>
        <v>41.675998980402824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124.3166135636049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349.5718186624772</v>
      </c>
      <c r="AO89" s="59">
        <f t="shared" si="90"/>
        <v>258.14152930815959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152.77168219099781</v>
      </c>
      <c r="AV89" s="21">
        <f>EXP(-LN(2)/25)*AV88+(1-EXP(-LN(2)/25))/(LN(2)/25)*Calculateur!AQ89*Calculateur!AS89*VLOOKUP('Données projet'!$B$10,Paramètres!$A$1:$I$89,3,0)*0.475*44/12</f>
        <v>68.367820013032613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221.13950220403041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349.5718186624772</v>
      </c>
      <c r="BJ89" s="59">
        <f t="shared" si="92"/>
        <v>258.14152930815959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152.77168219099781</v>
      </c>
      <c r="BQ89" s="21">
        <f>EXP(-LN(2)/25)*BQ88+(1-EXP(-LN(2)/25))/(LN(2)/25)*Calculateur!BL89*Calculateur!BN89*VLOOKUP('Données projet'!$B$11,Paramètres!$A$1:$I$89,3,0)*0.475*44/12</f>
        <v>68.367820013032613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221.13950220403041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14.212499999999999</v>
      </c>
      <c r="BY89" s="12">
        <f>IF('Données projet'!$A$114&gt;35,BY88+BX89-CG88,IF(A89&lt;'Données projet'!$A$114,$BV$205^A89,IF(A89='Données projet'!$A$114,'Données projet'!$B$114,BY88+BX89-CG88)))</f>
        <v>507.4074999999998</v>
      </c>
      <c r="BZ89" s="13">
        <f>BY89*VLOOKUP('Données projet'!$B$12,Paramètres!$A$1:$I$89,3,0)*VLOOKUP('Données projet'!$B$12,Paramètres!$A$1:$I$89,5,0)</f>
        <v>237.46670999999992</v>
      </c>
      <c r="CA89" s="13">
        <f t="shared" si="93"/>
        <v>57.89414463897004</v>
      </c>
      <c r="CB89" s="20">
        <f t="shared" si="64"/>
        <v>514.42015516287267</v>
      </c>
      <c r="CC89" s="59">
        <f t="shared" si="65"/>
        <v>807.75348849620605</v>
      </c>
      <c r="CD89" s="59">
        <f ca="1">AVERAGE(OFFSET($CC$3,0,0,'Données projet'!$E$12+1,1))-AVERAGE(OFFSET($H$3,0,0,'Données projet'!$E$12+1,1))</f>
        <v>356.22620301934836</v>
      </c>
      <c r="CE89" s="59">
        <f t="shared" si="94"/>
        <v>342.25495410715513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78.144790946420201</v>
      </c>
      <c r="CL89" s="21">
        <f>EXP(-LN(2)/25)*CL88+(1-EXP(-LN(2)/25))/(LN(2)/25)*Calculateur!CG89*Calculateur!CI89*VLOOKUP('Données projet'!$B$12,Paramètres!$A$1:$I$89,3,0)*0.475*44/12</f>
        <v>36.561757332772558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114.70654827919276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7.9879999999999969</v>
      </c>
      <c r="CT89" s="12">
        <f>IF('Données projet'!$A$140&gt;35,CT88+CS89-DB88,IF(A89&lt;'Données projet'!$A$140,$CQ$205^A89,IF(A89='Données projet'!$A$140,'Données projet'!$B$140,CT88+CS89-DB88)))</f>
        <v>248.41400000000019</v>
      </c>
      <c r="CU89" s="17">
        <f>CT89*VLOOKUP('Données projet'!$B$13,Paramètres!$A$1:$I$89,3,0)*VLOOKUP('Données projet'!$B$13,Paramètres!$A$1:$I$89,5,0)</f>
        <v>282.89386320000023</v>
      </c>
      <c r="CV89" s="13">
        <f t="shared" si="95"/>
        <v>67.578198913688226</v>
      </c>
      <c r="CW89" s="20">
        <f t="shared" si="67"/>
        <v>610.40550818134068</v>
      </c>
      <c r="CX89" s="59">
        <f t="shared" si="68"/>
        <v>903.73884151467405</v>
      </c>
      <c r="CY89" s="59">
        <f ca="1">AVERAGE(OFFSET($CX$3,0,0,'Données projet'!$E$13+1,1))-AVERAGE(OFFSET($H$3,0,0,'Données projet'!$E$13+1,1))</f>
        <v>473.48875234867705</v>
      </c>
      <c r="CZ89" s="59">
        <f t="shared" si="96"/>
        <v>322.74347070996379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42.056214179939232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42.056214179939232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300.80663531652721</v>
      </c>
      <c r="T90" s="59">
        <f t="shared" si="88"/>
        <v>306.01967513533549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81.020082537023228</v>
      </c>
      <c r="AA90" s="21">
        <f>EXP(-LN(2)/25)*AA89+(1-EXP(-LN(2)/25))/(LN(2)/25)*Calculateur!V90*Calculateur!X90*VLOOKUP('Données projet'!$B$9,Paramètres!$A$1:$I$89,3,0)*0.475*44/12</f>
        <v>40.536366596638175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121.5564491336614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349.5718186624772</v>
      </c>
      <c r="AO90" s="59">
        <f t="shared" si="90"/>
        <v>258.14152930815959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149.77592268475757</v>
      </c>
      <c r="AV90" s="21">
        <f>EXP(-LN(2)/25)*AV89+(1-EXP(-LN(2)/25))/(LN(2)/25)*Calculateur!AQ90*Calculateur!AS90*VLOOKUP('Données projet'!$B$10,Paramètres!$A$1:$I$89,3,0)*0.475*44/12</f>
        <v>66.498298379468835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216.27422106422642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349.5718186624772</v>
      </c>
      <c r="BJ90" s="59">
        <f t="shared" si="92"/>
        <v>258.14152930815959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149.77592268475757</v>
      </c>
      <c r="BQ90" s="21">
        <f>EXP(-LN(2)/25)*BQ89+(1-EXP(-LN(2)/25))/(LN(2)/25)*Calculateur!BL90*Calculateur!BN90*VLOOKUP('Données projet'!$B$11,Paramètres!$A$1:$I$89,3,0)*0.475*44/12</f>
        <v>66.498298379468835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216.27422106422642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>
        <f>VLOOKUP(A90,'Données projet'!$A$113:$I$133,2,0)</f>
        <v>521.62</v>
      </c>
      <c r="BW90" s="12">
        <f>VLOOKUP(A90,'Données projet'!$A$113:$I$133,9,0)</f>
        <v>14.212499999999999</v>
      </c>
      <c r="BX90" s="12">
        <f t="array" ref="BX90">INDEX(BW:BW,MIN(IF(ISNUMBER(BW90:BW286),ROW(BW90:BW286),"")))</f>
        <v>14.212499999999999</v>
      </c>
      <c r="BY90" s="12">
        <f>IF('Données projet'!$A$114&gt;35,BY89+BX90-CG89,IF(A90&lt;'Données projet'!$A$114,$BV$205^A90,IF(A90='Données projet'!$A$114,'Données projet'!$B$114,BY89+BX90-CG89)))</f>
        <v>521.61999999999978</v>
      </c>
      <c r="BZ90" s="13">
        <f>BY90*VLOOKUP('Données projet'!$B$12,Paramètres!$A$1:$I$89,3,0)*VLOOKUP('Données projet'!$B$12,Paramètres!$A$1:$I$89,5,0)</f>
        <v>244.11815999999988</v>
      </c>
      <c r="CA90" s="13">
        <f t="shared" si="93"/>
        <v>59.324693417385667</v>
      </c>
      <c r="CB90" s="20">
        <f t="shared" si="64"/>
        <v>528.49630303527977</v>
      </c>
      <c r="CC90" s="59">
        <f t="shared" si="65"/>
        <v>821.82963636861314</v>
      </c>
      <c r="CD90" s="59">
        <f ca="1">AVERAGE(OFFSET($CC$3,0,0,'Données projet'!$E$12+1,1))-AVERAGE(OFFSET($H$3,0,0,'Données projet'!$E$12+1,1))</f>
        <v>356.22620301934836</v>
      </c>
      <c r="CE90" s="59">
        <f t="shared" si="94"/>
        <v>342.25495410715513</v>
      </c>
      <c r="CF90" s="15">
        <f>IF(ISNA(VLOOKUP(A90,'Données projet'!$A$113:$I$133,3,0)),0,VLOOKUP(A90,'Données projet'!$A$113:$I$133,3,0))</f>
        <v>7</v>
      </c>
      <c r="CG90" s="15">
        <f>IF(ISNA(VLOOKUP(A90,'Données projet'!$A$113:$I$133,4,0)),0,VLOOKUP(A90,'Données projet'!$A$113:$I$133,4,0))</f>
        <v>88.62</v>
      </c>
      <c r="CH90" s="16">
        <f>IF(ISNA(VLOOKUP(A90,'Données projet'!$A$113:$I$133,5,0)),0%,VLOOKUP(A90,'Données projet'!$A$113:$I$133,5,0)*VLOOKUP('Données projet'!$B$12,Paramètres!$A$1:$I$89,7,0))</f>
        <v>0.38500000000000001</v>
      </c>
      <c r="CI90" s="16">
        <f>IF(ISNA(VLOOKUP(A90,'Données projet'!$A$113:$I$133,6,0)),0%,VLOOKUP(A90,'Données projet'!$A$113:$I$133,6,0)*VLOOKUP('Données projet'!$B$12,Paramètres!$A$1:$I$89,7,0))</f>
        <v>0.16500000000000001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97.79440565253374</v>
      </c>
      <c r="CL90" s="21">
        <f>EXP(-LN(2)/25)*CL89+(1-EXP(-LN(2)/25))/(LN(2)/25)*Calculateur!CG90*Calculateur!CI90*VLOOKUP('Données projet'!$B$12,Paramètres!$A$1:$I$89,3,0)*0.475*44/12</f>
        <v>44.604224802190686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142.39863045472441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7.9879999999999969</v>
      </c>
      <c r="CT90" s="12">
        <f>IF('Données projet'!$A$140&gt;35,CT89+CS90-DB89,IF(A90&lt;'Données projet'!$A$140,$CQ$205^A90,IF(A90='Données projet'!$A$140,'Données projet'!$B$140,CT89+CS90-DB89)))</f>
        <v>256.40200000000016</v>
      </c>
      <c r="CU90" s="17">
        <f>CT90*VLOOKUP('Données projet'!$B$13,Paramètres!$A$1:$I$89,3,0)*VLOOKUP('Données projet'!$B$13,Paramètres!$A$1:$I$89,5,0)</f>
        <v>291.99059760000017</v>
      </c>
      <c r="CV90" s="13">
        <f t="shared" si="95"/>
        <v>69.494749802428132</v>
      </c>
      <c r="CW90" s="20">
        <f t="shared" si="67"/>
        <v>629.58698005922929</v>
      </c>
      <c r="CX90" s="59">
        <f t="shared" si="68"/>
        <v>922.92031339256255</v>
      </c>
      <c r="CY90" s="59">
        <f ca="1">AVERAGE(OFFSET($CX$3,0,0,'Données projet'!$E$13+1,1))-AVERAGE(OFFSET($H$3,0,0,'Données projet'!$E$13+1,1))</f>
        <v>473.48875234867705</v>
      </c>
      <c r="CZ90" s="59">
        <f t="shared" si="96"/>
        <v>322.74347070996379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41.231517471628372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41.231517471628372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300.80663531652721</v>
      </c>
      <c r="T91" s="59">
        <f t="shared" si="88"/>
        <v>306.01967513533549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79.431328135842989</v>
      </c>
      <c r="AA91" s="21">
        <f>EXP(-LN(2)/25)*AA90+(1-EXP(-LN(2)/25))/(LN(2)/25)*Calculateur!V91*Calculateur!X91*VLOOKUP('Données projet'!$B$9,Paramètres!$A$1:$I$89,3,0)*0.475*44/12</f>
        <v>39.427897520338234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118.85922565618122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349.5718186624772</v>
      </c>
      <c r="AO91" s="59">
        <f t="shared" si="90"/>
        <v>258.14152930815959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146.83890819520184</v>
      </c>
      <c r="AV91" s="21">
        <f>EXP(-LN(2)/25)*AV90+(1-EXP(-LN(2)/25))/(LN(2)/25)*Calculateur!AQ91*Calculateur!AS91*VLOOKUP('Données projet'!$B$10,Paramètres!$A$1:$I$89,3,0)*0.475*44/12</f>
        <v>64.679898913288739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211.51880710849059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349.5718186624772</v>
      </c>
      <c r="BJ91" s="59">
        <f t="shared" si="92"/>
        <v>258.14152930815959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146.83890819520184</v>
      </c>
      <c r="BQ91" s="21">
        <f>EXP(-LN(2)/25)*BQ90+(1-EXP(-LN(2)/25))/(LN(2)/25)*Calculateur!BL91*Calculateur!BN91*VLOOKUP('Données projet'!$B$11,Paramètres!$A$1:$I$89,3,0)*0.475*44/12</f>
        <v>64.679898913288739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211.51880710849059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13.159999999999997</v>
      </c>
      <c r="BY91" s="12">
        <f>IF('Données projet'!$A$114&gt;35,BY90+BX91-CG90,IF(A91&lt;'Données projet'!$A$114,$BV$205^A91,IF(A91='Données projet'!$A$114,'Données projet'!$B$114,BY90+BX91-CG90)))</f>
        <v>446.15999999999974</v>
      </c>
      <c r="BZ91" s="13">
        <f>BY91*VLOOKUP('Données projet'!$B$12,Paramètres!$A$1:$I$89,3,0)*VLOOKUP('Données projet'!$B$12,Paramètres!$A$1:$I$89,5,0)</f>
        <v>208.80287999999987</v>
      </c>
      <c r="CA91" s="13">
        <f t="shared" si="93"/>
        <v>51.67389788236224</v>
      </c>
      <c r="CB91" s="20">
        <f t="shared" si="64"/>
        <v>453.66372147844731</v>
      </c>
      <c r="CC91" s="59">
        <f t="shared" si="65"/>
        <v>746.99705481178057</v>
      </c>
      <c r="CD91" s="59">
        <f ca="1">AVERAGE(OFFSET($CC$3,0,0,'Données projet'!$E$12+1,1))-AVERAGE(OFFSET($H$3,0,0,'Données projet'!$E$12+1,1))</f>
        <v>356.22620301934836</v>
      </c>
      <c r="CE91" s="59">
        <f t="shared" si="94"/>
        <v>342.25495410715513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95.876717006385178</v>
      </c>
      <c r="CL91" s="21">
        <f>EXP(-LN(2)/25)*CL90+(1-EXP(-LN(2)/25))/(LN(2)/25)*Calculateur!CG91*Calculateur!CI91*VLOOKUP('Données projet'!$B$12,Paramètres!$A$1:$I$89,3,0)*0.475*44/12</f>
        <v>43.384519929340541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139.26123693572572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7.9879999999999969</v>
      </c>
      <c r="CT91" s="12">
        <f>IF('Données projet'!$A$140&gt;35,CT90+CS91-DB90,IF(A91&lt;'Données projet'!$A$140,$CQ$205^A91,IF(A91='Données projet'!$A$140,'Données projet'!$B$140,CT90+CS91-DB90)))</f>
        <v>264.39000000000016</v>
      </c>
      <c r="CU91" s="17">
        <f>CT91*VLOOKUP('Données projet'!$B$13,Paramètres!$A$1:$I$89,3,0)*VLOOKUP('Données projet'!$B$13,Paramètres!$A$1:$I$89,5,0)</f>
        <v>301.08733200000017</v>
      </c>
      <c r="CV91" s="13">
        <f t="shared" si="95"/>
        <v>71.404362008906446</v>
      </c>
      <c r="CW91" s="20">
        <f t="shared" si="67"/>
        <v>648.75636706551234</v>
      </c>
      <c r="CX91" s="59">
        <f t="shared" si="68"/>
        <v>942.08970039884571</v>
      </c>
      <c r="CY91" s="59">
        <f ca="1">AVERAGE(OFFSET($CX$3,0,0,'Données projet'!$E$13+1,1))-AVERAGE(OFFSET($H$3,0,0,'Données projet'!$E$13+1,1))</f>
        <v>473.48875234867705</v>
      </c>
      <c r="CZ91" s="59">
        <f t="shared" si="96"/>
        <v>322.74347070996379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40.422992562752164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40.422992562752164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300.80663531652721</v>
      </c>
      <c r="T92" s="59">
        <f t="shared" si="88"/>
        <v>306.01967513533549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77.87372823942539</v>
      </c>
      <c r="AA92" s="21">
        <f>EXP(-LN(2)/25)*AA91+(1-EXP(-LN(2)/25))/(LN(2)/25)*Calculateur!V92*Calculateur!X92*VLOOKUP('Données projet'!$B$9,Paramètres!$A$1:$I$89,3,0)*0.475*44/12</f>
        <v>38.349739589221571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116.22346782864696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349.5718186624772</v>
      </c>
      <c r="AO92" s="59">
        <f t="shared" si="90"/>
        <v>258.14152930815959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143.95948676838432</v>
      </c>
      <c r="AV92" s="21">
        <f>EXP(-LN(2)/25)*AV91+(1-EXP(-LN(2)/25))/(LN(2)/25)*Calculateur!AQ92*Calculateur!AS92*VLOOKUP('Données projet'!$B$10,Paramètres!$A$1:$I$89,3,0)*0.475*44/12</f>
        <v>62.9112236761368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206.87071044452114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349.5718186624772</v>
      </c>
      <c r="BJ92" s="59">
        <f t="shared" si="92"/>
        <v>258.14152930815959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143.95948676838432</v>
      </c>
      <c r="BQ92" s="21">
        <f>EXP(-LN(2)/25)*BQ91+(1-EXP(-LN(2)/25))/(LN(2)/25)*Calculateur!BL92*Calculateur!BN92*VLOOKUP('Données projet'!$B$11,Paramètres!$A$1:$I$89,3,0)*0.475*44/12</f>
        <v>62.9112236761368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206.87071044452114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13.159999999999997</v>
      </c>
      <c r="BY92" s="12">
        <f>IF('Données projet'!$A$114&gt;35,BY91+BX92-CG91,IF(A92&lt;'Données projet'!$A$114,$BV$205^A92,IF(A92='Données projet'!$A$114,'Données projet'!$B$114,BY91+BX92-CG91)))</f>
        <v>459.31999999999971</v>
      </c>
      <c r="BZ92" s="13">
        <f>BY92*VLOOKUP('Données projet'!$B$12,Paramètres!$A$1:$I$89,3,0)*VLOOKUP('Données projet'!$B$12,Paramètres!$A$1:$I$89,5,0)</f>
        <v>214.96175999999986</v>
      </c>
      <c r="CA92" s="13">
        <f t="shared" si="93"/>
        <v>53.018377045952029</v>
      </c>
      <c r="CB92" s="20">
        <f t="shared" si="64"/>
        <v>466.73207202169948</v>
      </c>
      <c r="CC92" s="59">
        <f t="shared" si="65"/>
        <v>760.06540535503279</v>
      </c>
      <c r="CD92" s="59">
        <f ca="1">AVERAGE(OFFSET($CC$3,0,0,'Données projet'!$E$12+1,1))-AVERAGE(OFFSET($H$3,0,0,'Données projet'!$E$12+1,1))</f>
        <v>356.22620301934836</v>
      </c>
      <c r="CE92" s="59">
        <f t="shared" si="94"/>
        <v>342.25495410715513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93.996633064913013</v>
      </c>
      <c r="CL92" s="21">
        <f>EXP(-LN(2)/25)*CL91+(1-EXP(-LN(2)/25))/(LN(2)/25)*Calculateur!CG92*Calculateur!CI92*VLOOKUP('Données projet'!$B$12,Paramètres!$A$1:$I$89,3,0)*0.475*44/12</f>
        <v>42.198167950379975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136.194801015293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7.9879999999999969</v>
      </c>
      <c r="CT92" s="12">
        <f>IF('Données projet'!$A$140&gt;35,CT91+CS92-DB91,IF(A92&lt;'Données projet'!$A$140,$CQ$205^A92,IF(A92='Données projet'!$A$140,'Données projet'!$B$140,CT91+CS92-DB91)))</f>
        <v>272.37800000000016</v>
      </c>
      <c r="CU92" s="17">
        <f>CT92*VLOOKUP('Données projet'!$B$13,Paramètres!$A$1:$I$89,3,0)*VLOOKUP('Données projet'!$B$13,Paramètres!$A$1:$I$89,5,0)</f>
        <v>310.18406640000018</v>
      </c>
      <c r="CV92" s="13">
        <f t="shared" si="95"/>
        <v>73.307269234054814</v>
      </c>
      <c r="CW92" s="20">
        <f t="shared" si="67"/>
        <v>667.9140762293124</v>
      </c>
      <c r="CX92" s="59">
        <f t="shared" si="68"/>
        <v>961.24740956264577</v>
      </c>
      <c r="CY92" s="59">
        <f ca="1">AVERAGE(OFFSET($CX$3,0,0,'Données projet'!$E$13+1,1))-AVERAGE(OFFSET($H$3,0,0,'Données projet'!$E$13+1,1))</f>
        <v>473.48875234867705</v>
      </c>
      <c r="CZ92" s="59">
        <f t="shared" si="96"/>
        <v>322.74347070996379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39.630322334187518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39.630322334187518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300.80663531652721</v>
      </c>
      <c r="T93" s="59">
        <f t="shared" si="88"/>
        <v>306.01967513533549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76.34667192693442</v>
      </c>
      <c r="AA93" s="21">
        <f>EXP(-LN(2)/25)*AA92+(1-EXP(-LN(2)/25))/(LN(2)/25)*Calculateur!V93*Calculateur!X93*VLOOKUP('Données projet'!$B$9,Paramètres!$A$1:$I$89,3,0)*0.475*44/12</f>
        <v>37.301063943429149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113.64773587036356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349.5718186624772</v>
      </c>
      <c r="AO93" s="59">
        <f t="shared" si="90"/>
        <v>258.14152930815959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141.13652903947306</v>
      </c>
      <c r="AV93" s="21">
        <f>EXP(-LN(2)/25)*AV92+(1-EXP(-LN(2)/25))/(LN(2)/25)*Calculateur!AQ93*Calculateur!AS93*VLOOKUP('Données projet'!$B$10,Paramètres!$A$1:$I$89,3,0)*0.475*44/12</f>
        <v>61.190912956355369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202.32744199582842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349.5718186624772</v>
      </c>
      <c r="BJ93" s="59">
        <f t="shared" si="92"/>
        <v>258.14152930815959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141.13652903947306</v>
      </c>
      <c r="BQ93" s="21">
        <f>EXP(-LN(2)/25)*BQ92+(1-EXP(-LN(2)/25))/(LN(2)/25)*Calculateur!BL93*Calculateur!BN93*VLOOKUP('Données projet'!$B$11,Paramètres!$A$1:$I$89,3,0)*0.475*44/12</f>
        <v>61.190912956355369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202.32744199582842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13.159999999999997</v>
      </c>
      <c r="BY93" s="12">
        <f>IF('Données projet'!$A$114&gt;35,BY92+BX93-CG92,IF(A93&lt;'Données projet'!$A$114,$BV$205^A93,IF(A93='Données projet'!$A$114,'Données projet'!$B$114,BY92+BX93-CG92)))</f>
        <v>472.47999999999968</v>
      </c>
      <c r="BZ93" s="13">
        <f>BY93*VLOOKUP('Données projet'!$B$12,Paramètres!$A$1:$I$89,3,0)*VLOOKUP('Données projet'!$B$12,Paramètres!$A$1:$I$89,5,0)</f>
        <v>221.12063999999984</v>
      </c>
      <c r="CA93" s="13">
        <f t="shared" si="93"/>
        <v>54.35837921673749</v>
      </c>
      <c r="CB93" s="20">
        <f t="shared" si="64"/>
        <v>479.79262513581756</v>
      </c>
      <c r="CC93" s="59">
        <f t="shared" si="65"/>
        <v>773.12595846915087</v>
      </c>
      <c r="CD93" s="59">
        <f ca="1">AVERAGE(OFFSET($CC$3,0,0,'Données projet'!$E$12+1,1))-AVERAGE(OFFSET($H$3,0,0,'Données projet'!$E$12+1,1))</f>
        <v>356.22620301934836</v>
      </c>
      <c r="CE93" s="59">
        <f t="shared" si="94"/>
        <v>342.25495410715513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92.153416422795146</v>
      </c>
      <c r="CL93" s="21">
        <f>EXP(-LN(2)/25)*CL92+(1-EXP(-LN(2)/25))/(LN(2)/25)*Calculateur!CG93*Calculateur!CI93*VLOOKUP('Données projet'!$B$12,Paramètres!$A$1:$I$89,3,0)*0.475*44/12</f>
        <v>41.044256828671628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133.19767325146677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7.9879999999999969</v>
      </c>
      <c r="CT93" s="12">
        <f>IF('Données projet'!$A$140&gt;35,CT92+CS93-DB92,IF(A93&lt;'Données projet'!$A$140,$CQ$205^A93,IF(A93='Données projet'!$A$140,'Données projet'!$B$140,CT92+CS93-DB92)))</f>
        <v>280.36600000000016</v>
      </c>
      <c r="CU93" s="17">
        <f>CT93*VLOOKUP('Données projet'!$B$13,Paramètres!$A$1:$I$89,3,0)*VLOOKUP('Données projet'!$B$13,Paramètres!$A$1:$I$89,5,0)</f>
        <v>319.28080080000018</v>
      </c>
      <c r="CV93" s="13">
        <f t="shared" si="95"/>
        <v>75.203690692029497</v>
      </c>
      <c r="CW93" s="20">
        <f t="shared" si="67"/>
        <v>687.06048934861838</v>
      </c>
      <c r="CX93" s="59">
        <f t="shared" si="68"/>
        <v>980.39382268195163</v>
      </c>
      <c r="CY93" s="59">
        <f ca="1">AVERAGE(OFFSET($CX$3,0,0,'Données projet'!$E$13+1,1))-AVERAGE(OFFSET($H$3,0,0,'Données projet'!$E$13+1,1))</f>
        <v>473.48875234867705</v>
      </c>
      <c r="CZ93" s="59">
        <f t="shared" si="96"/>
        <v>322.74347070996379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38.853195885323927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38.853195885323927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300.80663531652721</v>
      </c>
      <c r="T94" s="59">
        <f t="shared" si="88"/>
        <v>306.01967513533549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74.849560257319013</v>
      </c>
      <c r="AA94" s="21">
        <f>EXP(-LN(2)/25)*AA93+(1-EXP(-LN(2)/25))/(LN(2)/25)*Calculateur!V94*Calculateur!X94*VLOOKUP('Données projet'!$B$9,Paramètres!$A$1:$I$89,3,0)*0.475*44/12</f>
        <v>36.281064388318377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111.1306246456374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349.5718186624772</v>
      </c>
      <c r="AO94" s="59">
        <f t="shared" si="90"/>
        <v>258.14152930815959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138.36892778979154</v>
      </c>
      <c r="AV94" s="21">
        <f>EXP(-LN(2)/25)*AV93+(1-EXP(-LN(2)/25))/(LN(2)/25)*Calculateur!AQ94*Calculateur!AS94*VLOOKUP('Données projet'!$B$10,Paramètres!$A$1:$I$89,3,0)*0.475*44/12</f>
        <v>59.517644223673571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197.88657201346513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349.5718186624772</v>
      </c>
      <c r="BJ94" s="59">
        <f t="shared" si="92"/>
        <v>258.14152930815959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138.36892778979154</v>
      </c>
      <c r="BQ94" s="21">
        <f>EXP(-LN(2)/25)*BQ93+(1-EXP(-LN(2)/25))/(LN(2)/25)*Calculateur!BL94*Calculateur!BN94*VLOOKUP('Données projet'!$B$11,Paramètres!$A$1:$I$89,3,0)*0.475*44/12</f>
        <v>59.517644223673571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197.88657201346513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13.159999999999997</v>
      </c>
      <c r="BY94" s="12">
        <f>IF('Données projet'!$A$114&gt;35,BY93+BX94-CG93,IF(A94&lt;'Données projet'!$A$114,$BV$205^A94,IF(A94='Données projet'!$A$114,'Données projet'!$B$114,BY93+BX94-CG93)))</f>
        <v>485.63999999999965</v>
      </c>
      <c r="BZ94" s="13">
        <f>BY94*VLOOKUP('Données projet'!$B$12,Paramètres!$A$1:$I$89,3,0)*VLOOKUP('Données projet'!$B$12,Paramètres!$A$1:$I$89,5,0)</f>
        <v>227.27951999999982</v>
      </c>
      <c r="CA94" s="13">
        <f t="shared" si="93"/>
        <v>55.694043418351256</v>
      </c>
      <c r="CB94" s="20">
        <f t="shared" si="64"/>
        <v>492.84562295362815</v>
      </c>
      <c r="CC94" s="59">
        <f t="shared" si="65"/>
        <v>786.17895628696147</v>
      </c>
      <c r="CD94" s="59">
        <f ca="1">AVERAGE(OFFSET($CC$3,0,0,'Données projet'!$E$12+1,1))-AVERAGE(OFFSET($H$3,0,0,'Données projet'!$E$12+1,1))</f>
        <v>356.22620301934836</v>
      </c>
      <c r="CE94" s="59">
        <f t="shared" si="94"/>
        <v>342.25495410715513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90.346344134778064</v>
      </c>
      <c r="CL94" s="21">
        <f>EXP(-LN(2)/25)*CL93+(1-EXP(-LN(2)/25))/(LN(2)/25)*Calculateur!CG94*Calculateur!CI94*VLOOKUP('Données projet'!$B$12,Paramètres!$A$1:$I$89,3,0)*0.475*44/12</f>
        <v>39.921899467267941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130.268243602046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7.9879999999999969</v>
      </c>
      <c r="CT94" s="12">
        <f>IF('Données projet'!$A$140&gt;35,CT93+CS94-DB93,IF(A94&lt;'Données projet'!$A$140,$CQ$205^A94,IF(A94='Données projet'!$A$140,'Données projet'!$B$140,CT93+CS94-DB93)))</f>
        <v>288.35400000000016</v>
      </c>
      <c r="CU94" s="17">
        <f>CT94*VLOOKUP('Données projet'!$B$13,Paramètres!$A$1:$I$89,3,0)*VLOOKUP('Données projet'!$B$13,Paramètres!$A$1:$I$89,5,0)</f>
        <v>328.37753520000018</v>
      </c>
      <c r="CV94" s="13">
        <f t="shared" si="95"/>
        <v>77.093832395072255</v>
      </c>
      <c r="CW94" s="20">
        <f t="shared" si="67"/>
        <v>706.19596522808445</v>
      </c>
      <c r="CX94" s="59">
        <f t="shared" si="68"/>
        <v>999.52929856141782</v>
      </c>
      <c r="CY94" s="59">
        <f ca="1">AVERAGE(OFFSET($CX$3,0,0,'Données projet'!$E$13+1,1))-AVERAGE(OFFSET($H$3,0,0,'Données projet'!$E$13+1,1))</f>
        <v>473.48875234867705</v>
      </c>
      <c r="CZ94" s="59">
        <f t="shared" si="96"/>
        <v>322.74347070996379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38.091308412122224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38.091308412122224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300.80663531652721</v>
      </c>
      <c r="T95" s="59">
        <f t="shared" si="88"/>
        <v>306.01967513533549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73.381806034396817</v>
      </c>
      <c r="AA95" s="21">
        <f>EXP(-LN(2)/25)*AA94+(1-EXP(-LN(2)/25))/(LN(2)/25)*Calculateur!V95*Calculateur!X95*VLOOKUP('Données projet'!$B$9,Paramètres!$A$1:$I$89,3,0)*0.475*44/12</f>
        <v>35.288956774681559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108.67076280907838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349.5718186624772</v>
      </c>
      <c r="AO95" s="59">
        <f t="shared" si="90"/>
        <v>258.14152930815959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135.65559751254619</v>
      </c>
      <c r="AV95" s="21">
        <f>EXP(-LN(2)/25)*AV94+(1-EXP(-LN(2)/25))/(LN(2)/25)*Calculateur!AQ95*Calculateur!AS95*VLOOKUP('Données projet'!$B$10,Paramètres!$A$1:$I$89,3,0)*0.475*44/12</f>
        <v>57.89013111248034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193.54572862502653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349.5718186624772</v>
      </c>
      <c r="BJ95" s="59">
        <f t="shared" si="92"/>
        <v>258.14152930815959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135.65559751254619</v>
      </c>
      <c r="BQ95" s="21">
        <f>EXP(-LN(2)/25)*BQ94+(1-EXP(-LN(2)/25))/(LN(2)/25)*Calculateur!BL95*Calculateur!BN95*VLOOKUP('Données projet'!$B$11,Paramètres!$A$1:$I$89,3,0)*0.475*44/12</f>
        <v>57.89013111248034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193.54572862502653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13.159999999999997</v>
      </c>
      <c r="BY95" s="12">
        <f>IF('Données projet'!$A$114&gt;35,BY94+BX95-CG94,IF(A95&lt;'Données projet'!$A$114,$BV$205^A95,IF(A95='Données projet'!$A$114,'Données projet'!$B$114,BY94+BX95-CG94)))</f>
        <v>498.79999999999961</v>
      </c>
      <c r="BZ95" s="13">
        <f>BY95*VLOOKUP('Données projet'!$B$12,Paramètres!$A$1:$I$89,3,0)*VLOOKUP('Données projet'!$B$12,Paramètres!$A$1:$I$89,5,0)</f>
        <v>233.4383999999998</v>
      </c>
      <c r="CA95" s="13">
        <f t="shared" si="93"/>
        <v>57.025500710931574</v>
      </c>
      <c r="CB95" s="20">
        <f t="shared" si="64"/>
        <v>505.89129373820555</v>
      </c>
      <c r="CC95" s="59">
        <f t="shared" si="65"/>
        <v>799.22462707153886</v>
      </c>
      <c r="CD95" s="59">
        <f ca="1">AVERAGE(OFFSET($CC$3,0,0,'Données projet'!$E$12+1,1))-AVERAGE(OFFSET($H$3,0,0,'Données projet'!$E$12+1,1))</f>
        <v>356.22620301934836</v>
      </c>
      <c r="CE95" s="59">
        <f t="shared" si="94"/>
        <v>342.25495410715513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88.574707432123745</v>
      </c>
      <c r="CL95" s="21">
        <f>EXP(-LN(2)/25)*CL94+(1-EXP(-LN(2)/25))/(LN(2)/25)*Calculateur!CG95*Calculateur!CI95*VLOOKUP('Données projet'!$B$12,Paramètres!$A$1:$I$89,3,0)*0.475*44/12</f>
        <v>38.830233026934046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127.4049404590578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7.9879999999999969</v>
      </c>
      <c r="CT95" s="12">
        <f>IF('Données projet'!$A$140&gt;35,CT94+CS95-DB94,IF(A95&lt;'Données projet'!$A$140,$CQ$205^A95,IF(A95='Données projet'!$A$140,'Données projet'!$B$140,CT94+CS95-DB94)))</f>
        <v>296.34200000000016</v>
      </c>
      <c r="CU95" s="17">
        <f>CT95*VLOOKUP('Données projet'!$B$13,Paramètres!$A$1:$I$89,3,0)*VLOOKUP('Données projet'!$B$13,Paramètres!$A$1:$I$89,5,0)</f>
        <v>337.47426960000018</v>
      </c>
      <c r="CV95" s="13">
        <f t="shared" si="95"/>
        <v>78.977888291994844</v>
      </c>
      <c r="CW95" s="20">
        <f t="shared" si="67"/>
        <v>725.32084166189134</v>
      </c>
      <c r="CX95" s="59">
        <f t="shared" si="68"/>
        <v>1018.6541749952246</v>
      </c>
      <c r="CY95" s="59">
        <f ca="1">AVERAGE(OFFSET($CX$3,0,0,'Données projet'!$E$13+1,1))-AVERAGE(OFFSET($H$3,0,0,'Données projet'!$E$13+1,1))</f>
        <v>473.48875234867705</v>
      </c>
      <c r="CZ95" s="59">
        <f t="shared" si="96"/>
        <v>322.74347070996379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37.344361087564529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37.344361087564529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300.80663531652721</v>
      </c>
      <c r="T96" s="59">
        <f t="shared" si="88"/>
        <v>306.01967513533549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71.942833576544444</v>
      </c>
      <c r="AA96" s="21">
        <f>EXP(-LN(2)/25)*AA95+(1-EXP(-LN(2)/25))/(LN(2)/25)*Calculateur!V96*Calculateur!X96*VLOOKUP('Données projet'!$B$9,Paramètres!$A$1:$I$89,3,0)*0.475*44/12</f>
        <v>34.323978395912306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106.26681197245675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349.5718186624772</v>
      </c>
      <c r="AO96" s="59">
        <f t="shared" si="90"/>
        <v>258.14152930815959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132.99547398706957</v>
      </c>
      <c r="AV96" s="21">
        <f>EXP(-LN(2)/25)*AV95+(1-EXP(-LN(2)/25))/(LN(2)/25)*Calculateur!AQ96*Calculateur!AS96*VLOOKUP('Données projet'!$B$10,Paramètres!$A$1:$I$89,3,0)*0.475*44/12</f>
        <v>56.307122432899881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189.30259641996946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349.5718186624772</v>
      </c>
      <c r="BJ96" s="59">
        <f t="shared" si="92"/>
        <v>258.14152930815959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132.99547398706957</v>
      </c>
      <c r="BQ96" s="21">
        <f>EXP(-LN(2)/25)*BQ95+(1-EXP(-LN(2)/25))/(LN(2)/25)*Calculateur!BL96*Calculateur!BN96*VLOOKUP('Données projet'!$B$11,Paramètres!$A$1:$I$89,3,0)*0.475*44/12</f>
        <v>56.307122432899881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189.30259641996946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13.159999999999997</v>
      </c>
      <c r="BY96" s="12">
        <f>IF('Données projet'!$A$114&gt;35,BY95+BX96-CG95,IF(A96&lt;'Données projet'!$A$114,$BV$205^A96,IF(A96='Données projet'!$A$114,'Données projet'!$B$114,BY95+BX96-CG95)))</f>
        <v>511.95999999999958</v>
      </c>
      <c r="BZ96" s="13">
        <f>BY96*VLOOKUP('Données projet'!$B$12,Paramètres!$A$1:$I$89,3,0)*VLOOKUP('Données projet'!$B$12,Paramètres!$A$1:$I$89,5,0)</f>
        <v>239.59727999999981</v>
      </c>
      <c r="CA96" s="13">
        <f t="shared" si="93"/>
        <v>58.352874845190904</v>
      </c>
      <c r="CB96" s="20">
        <f t="shared" si="64"/>
        <v>518.92985302204045</v>
      </c>
      <c r="CC96" s="59">
        <f t="shared" si="65"/>
        <v>812.26318635537382</v>
      </c>
      <c r="CD96" s="59">
        <f ca="1">AVERAGE(OFFSET($CC$3,0,0,'Données projet'!$E$12+1,1))-AVERAGE(OFFSET($H$3,0,0,'Données projet'!$E$12+1,1))</f>
        <v>356.22620301934836</v>
      </c>
      <c r="CE96" s="59">
        <f t="shared" si="94"/>
        <v>342.25495410715513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86.837811444616776</v>
      </c>
      <c r="CL96" s="21">
        <f>EXP(-LN(2)/25)*CL95+(1-EXP(-LN(2)/25))/(LN(2)/25)*Calculateur!CG96*Calculateur!CI96*VLOOKUP('Données projet'!$B$12,Paramètres!$A$1:$I$89,3,0)*0.475*44/12</f>
        <v>37.768418262819324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124.6062297074361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304.33</v>
      </c>
      <c r="CR96" s="12">
        <f>VLOOKUP(A96,'Données projet'!$A$139:$I$159,9,0)</f>
        <v>7.9879999999999969</v>
      </c>
      <c r="CS96" s="12">
        <f t="array" ref="CS96">INDEX(CR:CR,MIN(IF(ISNUMBER(CR96:CR292),ROW(CR96:CR292),"")))</f>
        <v>7.9879999999999969</v>
      </c>
      <c r="CT96" s="12">
        <f>IF('Données projet'!$A$140&gt;35,CT95+CS96-DB95,IF(A96&lt;'Données projet'!$A$140,$CQ$205^A96,IF(A96='Données projet'!$A$140,'Données projet'!$B$140,CT95+CS96-DB95)))</f>
        <v>304.33000000000015</v>
      </c>
      <c r="CU96" s="17">
        <f>CT96*VLOOKUP('Données projet'!$B$13,Paramètres!$A$1:$I$89,3,0)*VLOOKUP('Données projet'!$B$13,Paramètres!$A$1:$I$89,5,0)</f>
        <v>346.57100400000019</v>
      </c>
      <c r="CV96" s="13">
        <f t="shared" si="95"/>
        <v>80.856041280459038</v>
      </c>
      <c r="CW96" s="20">
        <f t="shared" si="67"/>
        <v>744.43543719679974</v>
      </c>
      <c r="CX96" s="59">
        <f t="shared" si="68"/>
        <v>1037.768770530133</v>
      </c>
      <c r="CY96" s="59">
        <f ca="1">AVERAGE(OFFSET($CX$3,0,0,'Données projet'!$E$13+1,1))-AVERAGE(OFFSET($H$3,0,0,'Données projet'!$E$13+1,1))</f>
        <v>473.48875234867705</v>
      </c>
      <c r="CZ96" s="59">
        <f t="shared" si="96"/>
        <v>322.74347070996379</v>
      </c>
      <c r="DA96" s="15">
        <f>IF(ISNA(VLOOKUP(A96,'Données projet'!$A$139:$I$159,3,0)),0,VLOOKUP(A96,'Données projet'!$A$139:$I$159,3,0))</f>
        <v>8</v>
      </c>
      <c r="DB96" s="15">
        <f>IF(ISNA(VLOOKUP(A96,'Données projet'!$A$139:$I$159,4,0)),0,VLOOKUP(A96,'Données projet'!$A$139:$I$159,4,0))</f>
        <v>59.26</v>
      </c>
      <c r="DC96" s="16">
        <f>IF(ISNA(VLOOKUP(A96,'Données projet'!$A$139:$I$159,5,0)),0%,VLOOKUP(A96,'Données projet'!$A$139:$I$159,5,0)*VLOOKUP('Données projet'!$B$13,Paramètres!$A$1:$I$89,7,0))</f>
        <v>0.25800000000000001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55.859631574517138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55.859631574517138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300.80663531652721</v>
      </c>
      <c r="T97" s="59">
        <f t="shared" si="88"/>
        <v>306.01967513533549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70.532078490904027</v>
      </c>
      <c r="AA97" s="21">
        <f>EXP(-LN(2)/25)*AA96+(1-EXP(-LN(2)/25))/(LN(2)/25)*Calculateur!V97*Calculateur!X97*VLOOKUP('Données projet'!$B$9,Paramètres!$A$1:$I$89,3,0)*0.475*44/12</f>
        <v>33.385387401656509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103.91746589256053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349.5718186624772</v>
      </c>
      <c r="AO97" s="59">
        <f t="shared" si="90"/>
        <v>258.14152930815959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130.3875138614124</v>
      </c>
      <c r="AV97" s="21">
        <f>EXP(-LN(2)/25)*AV96+(1-EXP(-LN(2)/25))/(LN(2)/25)*Calculateur!AQ97*Calculateur!AS97*VLOOKUP('Données projet'!$B$10,Paramètres!$A$1:$I$89,3,0)*0.475*44/12</f>
        <v>54.767401208909355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185.15491507032175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349.5718186624772</v>
      </c>
      <c r="BJ97" s="59">
        <f t="shared" si="92"/>
        <v>258.14152930815959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130.3875138614124</v>
      </c>
      <c r="BQ97" s="21">
        <f>EXP(-LN(2)/25)*BQ96+(1-EXP(-LN(2)/25))/(LN(2)/25)*Calculateur!BL97*Calculateur!BN97*VLOOKUP('Données projet'!$B$11,Paramètres!$A$1:$I$89,3,0)*0.475*44/12</f>
        <v>54.767401208909355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185.15491507032175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13.159999999999997</v>
      </c>
      <c r="BY97" s="12">
        <f>IF('Données projet'!$A$114&gt;35,BY96+BX97-CG96,IF(A97&lt;'Données projet'!$A$114,$BV$205^A97,IF(A97='Données projet'!$A$114,'Données projet'!$B$114,BY96+BX97-CG96)))</f>
        <v>525.11999999999955</v>
      </c>
      <c r="BZ97" s="13">
        <f>BY97*VLOOKUP('Données projet'!$B$12,Paramètres!$A$1:$I$89,3,0)*VLOOKUP('Données projet'!$B$12,Paramètres!$A$1:$I$89,5,0)</f>
        <v>245.7561599999998</v>
      </c>
      <c r="CA97" s="13">
        <f t="shared" si="93"/>
        <v>59.67628284734046</v>
      </c>
      <c r="CB97" s="20">
        <f t="shared" si="64"/>
        <v>531.96150462578419</v>
      </c>
      <c r="CC97" s="59">
        <f t="shared" si="65"/>
        <v>825.29483795911756</v>
      </c>
      <c r="CD97" s="59">
        <f ca="1">AVERAGE(OFFSET($CC$3,0,0,'Données projet'!$E$12+1,1))-AVERAGE(OFFSET($H$3,0,0,'Données projet'!$E$12+1,1))</f>
        <v>356.22620301934836</v>
      </c>
      <c r="CE97" s="59">
        <f t="shared" si="94"/>
        <v>342.25495410715513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85.134974928022885</v>
      </c>
      <c r="CL97" s="21">
        <f>EXP(-LN(2)/25)*CL96+(1-EXP(-LN(2)/25))/(LN(2)/25)*Calculateur!CG97*Calculateur!CI97*VLOOKUP('Données projet'!$B$12,Paramètres!$A$1:$I$89,3,0)*0.475*44/12</f>
        <v>36.735638879267732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121.87061380729062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7.7120000000000006</v>
      </c>
      <c r="CT97" s="12">
        <f>IF('Données projet'!$A$140&gt;35,CT96+CS97-DB96,IF(A97&lt;'Données projet'!$A$140,$CQ$205^A97,IF(A97='Données projet'!$A$140,'Données projet'!$B$140,CT96+CS97-DB96)))</f>
        <v>252.78200000000015</v>
      </c>
      <c r="CU97" s="17">
        <f>CT97*VLOOKUP('Données projet'!$B$13,Paramètres!$A$1:$I$89,3,0)*VLOOKUP('Données projet'!$B$13,Paramètres!$A$1:$I$89,5,0)</f>
        <v>287.86814160000017</v>
      </c>
      <c r="CV97" s="13">
        <f t="shared" si="95"/>
        <v>68.627082037484897</v>
      </c>
      <c r="CW97" s="20">
        <f t="shared" si="67"/>
        <v>620.89584783528642</v>
      </c>
      <c r="CX97" s="59">
        <f t="shared" si="68"/>
        <v>914.22918116861979</v>
      </c>
      <c r="CY97" s="59">
        <f ca="1">AVERAGE(OFFSET($CX$3,0,0,'Données projet'!$E$13+1,1))-AVERAGE(OFFSET($H$3,0,0,'Données projet'!$E$13+1,1))</f>
        <v>473.48875234867705</v>
      </c>
      <c r="CZ97" s="59">
        <f t="shared" si="96"/>
        <v>322.74347070996379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54.764258270351881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54.764258270351881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300.80663531652721</v>
      </c>
      <c r="T98" s="59">
        <f t="shared" si="88"/>
        <v>306.01967513533549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69.14898745201738</v>
      </c>
      <c r="AA98" s="21">
        <f>EXP(-LN(2)/25)*AA97+(1-EXP(-LN(2)/25))/(LN(2)/25)*Calculateur!V98*Calculateur!X98*VLOOKUP('Données projet'!$B$9,Paramètres!$A$1:$I$89,3,0)*0.475*44/12</f>
        <v>32.47246222749699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101.62144967951437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349.5718186624772</v>
      </c>
      <c r="AO98" s="59">
        <f t="shared" si="90"/>
        <v>258.14152930815959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127.83069424312077</v>
      </c>
      <c r="AV98" s="21">
        <f>EXP(-LN(2)/25)*AV97+(1-EXP(-LN(2)/25))/(LN(2)/25)*Calculateur!AQ98*Calculateur!AS98*VLOOKUP('Données projet'!$B$10,Paramètres!$A$1:$I$89,3,0)*0.475*44/12</f>
        <v>53.269783742759273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181.10047798588005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349.5718186624772</v>
      </c>
      <c r="BJ98" s="59">
        <f t="shared" si="92"/>
        <v>258.14152930815959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127.83069424312077</v>
      </c>
      <c r="BQ98" s="21">
        <f>EXP(-LN(2)/25)*BQ97+(1-EXP(-LN(2)/25))/(LN(2)/25)*Calculateur!BL98*Calculateur!BN98*VLOOKUP('Données projet'!$B$11,Paramètres!$A$1:$I$89,3,0)*0.475*44/12</f>
        <v>53.269783742759273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181.10047798588005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538.28</v>
      </c>
      <c r="BW98" s="12">
        <f>VLOOKUP(A98,'Données projet'!$A$113:$I$133,9,0)</f>
        <v>13.159999999999997</v>
      </c>
      <c r="BX98" s="12">
        <f t="array" ref="BX98">INDEX(BW:BW,MIN(IF(ISNUMBER(BW98:BW294),ROW(BW98:BW294),"")))</f>
        <v>13.159999999999997</v>
      </c>
      <c r="BY98" s="12">
        <f>IF('Données projet'!$A$114&gt;35,BY97+BX98-CG97,IF(A98&lt;'Données projet'!$A$114,$BV$205^A98,IF(A98='Données projet'!$A$114,'Données projet'!$B$114,BY97+BX98-CG97)))</f>
        <v>538.27999999999952</v>
      </c>
      <c r="BZ98" s="13">
        <f>BY98*VLOOKUP('Données projet'!$B$12,Paramètres!$A$1:$I$89,3,0)*VLOOKUP('Données projet'!$B$12,Paramètres!$A$1:$I$89,5,0)</f>
        <v>251.91503999999978</v>
      </c>
      <c r="CA98" s="13">
        <f t="shared" si="93"/>
        <v>60.995835543729605</v>
      </c>
      <c r="CB98" s="20">
        <f t="shared" si="64"/>
        <v>544.98644157199533</v>
      </c>
      <c r="CC98" s="59">
        <f t="shared" si="65"/>
        <v>838.31977490532859</v>
      </c>
      <c r="CD98" s="59">
        <f ca="1">AVERAGE(OFFSET($CC$3,0,0,'Données projet'!$E$12+1,1))-AVERAGE(OFFSET($H$3,0,0,'Données projet'!$E$12+1,1))</f>
        <v>356.22620301934836</v>
      </c>
      <c r="CE98" s="59">
        <f t="shared" si="94"/>
        <v>342.25495410715513</v>
      </c>
      <c r="CF98" s="15">
        <f>IF(ISNA(VLOOKUP(A98,'Données projet'!$A$113:$I$133,3,0)),0,VLOOKUP(A98,'Données projet'!$A$113:$I$133,3,0))</f>
        <v>8</v>
      </c>
      <c r="CG98" s="15">
        <f>IF(ISNA(VLOOKUP(A98,'Données projet'!$A$113:$I$133,4,0)),0,VLOOKUP(A98,'Données projet'!$A$113:$I$133,4,0))</f>
        <v>268.81</v>
      </c>
      <c r="CH98" s="16">
        <f>IF(ISNA(VLOOKUP(A98,'Données projet'!$A$113:$I$133,5,0)),0%,VLOOKUP(A98,'Données projet'!$A$113:$I$133,5,0)*VLOOKUP('Données projet'!$B$12,Paramètres!$A$1:$I$89,7,0))</f>
        <v>0.38500000000000001</v>
      </c>
      <c r="CI98" s="16">
        <f>IF(ISNA(VLOOKUP(A98,'Données projet'!$A$113:$I$133,6,0)),0%,VLOOKUP(A98,'Données projet'!$A$113:$I$133,6,0)*VLOOKUP('Données projet'!$B$12,Paramètres!$A$1:$I$89,7,0))</f>
        <v>0.16500000000000001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147.71659930732619</v>
      </c>
      <c r="CL98" s="21">
        <f>EXP(-LN(2)/25)*CL97+(1-EXP(-LN(2)/25))/(LN(2)/25)*Calculateur!CG98*Calculateur!CI98*VLOOKUP('Données projet'!$B$12,Paramètres!$A$1:$I$89,3,0)*0.475*44/12</f>
        <v>63.158853060406258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210.87545236773246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7.7120000000000006</v>
      </c>
      <c r="CT98" s="12">
        <f>IF('Données projet'!$A$140&gt;35,CT97+CS98-DB97,IF(A98&lt;'Données projet'!$A$140,$CQ$205^A98,IF(A98='Données projet'!$A$140,'Données projet'!$B$140,CT97+CS98-DB97)))</f>
        <v>260.49400000000014</v>
      </c>
      <c r="CU98" s="17">
        <f>CT98*VLOOKUP('Données projet'!$B$13,Paramètres!$A$1:$I$89,3,0)*VLOOKUP('Données projet'!$B$13,Paramètres!$A$1:$I$89,5,0)</f>
        <v>296.65056720000018</v>
      </c>
      <c r="CV98" s="13">
        <f t="shared" si="95"/>
        <v>70.473835537856431</v>
      </c>
      <c r="CW98" s="20">
        <f t="shared" si="67"/>
        <v>639.40833476843352</v>
      </c>
      <c r="CX98" s="59">
        <f t="shared" si="68"/>
        <v>932.74166810176689</v>
      </c>
      <c r="CY98" s="59">
        <f ca="1">AVERAGE(OFFSET($CX$3,0,0,'Données projet'!$E$13+1,1))-AVERAGE(OFFSET($H$3,0,0,'Données projet'!$E$13+1,1))</f>
        <v>473.48875234867705</v>
      </c>
      <c r="CZ98" s="59">
        <f t="shared" si="96"/>
        <v>322.74347070996379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53.690364568569564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53.690364568569564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300.80663531652721</v>
      </c>
      <c r="T99" s="59">
        <f t="shared" si="88"/>
        <v>306.01967513533549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67.793017984801054</v>
      </c>
      <c r="AA99" s="21">
        <f>EXP(-LN(2)/25)*AA98+(1-EXP(-LN(2)/25))/(LN(2)/25)*Calculateur!V99*Calculateur!X99*VLOOKUP('Données projet'!$B$9,Paramètres!$A$1:$I$89,3,0)*0.475*44/12</f>
        <v>31.584501040233512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99.377519025034559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349.5718186624772</v>
      </c>
      <c r="AO99" s="59">
        <f t="shared" si="90"/>
        <v>258.14152930815959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125.32401229803786</v>
      </c>
      <c r="AV99" s="21">
        <f>EXP(-LN(2)/25)*AV98+(1-EXP(-LN(2)/25))/(LN(2)/25)*Calculateur!AQ99*Calculateur!AS99*VLOOKUP('Données projet'!$B$10,Paramètres!$A$1:$I$89,3,0)*0.475*44/12</f>
        <v>51.813118704977342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177.13713100301521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349.5718186624772</v>
      </c>
      <c r="BJ99" s="59">
        <f t="shared" si="92"/>
        <v>258.14152930815959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125.32401229803786</v>
      </c>
      <c r="BQ99" s="21">
        <f>EXP(-LN(2)/25)*BQ98+(1-EXP(-LN(2)/25))/(LN(2)/25)*Calculateur!BL99*Calculateur!BN99*VLOOKUP('Données projet'!$B$11,Paramètres!$A$1:$I$89,3,0)*0.475*44/12</f>
        <v>51.813118704977342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177.13713100301521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8.7210000000000036</v>
      </c>
      <c r="BY99" s="12">
        <f>IF('Données projet'!$A$114&gt;35,BY98+BX99-CG98,IF(A99&lt;'Données projet'!$A$114,$BV$205^A99,IF(A99='Données projet'!$A$114,'Données projet'!$B$114,BY98+BX99-CG98)))</f>
        <v>278.19099999999952</v>
      </c>
      <c r="BZ99" s="13">
        <f>BY99*VLOOKUP('Données projet'!$B$12,Paramètres!$A$1:$I$89,3,0)*VLOOKUP('Données projet'!$B$12,Paramètres!$A$1:$I$89,5,0)</f>
        <v>130.19338799999977</v>
      </c>
      <c r="CA99" s="13">
        <f t="shared" si="93"/>
        <v>34.041041754414536</v>
      </c>
      <c r="CB99" s="20">
        <f t="shared" si="64"/>
        <v>286.04163182227154</v>
      </c>
      <c r="CC99" s="59">
        <f t="shared" si="65"/>
        <v>579.37496515560485</v>
      </c>
      <c r="CD99" s="59">
        <f ca="1">AVERAGE(OFFSET($CC$3,0,0,'Données projet'!$E$12+1,1))-AVERAGE(OFFSET($H$3,0,0,'Données projet'!$E$12+1,1))</f>
        <v>356.22620301934836</v>
      </c>
      <c r="CE99" s="59">
        <f t="shared" si="94"/>
        <v>342.25495410715513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144.81996689313866</v>
      </c>
      <c r="CL99" s="21">
        <f>EXP(-LN(2)/25)*CL98+(1-EXP(-LN(2)/25))/(LN(2)/25)*Calculateur!CG99*Calculateur!CI99*VLOOKUP('Données projet'!$B$12,Paramètres!$A$1:$I$89,3,0)*0.475*44/12</f>
        <v>61.431770902089717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206.25173779522837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7.7120000000000006</v>
      </c>
      <c r="CT99" s="12">
        <f>IF('Données projet'!$A$140&gt;35,CT98+CS99-DB98,IF(A99&lt;'Données projet'!$A$140,$CQ$205^A99,IF(A99='Données projet'!$A$140,'Données projet'!$B$140,CT98+CS99-DB98)))</f>
        <v>268.20600000000013</v>
      </c>
      <c r="CU99" s="17">
        <f>CT99*VLOOKUP('Données projet'!$B$13,Paramètres!$A$1:$I$89,3,0)*VLOOKUP('Données projet'!$B$13,Paramètres!$A$1:$I$89,5,0)</f>
        <v>305.43299280000014</v>
      </c>
      <c r="CV99" s="13">
        <f t="shared" si="95"/>
        <v>72.314234995100136</v>
      </c>
      <c r="CW99" s="20">
        <f t="shared" si="67"/>
        <v>657.90975507646624</v>
      </c>
      <c r="CX99" s="59">
        <f t="shared" si="68"/>
        <v>951.24308840979961</v>
      </c>
      <c r="CY99" s="59">
        <f ca="1">AVERAGE(OFFSET($CX$3,0,0,'Données projet'!$E$13+1,1))-AVERAGE(OFFSET($H$3,0,0,'Données projet'!$E$13+1,1))</f>
        <v>473.48875234867705</v>
      </c>
      <c r="CZ99" s="59">
        <f t="shared" si="96"/>
        <v>322.74347070996379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52.637529267268718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52.637529267268718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300.80663531652721</v>
      </c>
      <c r="T100" s="59">
        <f t="shared" si="88"/>
        <v>306.01967513533549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66.463638251777141</v>
      </c>
      <c r="AA100" s="21">
        <f>EXP(-LN(2)/25)*AA99+(1-EXP(-LN(2)/25))/(LN(2)/25)*Calculateur!V100*Calculateur!X100*VLOOKUP('Données projet'!$B$9,Paramètres!$A$1:$I$89,3,0)*0.475*44/12</f>
        <v>30.720821198331603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97.184459450108747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349.5718186624772</v>
      </c>
      <c r="AO100" s="59">
        <f t="shared" si="90"/>
        <v>258.14152930815959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122.866484856973</v>
      </c>
      <c r="AV100" s="21">
        <f>EXP(-LN(2)/25)*AV99+(1-EXP(-LN(2)/25))/(LN(2)/25)*Calculateur!AQ100*Calculateur!AS100*VLOOKUP('Données projet'!$B$10,Paramètres!$A$1:$I$89,3,0)*0.475*44/12</f>
        <v>50.396286249256242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173.26277110622925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349.5718186624772</v>
      </c>
      <c r="BJ100" s="59">
        <f t="shared" si="92"/>
        <v>258.14152930815959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122.866484856973</v>
      </c>
      <c r="BQ100" s="21">
        <f>EXP(-LN(2)/25)*BQ99+(1-EXP(-LN(2)/25))/(LN(2)/25)*Calculateur!BL100*Calculateur!BN100*VLOOKUP('Données projet'!$B$11,Paramètres!$A$1:$I$89,3,0)*0.475*44/12</f>
        <v>50.396286249256242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173.26277110622925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8.7210000000000036</v>
      </c>
      <c r="BY100" s="12">
        <f>IF('Données projet'!$A$114&gt;35,BY99+BX100-CG99,IF(A100&lt;'Données projet'!$A$114,$BV$205^A100,IF(A100='Données projet'!$A$114,'Données projet'!$B$114,BY99+BX100-CG99)))</f>
        <v>286.91199999999952</v>
      </c>
      <c r="BZ100" s="13">
        <f>BY100*VLOOKUP('Données projet'!$B$12,Paramètres!$A$1:$I$89,3,0)*VLOOKUP('Données projet'!$B$12,Paramètres!$A$1:$I$89,5,0)</f>
        <v>134.27481599999979</v>
      </c>
      <c r="CA100" s="13">
        <f t="shared" si="93"/>
        <v>34.982276112724144</v>
      </c>
      <c r="CB100" s="20">
        <f t="shared" si="64"/>
        <v>294.78943542966084</v>
      </c>
      <c r="CC100" s="59">
        <f t="shared" si="65"/>
        <v>588.12276876299416</v>
      </c>
      <c r="CD100" s="59">
        <f ca="1">AVERAGE(OFFSET($CC$3,0,0,'Données projet'!$E$12+1,1))-AVERAGE(OFFSET($H$3,0,0,'Données projet'!$E$12+1,1))</f>
        <v>356.22620301934836</v>
      </c>
      <c r="CE100" s="59">
        <f t="shared" si="94"/>
        <v>342.25495410715513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141.98013567382199</v>
      </c>
      <c r="CL100" s="21">
        <f>EXP(-LN(2)/25)*CL99+(1-EXP(-LN(2)/25))/(LN(2)/25)*Calculateur!CG100*Calculateur!CI100*VLOOKUP('Données projet'!$B$12,Paramètres!$A$1:$I$89,3,0)*0.475*44/12</f>
        <v>59.75191589621565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201.73205157003764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7.7120000000000006</v>
      </c>
      <c r="CT100" s="12">
        <f>IF('Données projet'!$A$140&gt;35,CT99+CS100-DB99,IF(A100&lt;'Données projet'!$A$140,$CQ$205^A100,IF(A100='Données projet'!$A$140,'Données projet'!$B$140,CT99+CS100-DB99)))</f>
        <v>275.91800000000012</v>
      </c>
      <c r="CU100" s="17">
        <f>CT100*VLOOKUP('Données projet'!$B$13,Paramètres!$A$1:$I$89,3,0)*VLOOKUP('Données projet'!$B$13,Paramètres!$A$1:$I$89,5,0)</f>
        <v>314.21541840000015</v>
      </c>
      <c r="CV100" s="13">
        <f t="shared" si="95"/>
        <v>74.148484096181775</v>
      </c>
      <c r="CW100" s="20">
        <f t="shared" si="67"/>
        <v>676.40046351418346</v>
      </c>
      <c r="CX100" s="59">
        <f t="shared" si="68"/>
        <v>969.73379684751671</v>
      </c>
      <c r="CY100" s="59">
        <f ca="1">AVERAGE(OFFSET($CX$3,0,0,'Données projet'!$E$13+1,1))-AVERAGE(OFFSET($H$3,0,0,'Données projet'!$E$13+1,1))</f>
        <v>473.48875234867705</v>
      </c>
      <c r="CZ100" s="59">
        <f t="shared" si="96"/>
        <v>322.74347070996379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51.605339424060254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51.605339424060254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300.80663531652721</v>
      </c>
      <c r="T101" s="59">
        <f t="shared" si="88"/>
        <v>306.01967513533549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65.160326844476245</v>
      </c>
      <c r="AA101" s="21">
        <f>EXP(-LN(2)/25)*AA100+(1-EXP(-LN(2)/25))/(LN(2)/25)*Calculateur!V101*Calculateur!X101*VLOOKUP('Données projet'!$B$9,Paramètres!$A$1:$I$89,3,0)*0.475*44/12</f>
        <v>29.88075872712545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95.041085571601698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349.5718186624772</v>
      </c>
      <c r="AO101" s="59">
        <f t="shared" si="90"/>
        <v>258.14152930815959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120.4571480300837</v>
      </c>
      <c r="AV101" s="21">
        <f>EXP(-LN(2)/25)*AV100+(1-EXP(-LN(2)/25))/(LN(2)/25)*Calculateur!AQ101*Calculateur!AS101*VLOOKUP('Données projet'!$B$10,Paramètres!$A$1:$I$89,3,0)*0.475*44/12</f>
        <v>49.018197151544818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169.47534518162851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349.5718186624772</v>
      </c>
      <c r="BJ101" s="59">
        <f t="shared" si="92"/>
        <v>258.14152930815959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120.4571480300837</v>
      </c>
      <c r="BQ101" s="21">
        <f>EXP(-LN(2)/25)*BQ100+(1-EXP(-LN(2)/25))/(LN(2)/25)*Calculateur!BL101*Calculateur!BN101*VLOOKUP('Données projet'!$B$11,Paramètres!$A$1:$I$89,3,0)*0.475*44/12</f>
        <v>49.018197151544818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169.47534518162851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8.7210000000000036</v>
      </c>
      <c r="BY101" s="12">
        <f>IF('Données projet'!$A$114&gt;35,BY100+BX101-CG100,IF(A101&lt;'Données projet'!$A$114,$BV$205^A101,IF(A101='Données projet'!$A$114,'Données projet'!$B$114,BY100+BX101-CG100)))</f>
        <v>295.63299999999953</v>
      </c>
      <c r="BZ101" s="13">
        <f>BY101*VLOOKUP('Données projet'!$B$12,Paramètres!$A$1:$I$89,3,0)*VLOOKUP('Données projet'!$B$12,Paramètres!$A$1:$I$89,5,0)</f>
        <v>138.35624399999978</v>
      </c>
      <c r="CA101" s="13">
        <f t="shared" si="93"/>
        <v>35.920185629681562</v>
      </c>
      <c r="CB101" s="20">
        <f t="shared" si="64"/>
        <v>303.53144827169496</v>
      </c>
      <c r="CC101" s="59">
        <f t="shared" si="65"/>
        <v>596.86478160502827</v>
      </c>
      <c r="CD101" s="59">
        <f ca="1">AVERAGE(OFFSET($CC$3,0,0,'Données projet'!$E$12+1,1))-AVERAGE(OFFSET($H$3,0,0,'Données projet'!$E$12+1,1))</f>
        <v>356.22620301934836</v>
      </c>
      <c r="CE101" s="59">
        <f t="shared" si="94"/>
        <v>342.25495410715513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139.19599181259014</v>
      </c>
      <c r="CL101" s="21">
        <f>EXP(-LN(2)/25)*CL100+(1-EXP(-LN(2)/25))/(LN(2)/25)*Calculateur!CG101*Calculateur!CI101*VLOOKUP('Données projet'!$B$12,Paramètres!$A$1:$I$89,3,0)*0.475*44/12</f>
        <v>58.117996613816942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197.31398842640709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7.7120000000000006</v>
      </c>
      <c r="CT101" s="12">
        <f>IF('Données projet'!$A$140&gt;35,CT100+CS101-DB100,IF(A101&lt;'Données projet'!$A$140,$CQ$205^A101,IF(A101='Données projet'!$A$140,'Données projet'!$B$140,CT100+CS101-DB100)))</f>
        <v>283.63000000000011</v>
      </c>
      <c r="CU101" s="17">
        <f>CT101*VLOOKUP('Données projet'!$B$13,Paramètres!$A$1:$I$89,3,0)*VLOOKUP('Données projet'!$B$13,Paramètres!$A$1:$I$89,5,0)</f>
        <v>322.9978440000001</v>
      </c>
      <c r="CV101" s="13">
        <f t="shared" si="95"/>
        <v>75.976774493991599</v>
      </c>
      <c r="CW101" s="20">
        <f t="shared" si="67"/>
        <v>694.88079387703544</v>
      </c>
      <c r="CX101" s="59">
        <f t="shared" si="68"/>
        <v>988.21412721036882</v>
      </c>
      <c r="CY101" s="59">
        <f ca="1">AVERAGE(OFFSET($CX$3,0,0,'Données projet'!$E$13+1,1))-AVERAGE(OFFSET($H$3,0,0,'Données projet'!$E$13+1,1))</f>
        <v>473.48875234867705</v>
      </c>
      <c r="CZ101" s="59">
        <f t="shared" si="96"/>
        <v>322.74347070996379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50.59339019410347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50.59339019410347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300.80663531652721</v>
      </c>
      <c r="T102" s="59">
        <f t="shared" si="88"/>
        <v>306.01967513533549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63.882572578931061</v>
      </c>
      <c r="AA102" s="21">
        <f>EXP(-LN(2)/25)*AA101+(1-EXP(-LN(2)/25))/(LN(2)/25)*Calculateur!V102*Calculateur!X102*VLOOKUP('Données projet'!$B$9,Paramètres!$A$1:$I$89,3,0)*0.475*44/12</f>
        <v>29.063667808371395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92.946240387302453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349.5718186624772</v>
      </c>
      <c r="AO102" s="59">
        <f t="shared" si="90"/>
        <v>258.14152930815959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118.09505682881934</v>
      </c>
      <c r="AV102" s="21">
        <f>EXP(-LN(2)/25)*AV101+(1-EXP(-LN(2)/25))/(LN(2)/25)*Calculateur!AQ102*Calculateur!AS102*VLOOKUP('Données projet'!$B$10,Paramètres!$A$1:$I$89,3,0)*0.475*44/12</f>
        <v>47.677791972680872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165.7728488015002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349.5718186624772</v>
      </c>
      <c r="BJ102" s="59">
        <f t="shared" si="92"/>
        <v>258.14152930815959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118.09505682881934</v>
      </c>
      <c r="BQ102" s="21">
        <f>EXP(-LN(2)/25)*BQ101+(1-EXP(-LN(2)/25))/(LN(2)/25)*Calculateur!BL102*Calculateur!BN102*VLOOKUP('Données projet'!$B$11,Paramètres!$A$1:$I$89,3,0)*0.475*44/12</f>
        <v>47.677791972680872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165.7728488015002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8.7210000000000036</v>
      </c>
      <c r="BY102" s="12">
        <f>IF('Données projet'!$A$114&gt;35,BY101+BX102-CG101,IF(A102&lt;'Données projet'!$A$114,$BV$205^A102,IF(A102='Données projet'!$A$114,'Données projet'!$B$114,BY101+BX102-CG101)))</f>
        <v>304.35399999999953</v>
      </c>
      <c r="BZ102" s="13">
        <f>BY102*VLOOKUP('Données projet'!$B$12,Paramètres!$A$1:$I$89,3,0)*VLOOKUP('Données projet'!$B$12,Paramètres!$A$1:$I$89,5,0)</f>
        <v>142.43767199999976</v>
      </c>
      <c r="CA102" s="13">
        <f t="shared" si="93"/>
        <v>36.854879647142347</v>
      </c>
      <c r="CB102" s="20">
        <f t="shared" si="64"/>
        <v>312.26786078543915</v>
      </c>
      <c r="CC102" s="59">
        <f t="shared" si="65"/>
        <v>605.60119411877247</v>
      </c>
      <c r="CD102" s="59">
        <f ca="1">AVERAGE(OFFSET($CC$3,0,0,'Données projet'!$E$12+1,1))-AVERAGE(OFFSET($H$3,0,0,'Données projet'!$E$12+1,1))</f>
        <v>356.22620301934836</v>
      </c>
      <c r="CE102" s="59">
        <f t="shared" si="94"/>
        <v>342.25495410715513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136.46644331431696</v>
      </c>
      <c r="CL102" s="21">
        <f>EXP(-LN(2)/25)*CL101+(1-EXP(-LN(2)/25))/(LN(2)/25)*Calculateur!CG102*Calculateur!CI102*VLOOKUP('Données projet'!$B$12,Paramètres!$A$1:$I$89,3,0)*0.475*44/12</f>
        <v>56.528756940119507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192.99520025443647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7.7120000000000006</v>
      </c>
      <c r="CT102" s="12">
        <f>IF('Données projet'!$A$140&gt;35,CT101+CS102-DB101,IF(A102&lt;'Données projet'!$A$140,$CQ$205^A102,IF(A102='Données projet'!$A$140,'Données projet'!$B$140,CT101+CS102-DB101)))</f>
        <v>291.3420000000001</v>
      </c>
      <c r="CU102" s="17">
        <f>CT102*VLOOKUP('Données projet'!$B$13,Paramètres!$A$1:$I$89,3,0)*VLOOKUP('Données projet'!$B$13,Paramètres!$A$1:$I$89,5,0)</f>
        <v>331.78026960000011</v>
      </c>
      <c r="CV102" s="13">
        <f t="shared" si="95"/>
        <v>77.799286825960763</v>
      </c>
      <c r="CW102" s="20">
        <f t="shared" si="67"/>
        <v>713.35106077521505</v>
      </c>
      <c r="CX102" s="59">
        <f t="shared" si="68"/>
        <v>1006.6843941085483</v>
      </c>
      <c r="CY102" s="59">
        <f ca="1">AVERAGE(OFFSET($CX$3,0,0,'Données projet'!$E$13+1,1))-AVERAGE(OFFSET($H$3,0,0,'Données projet'!$E$13+1,1))</f>
        <v>473.48875234867705</v>
      </c>
      <c r="CZ102" s="59">
        <f t="shared" si="96"/>
        <v>322.74347070996379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49.601284671318055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49.601284671318055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300.80663531652721</v>
      </c>
      <c r="T103" s="59">
        <f t="shared" si="88"/>
        <v>306.01967513533549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62.629874295180066</v>
      </c>
      <c r="AA103" s="21">
        <f>EXP(-LN(2)/25)*AA102+(1-EXP(-LN(2)/25))/(LN(2)/25)*Calculateur!V103*Calculateur!X103*VLOOKUP('Données projet'!$B$9,Paramètres!$A$1:$I$89,3,0)*0.475*44/12</f>
        <v>28.268920283759616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90.898794578939686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349.5718186624772</v>
      </c>
      <c r="AO103" s="59">
        <f t="shared" si="90"/>
        <v>258.14152930815959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115.7792847952784</v>
      </c>
      <c r="AV103" s="21">
        <f>EXP(-LN(2)/25)*AV102+(1-EXP(-LN(2)/25))/(LN(2)/25)*Calculateur!AQ103*Calculateur!AS103*VLOOKUP('Données projet'!$B$10,Paramètres!$A$1:$I$89,3,0)*0.475*44/12</f>
        <v>46.374040243921804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162.15332503920021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349.5718186624772</v>
      </c>
      <c r="BJ103" s="59">
        <f t="shared" si="92"/>
        <v>258.14152930815959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115.7792847952784</v>
      </c>
      <c r="BQ103" s="21">
        <f>EXP(-LN(2)/25)*BQ102+(1-EXP(-LN(2)/25))/(LN(2)/25)*Calculateur!BL103*Calculateur!BN103*VLOOKUP('Données projet'!$B$11,Paramètres!$A$1:$I$89,3,0)*0.475*44/12</f>
        <v>46.374040243921804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162.15332503920021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8.7210000000000036</v>
      </c>
      <c r="BY103" s="12">
        <f>IF('Données projet'!$A$114&gt;35,BY102+BX103-CG102,IF(A103&lt;'Données projet'!$A$114,$BV$205^A103,IF(A103='Données projet'!$A$114,'Données projet'!$B$114,BY102+BX103-CG102)))</f>
        <v>313.07499999999953</v>
      </c>
      <c r="BZ103" s="13">
        <f>BY103*VLOOKUP('Données projet'!$B$12,Paramètres!$A$1:$I$89,3,0)*VLOOKUP('Données projet'!$B$12,Paramètres!$A$1:$I$89,5,0)</f>
        <v>146.51909999999978</v>
      </c>
      <c r="CA103" s="13">
        <f t="shared" si="93"/>
        <v>37.786460884380837</v>
      </c>
      <c r="CB103" s="20">
        <f t="shared" si="64"/>
        <v>320.99885187362952</v>
      </c>
      <c r="CC103" s="59">
        <f t="shared" si="65"/>
        <v>614.33218520696278</v>
      </c>
      <c r="CD103" s="59">
        <f ca="1">AVERAGE(OFFSET($CC$3,0,0,'Données projet'!$E$12+1,1))-AVERAGE(OFFSET($H$3,0,0,'Données projet'!$E$12+1,1))</f>
        <v>356.22620301934836</v>
      </c>
      <c r="CE103" s="59">
        <f t="shared" si="94"/>
        <v>342.25495410715513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133.79041959723472</v>
      </c>
      <c r="CL103" s="21">
        <f>EXP(-LN(2)/25)*CL102+(1-EXP(-LN(2)/25))/(LN(2)/25)*Calculateur!CG103*Calculateur!CI103*VLOOKUP('Données projet'!$B$12,Paramètres!$A$1:$I$89,3,0)*0.475*44/12</f>
        <v>54.982975108873809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188.77339470610852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7.7120000000000006</v>
      </c>
      <c r="CT103" s="12">
        <f>IF('Données projet'!$A$140&gt;35,CT102+CS103-DB102,IF(A103&lt;'Données projet'!$A$140,$CQ$205^A103,IF(A103='Données projet'!$A$140,'Données projet'!$B$140,CT102+CS103-DB102)))</f>
        <v>299.05400000000009</v>
      </c>
      <c r="CU103" s="17">
        <f>CT103*VLOOKUP('Données projet'!$B$13,Paramètres!$A$1:$I$89,3,0)*VLOOKUP('Données projet'!$B$13,Paramètres!$A$1:$I$89,5,0)</f>
        <v>340.56269520000006</v>
      </c>
      <c r="CV103" s="13">
        <f t="shared" si="95"/>
        <v>79.616191621788715</v>
      </c>
      <c r="CW103" s="20">
        <f t="shared" si="67"/>
        <v>731.81156121461538</v>
      </c>
      <c r="CX103" s="59">
        <f t="shared" si="68"/>
        <v>1025.1448945479488</v>
      </c>
      <c r="CY103" s="59">
        <f ca="1">AVERAGE(OFFSET($CX$3,0,0,'Données projet'!$E$13+1,1))-AVERAGE(OFFSET($H$3,0,0,'Données projet'!$E$13+1,1))</f>
        <v>473.48875234867705</v>
      </c>
      <c r="CZ103" s="59">
        <f t="shared" si="96"/>
        <v>322.74347070996379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48.628633732709844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48.628633732709844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300.80663531652721</v>
      </c>
      <c r="T104" s="59">
        <f t="shared" si="88"/>
        <v>306.01967513533549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61.401740660702927</v>
      </c>
      <c r="AA104" s="21">
        <f>EXP(-LN(2)/25)*AA103+(1-EXP(-LN(2)/25))/(LN(2)/25)*Calculateur!V104*Calculateur!X104*VLOOKUP('Données projet'!$B$9,Paramètres!$A$1:$I$89,3,0)*0.475*44/12</f>
        <v>27.495905172002303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88.897645832705223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349.5718186624772</v>
      </c>
      <c r="AO104" s="59">
        <f t="shared" si="90"/>
        <v>258.14152930815959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113.50892363883374</v>
      </c>
      <c r="AV104" s="21">
        <f>EXP(-LN(2)/25)*AV103+(1-EXP(-LN(2)/25))/(LN(2)/25)*Calculateur!AQ104*Calculateur!AS104*VLOOKUP('Données projet'!$B$10,Paramètres!$A$1:$I$89,3,0)*0.475*44/12</f>
        <v>45.105939674746978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158.61486331358071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349.5718186624772</v>
      </c>
      <c r="BJ104" s="59">
        <f t="shared" si="92"/>
        <v>258.14152930815959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113.50892363883374</v>
      </c>
      <c r="BQ104" s="21">
        <f>EXP(-LN(2)/25)*BQ103+(1-EXP(-LN(2)/25))/(LN(2)/25)*Calculateur!BL104*Calculateur!BN104*VLOOKUP('Données projet'!$B$11,Paramètres!$A$1:$I$89,3,0)*0.475*44/12</f>
        <v>45.105939674746978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158.61486331358071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8.7210000000000036</v>
      </c>
      <c r="BY104" s="12">
        <f>IF('Données projet'!$A$114&gt;35,BY103+BX104-CG103,IF(A104&lt;'Données projet'!$A$114,$BV$205^A104,IF(A104='Données projet'!$A$114,'Données projet'!$B$114,BY103+BX104-CG103)))</f>
        <v>321.79599999999954</v>
      </c>
      <c r="BZ104" s="13">
        <f>BY104*VLOOKUP('Données projet'!$B$12,Paramètres!$A$1:$I$89,3,0)*VLOOKUP('Données projet'!$B$12,Paramètres!$A$1:$I$89,5,0)</f>
        <v>150.60052799999977</v>
      </c>
      <c r="CA104" s="13">
        <f t="shared" si="93"/>
        <v>38.715026012368448</v>
      </c>
      <c r="CB104" s="20">
        <f t="shared" si="64"/>
        <v>329.72458990487462</v>
      </c>
      <c r="CC104" s="59">
        <f t="shared" si="65"/>
        <v>623.05792323820788</v>
      </c>
      <c r="CD104" s="59">
        <f ca="1">AVERAGE(OFFSET($CC$3,0,0,'Données projet'!$E$12+1,1))-AVERAGE(OFFSET($H$3,0,0,'Données projet'!$E$12+1,1))</f>
        <v>356.22620301934836</v>
      </c>
      <c r="CE104" s="59">
        <f t="shared" si="94"/>
        <v>342.25495410715513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131.16687107303116</v>
      </c>
      <c r="CL104" s="21">
        <f>EXP(-LN(2)/25)*CL103+(1-EXP(-LN(2)/25))/(LN(2)/25)*Calculateur!CG104*Calculateur!CI104*VLOOKUP('Données projet'!$B$12,Paramètres!$A$1:$I$89,3,0)*0.475*44/12</f>
        <v>53.479462763092663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184.64633383612383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7.7120000000000006</v>
      </c>
      <c r="CT104" s="12">
        <f>IF('Données projet'!$A$140&gt;35,CT103+CS104-DB103,IF(A104&lt;'Données projet'!$A$140,$CQ$205^A104,IF(A104='Données projet'!$A$140,'Données projet'!$B$140,CT103+CS104-DB103)))</f>
        <v>306.76600000000008</v>
      </c>
      <c r="CU104" s="17">
        <f>CT104*VLOOKUP('Données projet'!$B$13,Paramètres!$A$1:$I$89,3,0)*VLOOKUP('Données projet'!$B$13,Paramètres!$A$1:$I$89,5,0)</f>
        <v>349.34512080000007</v>
      </c>
      <c r="CV104" s="13">
        <f t="shared" si="95"/>
        <v>81.427650114903983</v>
      </c>
      <c r="CW104" s="20">
        <f t="shared" si="67"/>
        <v>750.26257601012458</v>
      </c>
      <c r="CX104" s="59">
        <f t="shared" si="68"/>
        <v>1043.5959093434578</v>
      </c>
      <c r="CY104" s="59">
        <f ca="1">AVERAGE(OFFSET($CX$3,0,0,'Données projet'!$E$13+1,1))-AVERAGE(OFFSET($H$3,0,0,'Données projet'!$E$13+1,1))</f>
        <v>473.48875234867705</v>
      </c>
      <c r="CZ104" s="59">
        <f t="shared" si="96"/>
        <v>322.74347070996379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47.675055885749245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47.675055885749245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300.80663531652721</v>
      </c>
      <c r="T105" s="59">
        <f t="shared" si="88"/>
        <v>306.01967513533549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60.197689977710333</v>
      </c>
      <c r="AA105" s="21">
        <f>EXP(-LN(2)/25)*AA104+(1-EXP(-LN(2)/25))/(LN(2)/25)*Calculateur!V105*Calculateur!X105*VLOOKUP('Données projet'!$B$9,Paramètres!$A$1:$I$89,3,0)*0.475*44/12</f>
        <v>26.74402819912709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86.941718176837426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349.5718186624772</v>
      </c>
      <c r="AO105" s="59">
        <f t="shared" si="90"/>
        <v>258.14152930815959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111.28308287988338</v>
      </c>
      <c r="AV105" s="21">
        <f>EXP(-LN(2)/25)*AV104+(1-EXP(-LN(2)/25))/(LN(2)/25)*Calculateur!AQ105*Calculateur!AS105*VLOOKUP('Données projet'!$B$10,Paramètres!$A$1:$I$89,3,0)*0.475*44/12</f>
        <v>43.872515382322746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155.15559826220613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349.5718186624772</v>
      </c>
      <c r="BJ105" s="59">
        <f t="shared" si="92"/>
        <v>258.14152930815959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111.28308287988338</v>
      </c>
      <c r="BQ105" s="21">
        <f>EXP(-LN(2)/25)*BQ104+(1-EXP(-LN(2)/25))/(LN(2)/25)*Calculateur!BL105*Calculateur!BN105*VLOOKUP('Données projet'!$B$11,Paramètres!$A$1:$I$89,3,0)*0.475*44/12</f>
        <v>43.872515382322746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155.15559826220613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8.7210000000000036</v>
      </c>
      <c r="BY105" s="12">
        <f>IF('Données projet'!$A$114&gt;35,BY104+BX105-CG104,IF(A105&lt;'Données projet'!$A$114,$BV$205^A105,IF(A105='Données projet'!$A$114,'Données projet'!$B$114,BY104+BX105-CG104)))</f>
        <v>330.51699999999954</v>
      </c>
      <c r="BZ105" s="13">
        <f>BY105*VLOOKUP('Données projet'!$B$12,Paramètres!$A$1:$I$89,3,0)*VLOOKUP('Données projet'!$B$12,Paramètres!$A$1:$I$89,5,0)</f>
        <v>154.68195599999979</v>
      </c>
      <c r="CA105" s="13">
        <f t="shared" si="93"/>
        <v>39.640666164046536</v>
      </c>
      <c r="CB105" s="20">
        <f t="shared" si="64"/>
        <v>338.44523360238071</v>
      </c>
      <c r="CC105" s="59">
        <f t="shared" si="65"/>
        <v>631.77856693571403</v>
      </c>
      <c r="CD105" s="59">
        <f ca="1">AVERAGE(OFFSET($CC$3,0,0,'Données projet'!$E$12+1,1))-AVERAGE(OFFSET($H$3,0,0,'Données projet'!$E$12+1,1))</f>
        <v>356.22620301934836</v>
      </c>
      <c r="CE105" s="59">
        <f t="shared" si="94"/>
        <v>342.25495410715513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128.59476873518065</v>
      </c>
      <c r="CL105" s="21">
        <f>EXP(-LN(2)/25)*CL104+(1-EXP(-LN(2)/25))/(LN(2)/25)*Calculateur!CG105*Calculateur!CI105*VLOOKUP('Données projet'!$B$12,Paramètres!$A$1:$I$89,3,0)*0.475*44/12</f>
        <v>52.017064041473176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180.61183277665384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7.7120000000000006</v>
      </c>
      <c r="CT105" s="12">
        <f>IF('Données projet'!$A$140&gt;35,CT104+CS105-DB104,IF(A105&lt;'Données projet'!$A$140,$CQ$205^A105,IF(A105='Données projet'!$A$140,'Données projet'!$B$140,CT104+CS105-DB104)))</f>
        <v>314.47800000000007</v>
      </c>
      <c r="CU105" s="17">
        <f>CT105*VLOOKUP('Données projet'!$B$13,Paramètres!$A$1:$I$89,3,0)*VLOOKUP('Données projet'!$B$13,Paramètres!$A$1:$I$89,5,0)</f>
        <v>358.12754640000009</v>
      </c>
      <c r="CV105" s="13">
        <f t="shared" si="95"/>
        <v>83.233814970027666</v>
      </c>
      <c r="CW105" s="20">
        <f t="shared" si="67"/>
        <v>768.70437105279825</v>
      </c>
      <c r="CX105" s="59">
        <f t="shared" si="68"/>
        <v>1062.0377043861315</v>
      </c>
      <c r="CY105" s="59">
        <f ca="1">AVERAGE(OFFSET($CX$3,0,0,'Données projet'!$E$13+1,1))-AVERAGE(OFFSET($H$3,0,0,'Données projet'!$E$13+1,1))</f>
        <v>473.48875234867705</v>
      </c>
      <c r="CZ105" s="59">
        <f t="shared" si="96"/>
        <v>322.74347070996379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46.740177118742487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46.740177118742487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300.80663531652721</v>
      </c>
      <c r="T106" s="59">
        <f t="shared" si="88"/>
        <v>306.01967513533549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59.017249994212818</v>
      </c>
      <c r="AA106" s="21">
        <f>EXP(-LN(2)/25)*AA105+(1-EXP(-LN(2)/25))/(LN(2)/25)*Calculateur!V106*Calculateur!X106*VLOOKUP('Données projet'!$B$9,Paramètres!$A$1:$I$89,3,0)*0.475*44/12</f>
        <v>26.01271134161464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85.029961335827466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349.5718186624772</v>
      </c>
      <c r="AO106" s="59">
        <f t="shared" si="90"/>
        <v>258.14152930815959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109.10088950058723</v>
      </c>
      <c r="AV106" s="21">
        <f>EXP(-LN(2)/25)*AV105+(1-EXP(-LN(2)/25))/(LN(2)/25)*Calculateur!AQ106*Calculateur!AS106*VLOOKUP('Données projet'!$B$10,Paramètres!$A$1:$I$89,3,0)*0.475*44/12</f>
        <v>42.672819142037817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151.77370864262505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349.5718186624772</v>
      </c>
      <c r="BJ106" s="59">
        <f t="shared" si="92"/>
        <v>258.14152930815959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109.10088950058723</v>
      </c>
      <c r="BQ106" s="21">
        <f>EXP(-LN(2)/25)*BQ105+(1-EXP(-LN(2)/25))/(LN(2)/25)*Calculateur!BL106*Calculateur!BN106*VLOOKUP('Données projet'!$B$11,Paramètres!$A$1:$I$89,3,0)*0.475*44/12</f>
        <v>42.672819142037817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151.77370864262505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8.7210000000000036</v>
      </c>
      <c r="BY106" s="12">
        <f>IF('Données projet'!$A$114&gt;35,BY105+BX106-CG105,IF(A106&lt;'Données projet'!$A$114,$BV$205^A106,IF(A106='Données projet'!$A$114,'Données projet'!$B$114,BY105+BX106-CG105)))</f>
        <v>339.23799999999954</v>
      </c>
      <c r="BZ106" s="13">
        <f>BY106*VLOOKUP('Données projet'!$B$12,Paramètres!$A$1:$I$89,3,0)*VLOOKUP('Données projet'!$B$12,Paramètres!$A$1:$I$89,5,0)</f>
        <v>158.76338399999977</v>
      </c>
      <c r="CA106" s="13">
        <f t="shared" si="93"/>
        <v>40.563467389228563</v>
      </c>
      <c r="CB106" s="20">
        <f t="shared" si="64"/>
        <v>347.1609328362394</v>
      </c>
      <c r="CC106" s="59">
        <f t="shared" si="65"/>
        <v>640.49426616957271</v>
      </c>
      <c r="CD106" s="59">
        <f ca="1">AVERAGE(OFFSET($CC$3,0,0,'Données projet'!$E$12+1,1))-AVERAGE(OFFSET($H$3,0,0,'Données projet'!$E$12+1,1))</f>
        <v>356.22620301934836</v>
      </c>
      <c r="CE106" s="59">
        <f t="shared" si="94"/>
        <v>342.25495410715513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126.07310375534787</v>
      </c>
      <c r="CL106" s="21">
        <f>EXP(-LN(2)/25)*CL105+(1-EXP(-LN(2)/25))/(LN(2)/25)*Calculateur!CG106*Calculateur!CI106*VLOOKUP('Données projet'!$B$12,Paramètres!$A$1:$I$89,3,0)*0.475*44/12</f>
        <v>50.594654689800578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176.66775844514845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322.19</v>
      </c>
      <c r="CR106" s="12">
        <f>VLOOKUP(A106,'Données projet'!$A$139:$I$159,9,0)</f>
        <v>7.7120000000000006</v>
      </c>
      <c r="CS106" s="12">
        <f t="array" ref="CS106">INDEX(CR:CR,MIN(IF(ISNUMBER(CR106:CR302),ROW(CR106:CR302),"")))</f>
        <v>7.7120000000000006</v>
      </c>
      <c r="CT106" s="12">
        <f>IF('Données projet'!$A$140&gt;35,CT105+CS106-DB105,IF(A106&lt;'Données projet'!$A$140,$CQ$205^A106,IF(A106='Données projet'!$A$140,'Données projet'!$B$140,CT105+CS106-DB105)))</f>
        <v>322.19000000000005</v>
      </c>
      <c r="CU106" s="17">
        <f>CT106*VLOOKUP('Données projet'!$B$13,Paramètres!$A$1:$I$89,3,0)*VLOOKUP('Données projet'!$B$13,Paramètres!$A$1:$I$89,5,0)</f>
        <v>366.90997200000004</v>
      </c>
      <c r="CV106" s="13">
        <f t="shared" si="95"/>
        <v>85.034830937358862</v>
      </c>
      <c r="CW106" s="20">
        <f t="shared" si="67"/>
        <v>787.13719844923332</v>
      </c>
      <c r="CX106" s="59">
        <f t="shared" si="68"/>
        <v>1080.4705317825667</v>
      </c>
      <c r="CY106" s="59">
        <f ca="1">AVERAGE(OFFSET($CX$3,0,0,'Données projet'!$E$13+1,1))-AVERAGE(OFFSET($H$3,0,0,'Données projet'!$E$13+1,1))</f>
        <v>473.48875234867705</v>
      </c>
      <c r="CZ106" s="59">
        <f t="shared" si="96"/>
        <v>322.74347070996379</v>
      </c>
      <c r="DA106" s="15">
        <f>IF(ISNA(VLOOKUP(A106,'Données projet'!$A$139:$I$159,3,0)),0,VLOOKUP(A106,'Données projet'!$A$139:$I$159,3,0))</f>
        <v>9</v>
      </c>
      <c r="DB106" s="15">
        <f>IF(ISNA(VLOOKUP(A106,'Données projet'!$A$139:$I$159,4,0)),0,VLOOKUP(A106,'Données projet'!$A$139:$I$159,4,0))</f>
        <v>58.98</v>
      </c>
      <c r="DC106" s="16">
        <f>IF(ISNA(VLOOKUP(A106,'Données projet'!$A$139:$I$159,5,0)),0%,VLOOKUP(A106,'Données projet'!$A$139:$I$159,5,0)*VLOOKUP('Données projet'!$B$13,Paramètres!$A$1:$I$89,7,0))</f>
        <v>0.25800000000000001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64.980257749773955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64.980257749773955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300.80663531652721</v>
      </c>
      <c r="T107" s="59">
        <f t="shared" si="88"/>
        <v>306.01967513533549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57.859957718794398</v>
      </c>
      <c r="AA107" s="21">
        <f>EXP(-LN(2)/25)*AA106+(1-EXP(-LN(2)/25))/(LN(2)/25)*Calculateur!V107*Calculateur!X107*VLOOKUP('Données projet'!$B$9,Paramètres!$A$1:$I$89,3,0)*0.475*44/12</f>
        <v>25.30139238202915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83.16135010082354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349.5718186624772</v>
      </c>
      <c r="AO107" s="59">
        <f t="shared" si="90"/>
        <v>258.14152930815959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106.96148760245254</v>
      </c>
      <c r="AV107" s="21">
        <f>EXP(-LN(2)/25)*AV106+(1-EXP(-LN(2)/25))/(LN(2)/25)*Calculateur!AQ107*Calculateur!AS107*VLOOKUP('Données projet'!$B$10,Paramètres!$A$1:$I$89,3,0)*0.475*44/12</f>
        <v>41.505928658532767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148.46741626098532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349.5718186624772</v>
      </c>
      <c r="BJ107" s="59">
        <f t="shared" si="92"/>
        <v>258.14152930815959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106.96148760245254</v>
      </c>
      <c r="BQ107" s="21">
        <f>EXP(-LN(2)/25)*BQ106+(1-EXP(-LN(2)/25))/(LN(2)/25)*Calculateur!BL107*Calculateur!BN107*VLOOKUP('Données projet'!$B$11,Paramètres!$A$1:$I$89,3,0)*0.475*44/12</f>
        <v>41.505928658532767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148.46741626098532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8.7210000000000036</v>
      </c>
      <c r="BY107" s="12">
        <f>IF('Données projet'!$A$114&gt;35,BY106+BX107-CG106,IF(A107&lt;'Données projet'!$A$114,$BV$205^A107,IF(A107='Données projet'!$A$114,'Données projet'!$B$114,BY106+BX107-CG106)))</f>
        <v>347.95899999999955</v>
      </c>
      <c r="BZ107" s="13">
        <f>BY107*VLOOKUP('Données projet'!$B$12,Paramètres!$A$1:$I$89,3,0)*VLOOKUP('Données projet'!$B$12,Paramètres!$A$1:$I$89,5,0)</f>
        <v>162.84481199999979</v>
      </c>
      <c r="CA107" s="13">
        <f t="shared" si="93"/>
        <v>41.483511061408436</v>
      </c>
      <c r="CB107" s="20">
        <f t="shared" si="64"/>
        <v>355.87182933195271</v>
      </c>
      <c r="CC107" s="59">
        <f t="shared" si="65"/>
        <v>649.20516266528603</v>
      </c>
      <c r="CD107" s="59">
        <f ca="1">AVERAGE(OFFSET($CC$3,0,0,'Données projet'!$E$12+1,1))-AVERAGE(OFFSET($H$3,0,0,'Données projet'!$E$12+1,1))</f>
        <v>356.22620301934836</v>
      </c>
      <c r="CE107" s="59">
        <f t="shared" si="94"/>
        <v>342.25495410715513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123.60088708770584</v>
      </c>
      <c r="CL107" s="21">
        <f>EXP(-LN(2)/25)*CL106+(1-EXP(-LN(2)/25))/(LN(2)/25)*Calculateur!CG107*Calculateur!CI107*VLOOKUP('Données projet'!$B$12,Paramètres!$A$1:$I$89,3,0)*0.475*44/12</f>
        <v>49.211141196650729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172.81202828435659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7.456999999999999</v>
      </c>
      <c r="CT107" s="12">
        <f>IF('Données projet'!$A$140&gt;35,CT106+CS107-DB106,IF(A107&lt;'Données projet'!$A$140,$CQ$205^A107,IF(A107='Données projet'!$A$140,'Données projet'!$B$140,CT106+CS107-DB106)))</f>
        <v>270.66700000000003</v>
      </c>
      <c r="CU107" s="17">
        <f>CT107*VLOOKUP('Données projet'!$B$13,Paramètres!$A$1:$I$89,3,0)*VLOOKUP('Données projet'!$B$13,Paramètres!$A$1:$I$89,5,0)</f>
        <v>308.23557960000005</v>
      </c>
      <c r="CV107" s="13">
        <f t="shared" si="95"/>
        <v>72.900226645579608</v>
      </c>
      <c r="CW107" s="20">
        <f t="shared" si="67"/>
        <v>663.81152921105115</v>
      </c>
      <c r="CX107" s="59">
        <f t="shared" si="68"/>
        <v>957.14486254438452</v>
      </c>
      <c r="CY107" s="59">
        <f ca="1">AVERAGE(OFFSET($CX$3,0,0,'Données projet'!$E$13+1,1))-AVERAGE(OFFSET($H$3,0,0,'Données projet'!$E$13+1,1))</f>
        <v>473.48875234867705</v>
      </c>
      <c r="CZ107" s="59">
        <f t="shared" si="96"/>
        <v>322.74347070996379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63.706034529344578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63.706034529344578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300.80663531652721</v>
      </c>
      <c r="T108" s="59">
        <f t="shared" si="88"/>
        <v>306.01967513533549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56.725359239018346</v>
      </c>
      <c r="AA108" s="21">
        <f>EXP(-LN(2)/25)*AA107+(1-EXP(-LN(2)/25))/(LN(2)/25)*Calculateur!V108*Calculateur!X108*VLOOKUP('Données projet'!$B$9,Paramètres!$A$1:$I$89,3,0)*0.475*44/12</f>
        <v>24.609524476800164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81.334883715818506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349.5718186624772</v>
      </c>
      <c r="AO108" s="59">
        <f t="shared" si="90"/>
        <v>258.14152930815959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104.86403807063395</v>
      </c>
      <c r="AV108" s="21">
        <f>EXP(-LN(2)/25)*AV107+(1-EXP(-LN(2)/25))/(LN(2)/25)*Calculateur!AQ108*Calculateur!AS108*VLOOKUP('Données projet'!$B$10,Paramètres!$A$1:$I$89,3,0)*0.475*44/12</f>
        <v>40.370946856663267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145.23498492729721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349.5718186624772</v>
      </c>
      <c r="BJ108" s="59">
        <f t="shared" si="92"/>
        <v>258.14152930815959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104.86403807063395</v>
      </c>
      <c r="BQ108" s="21">
        <f>EXP(-LN(2)/25)*BQ107+(1-EXP(-LN(2)/25))/(LN(2)/25)*Calculateur!BL108*Calculateur!BN108*VLOOKUP('Données projet'!$B$11,Paramètres!$A$1:$I$89,3,0)*0.475*44/12</f>
        <v>40.370946856663267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145.23498492729721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356.68</v>
      </c>
      <c r="BW108" s="12">
        <f>VLOOKUP(A108,'Données projet'!$A$113:$I$133,9,0)</f>
        <v>8.7210000000000036</v>
      </c>
      <c r="BX108" s="12">
        <f t="array" ref="BX108">INDEX(BW:BW,MIN(IF(ISNUMBER(BW108:BW304),ROW(BW108:BW304),"")))</f>
        <v>8.7210000000000036</v>
      </c>
      <c r="BY108" s="12">
        <f>IF('Données projet'!$A$114&gt;35,BY107+BX108-CG107,IF(A108&lt;'Données projet'!$A$114,$BV$205^A108,IF(A108='Données projet'!$A$114,'Données projet'!$B$114,BY107+BX108-CG107)))</f>
        <v>356.67999999999955</v>
      </c>
      <c r="BZ108" s="13">
        <f>BY108*VLOOKUP('Données projet'!$B$12,Paramètres!$A$1:$I$89,3,0)*VLOOKUP('Données projet'!$B$12,Paramètres!$A$1:$I$89,5,0)</f>
        <v>166.92623999999978</v>
      </c>
      <c r="CA108" s="13">
        <f t="shared" si="93"/>
        <v>42.400874242636554</v>
      </c>
      <c r="CB108" s="20">
        <f t="shared" si="64"/>
        <v>364.57805730592491</v>
      </c>
      <c r="CC108" s="59">
        <f t="shared" si="65"/>
        <v>657.91139063925823</v>
      </c>
      <c r="CD108" s="59">
        <f ca="1">AVERAGE(OFFSET($CC$3,0,0,'Données projet'!$E$12+1,1))-AVERAGE(OFFSET($H$3,0,0,'Données projet'!$E$12+1,1))</f>
        <v>356.22620301934836</v>
      </c>
      <c r="CE108" s="59">
        <f t="shared" si="94"/>
        <v>342.25495410715513</v>
      </c>
      <c r="CF108" s="15">
        <f>IF(ISNA(VLOOKUP(A108,'Données projet'!$A$113:$I$133,3,0)),0,VLOOKUP(A108,'Données projet'!$A$113:$I$133,3,0))</f>
        <v>9</v>
      </c>
      <c r="CG108" s="15">
        <f>IF(ISNA(VLOOKUP(A108,'Données projet'!$A$113:$I$133,4,0)),0,VLOOKUP(A108,'Données projet'!$A$113:$I$133,4,0))</f>
        <v>356.68</v>
      </c>
      <c r="CH108" s="16">
        <f>IF(ISNA(VLOOKUP(A108,'Données projet'!$A$113:$I$133,5,0)),0%,VLOOKUP(A108,'Données projet'!$A$113:$I$133,5,0)*VLOOKUP('Données projet'!$B$12,Paramètres!$A$1:$I$89,7,0))</f>
        <v>0.38500000000000001</v>
      </c>
      <c r="CI108" s="16">
        <f>IF(ISNA(VLOOKUP(A108,'Données projet'!$A$113:$I$133,6,0)),0%,VLOOKUP(A108,'Données projet'!$A$113:$I$133,6,0)*VLOOKUP('Données projet'!$B$12,Paramètres!$A$1:$I$89,7,0))</f>
        <v>0.16500000000000001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206.43093949671845</v>
      </c>
      <c r="CL108" s="21">
        <f>EXP(-LN(2)/25)*CL107+(1-EXP(-LN(2)/25))/(LN(2)/25)*Calculateur!CG108*Calculateur!CI108*VLOOKUP('Données projet'!$B$12,Paramètres!$A$1:$I$89,3,0)*0.475*44/12</f>
        <v>84.258937277840289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290.68987677455874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7.456999999999999</v>
      </c>
      <c r="CT108" s="12">
        <f>IF('Données projet'!$A$140&gt;35,CT107+CS108-DB107,IF(A108&lt;'Données projet'!$A$140,$CQ$205^A108,IF(A108='Données projet'!$A$140,'Données projet'!$B$140,CT107+CS108-DB107)))</f>
        <v>278.12400000000002</v>
      </c>
      <c r="CU108" s="17">
        <f>CT108*VLOOKUP('Données projet'!$B$13,Paramètres!$A$1:$I$89,3,0)*VLOOKUP('Données projet'!$B$13,Paramètres!$A$1:$I$89,5,0)</f>
        <v>316.72761120000007</v>
      </c>
      <c r="CV108" s="13">
        <f t="shared" si="95"/>
        <v>74.672062742791823</v>
      </c>
      <c r="CW108" s="20">
        <f t="shared" si="67"/>
        <v>681.68776545036246</v>
      </c>
      <c r="CX108" s="59">
        <f t="shared" si="68"/>
        <v>975.02109878369583</v>
      </c>
      <c r="CY108" s="59">
        <f ca="1">AVERAGE(OFFSET($CX$3,0,0,'Données projet'!$E$13+1,1))-AVERAGE(OFFSET($H$3,0,0,'Données projet'!$E$13+1,1))</f>
        <v>473.48875234867705</v>
      </c>
      <c r="CZ108" s="59">
        <f t="shared" si="96"/>
        <v>322.74347070996379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62.456798049068396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62.456798049068396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300.80663531652721</v>
      </c>
      <c r="T109" s="59">
        <f t="shared" si="88"/>
        <v>306.01967513533549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55.613009543393957</v>
      </c>
      <c r="AA109" s="21">
        <f>EXP(-LN(2)/25)*AA108+(1-EXP(-LN(2)/25))/(LN(2)/25)*Calculateur!V109*Calculateur!X109*VLOOKUP('Données projet'!$B$9,Paramètres!$A$1:$I$89,3,0)*0.475*44/12</f>
        <v>23.936575735823418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79.549585279217382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349.5718186624772</v>
      </c>
      <c r="AO109" s="59">
        <f t="shared" si="90"/>
        <v>258.14152930815959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102.80771824481644</v>
      </c>
      <c r="AV109" s="21">
        <f>EXP(-LN(2)/25)*AV108+(1-EXP(-LN(2)/25))/(LN(2)/25)*Calculateur!AQ109*Calculateur!AS109*VLOOKUP('Données projet'!$B$10,Paramètres!$A$1:$I$89,3,0)*0.475*44/12</f>
        <v>39.267001191851982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142.07471943666843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349.5718186624772</v>
      </c>
      <c r="BJ109" s="59">
        <f t="shared" si="92"/>
        <v>258.14152930815959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102.80771824481644</v>
      </c>
      <c r="BQ109" s="21">
        <f>EXP(-LN(2)/25)*BQ108+(1-EXP(-LN(2)/25))/(LN(2)/25)*Calculateur!BL109*Calculateur!BN109*VLOOKUP('Données projet'!$B$11,Paramètres!$A$1:$I$89,3,0)*0.475*44/12</f>
        <v>39.267001191851982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142.07471943666843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-4.5474735088646412E-13</v>
      </c>
      <c r="BZ109" s="13">
        <f>BY109*VLOOKUP('Données projet'!$B$12,Paramètres!$A$1:$I$89,3,0)*VLOOKUP('Données projet'!$B$12,Paramètres!$A$1:$I$89,5,0)</f>
        <v>-2.1282176021486519E-13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356.22620301934836</v>
      </c>
      <c r="CE109" s="59">
        <f t="shared" si="94"/>
        <v>342.25495410715513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202.38295468362827</v>
      </c>
      <c r="CL109" s="21">
        <f>EXP(-LN(2)/25)*CL108+(1-EXP(-LN(2)/25))/(LN(2)/25)*Calculateur!CG109*Calculateur!CI109*VLOOKUP('Données projet'!$B$12,Paramètres!$A$1:$I$89,3,0)*0.475*44/12</f>
        <v>81.954872206992817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284.3378268906211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7.456999999999999</v>
      </c>
      <c r="CT109" s="12">
        <f>IF('Données projet'!$A$140&gt;35,CT108+CS109-DB108,IF(A109&lt;'Données projet'!$A$140,$CQ$205^A109,IF(A109='Données projet'!$A$140,'Données projet'!$B$140,CT108+CS109-DB108)))</f>
        <v>285.58100000000002</v>
      </c>
      <c r="CU109" s="17">
        <f>CT109*VLOOKUP('Données projet'!$B$13,Paramètres!$A$1:$I$89,3,0)*VLOOKUP('Données projet'!$B$13,Paramètres!$A$1:$I$89,5,0)</f>
        <v>325.21964280000003</v>
      </c>
      <c r="CV109" s="13">
        <f t="shared" si="95"/>
        <v>76.438377052694221</v>
      </c>
      <c r="CW109" s="20">
        <f t="shared" si="67"/>
        <v>699.55438457677576</v>
      </c>
      <c r="CX109" s="59">
        <f t="shared" si="68"/>
        <v>992.88771791010913</v>
      </c>
      <c r="CY109" s="59">
        <f ca="1">AVERAGE(OFFSET($CX$3,0,0,'Données projet'!$E$13+1,1))-AVERAGE(OFFSET($H$3,0,0,'Données projet'!$E$13+1,1))</f>
        <v>473.48875234867705</v>
      </c>
      <c r="CZ109" s="59">
        <f t="shared" si="96"/>
        <v>322.74347070996379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61.232058334211416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61.232058334211416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300.80663531652721</v>
      </c>
      <c r="T110" s="59">
        <f t="shared" si="88"/>
        <v>306.01967513533549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54.522472346834441</v>
      </c>
      <c r="AA110" s="21">
        <f>EXP(-LN(2)/25)*AA109+(1-EXP(-LN(2)/25))/(LN(2)/25)*Calculateur!V110*Calculateur!X110*VLOOKUP('Données projet'!$B$9,Paramètres!$A$1:$I$89,3,0)*0.475*44/12</f>
        <v>23.282028813557517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77.804501160391965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349.5718186624772</v>
      </c>
      <c r="AO110" s="59">
        <f t="shared" si="90"/>
        <v>258.14152930815959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100.79172159655197</v>
      </c>
      <c r="AV110" s="21">
        <f>EXP(-LN(2)/25)*AV109+(1-EXP(-LN(2)/25))/(LN(2)/25)*Calculateur!AQ110*Calculateur!AS110*VLOOKUP('Données projet'!$B$10,Paramètres!$A$1:$I$89,3,0)*0.475*44/12</f>
        <v>38.193242979298944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138.98496457585091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349.5718186624772</v>
      </c>
      <c r="BJ110" s="59">
        <f t="shared" si="92"/>
        <v>258.14152930815959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100.79172159655197</v>
      </c>
      <c r="BQ110" s="21">
        <f>EXP(-LN(2)/25)*BQ109+(1-EXP(-LN(2)/25))/(LN(2)/25)*Calculateur!BL110*Calculateur!BN110*VLOOKUP('Données projet'!$B$11,Paramètres!$A$1:$I$89,3,0)*0.475*44/12</f>
        <v>38.193242979298944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138.98496457585091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-4.5474735088646412E-13</v>
      </c>
      <c r="BZ110" s="13">
        <f>BY110*VLOOKUP('Données projet'!$B$12,Paramètres!$A$1:$I$89,3,0)*VLOOKUP('Données projet'!$B$12,Paramètres!$A$1:$I$89,5,0)</f>
        <v>-2.1282176021486519E-13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356.22620301934836</v>
      </c>
      <c r="CE110" s="59">
        <f t="shared" si="94"/>
        <v>342.25495410715513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198.41434838369585</v>
      </c>
      <c r="CL110" s="21">
        <f>EXP(-LN(2)/25)*CL109+(1-EXP(-LN(2)/25))/(LN(2)/25)*Calculateur!CG110*Calculateur!CI110*VLOOKUP('Données projet'!$B$12,Paramètres!$A$1:$I$89,3,0)*0.475*44/12</f>
        <v>79.71381191667318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278.12816030036902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7.456999999999999</v>
      </c>
      <c r="CT110" s="12">
        <f>IF('Données projet'!$A$140&gt;35,CT109+CS110-DB109,IF(A110&lt;'Données projet'!$A$140,$CQ$205^A110,IF(A110='Données projet'!$A$140,'Données projet'!$B$140,CT109+CS110-DB109)))</f>
        <v>293.03800000000001</v>
      </c>
      <c r="CU110" s="17">
        <f>CT110*VLOOKUP('Données projet'!$B$13,Paramètres!$A$1:$I$89,3,0)*VLOOKUP('Données projet'!$B$13,Paramètres!$A$1:$I$89,5,0)</f>
        <v>333.71167440000005</v>
      </c>
      <c r="CV110" s="13">
        <f t="shared" si="95"/>
        <v>78.199330333958386</v>
      </c>
      <c r="CW110" s="20">
        <f t="shared" si="67"/>
        <v>717.41166657831081</v>
      </c>
      <c r="CX110" s="59">
        <f t="shared" si="68"/>
        <v>1010.7449999116441</v>
      </c>
      <c r="CY110" s="59">
        <f ca="1">AVERAGE(OFFSET($CX$3,0,0,'Données projet'!$E$13+1,1))-AVERAGE(OFFSET($H$3,0,0,'Données projet'!$E$13+1,1))</f>
        <v>473.48875234867705</v>
      </c>
      <c r="CZ110" s="59">
        <f t="shared" si="96"/>
        <v>322.74347070996379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60.03133501814532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60.03133501814532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300.80663531652721</v>
      </c>
      <c r="T111" s="59">
        <f t="shared" si="88"/>
        <v>306.01967513533549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53.453319919537449</v>
      </c>
      <c r="AA111" s="21">
        <f>EXP(-LN(2)/25)*AA110+(1-EXP(-LN(2)/25))/(LN(2)/25)*Calculateur!V111*Calculateur!X111*VLOOKUP('Données projet'!$B$9,Paramètres!$A$1:$I$89,3,0)*0.475*44/12</f>
        <v>22.645380511302104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76.098700430839557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349.5718186624772</v>
      </c>
      <c r="AO111" s="59">
        <f t="shared" si="90"/>
        <v>258.14152930815959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98.815257412923415</v>
      </c>
      <c r="AV111" s="21">
        <f>EXP(-LN(2)/25)*AV110+(1-EXP(-LN(2)/25))/(LN(2)/25)*Calculateur!AQ111*Calculateur!AS111*VLOOKUP('Données projet'!$B$10,Paramètres!$A$1:$I$89,3,0)*0.475*44/12</f>
        <v>37.148846741534655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135.96410415445808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349.5718186624772</v>
      </c>
      <c r="BJ111" s="59">
        <f t="shared" si="92"/>
        <v>258.14152930815959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98.815257412923415</v>
      </c>
      <c r="BQ111" s="21">
        <f>EXP(-LN(2)/25)*BQ110+(1-EXP(-LN(2)/25))/(LN(2)/25)*Calculateur!BL111*Calculateur!BN111*VLOOKUP('Données projet'!$B$11,Paramètres!$A$1:$I$89,3,0)*0.475*44/12</f>
        <v>37.148846741534655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135.96410415445808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-4.5474735088646412E-13</v>
      </c>
      <c r="BZ111" s="13">
        <f>BY111*VLOOKUP('Données projet'!$B$12,Paramètres!$A$1:$I$89,3,0)*VLOOKUP('Données projet'!$B$12,Paramètres!$A$1:$I$89,5,0)</f>
        <v>-2.1282176021486519E-13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356.22620301934836</v>
      </c>
      <c r="CE111" s="59">
        <f t="shared" si="94"/>
        <v>342.25495410715513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194.52356403269428</v>
      </c>
      <c r="CL111" s="21">
        <f>EXP(-LN(2)/25)*CL110+(1-EXP(-LN(2)/25))/(LN(2)/25)*Calculateur!CG111*Calculateur!CI111*VLOOKUP('Données projet'!$B$12,Paramètres!$A$1:$I$89,3,0)*0.475*44/12</f>
        <v>77.534033537844564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272.05759757053886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7.456999999999999</v>
      </c>
      <c r="CT111" s="12">
        <f>IF('Données projet'!$A$140&gt;35,CT110+CS111-DB110,IF(A111&lt;'Données projet'!$A$140,$CQ$205^A111,IF(A111='Données projet'!$A$140,'Données projet'!$B$140,CT110+CS111-DB110)))</f>
        <v>300.495</v>
      </c>
      <c r="CU111" s="17">
        <f>CT111*VLOOKUP('Données projet'!$B$13,Paramètres!$A$1:$I$89,3,0)*VLOOKUP('Données projet'!$B$13,Paramètres!$A$1:$I$89,5,0)</f>
        <v>342.20370600000001</v>
      </c>
      <c r="CV111" s="13">
        <f t="shared" si="95"/>
        <v>79.955074697355073</v>
      </c>
      <c r="CW111" s="20">
        <f t="shared" si="67"/>
        <v>735.25987638122672</v>
      </c>
      <c r="CX111" s="59">
        <f t="shared" si="68"/>
        <v>1028.5932097145601</v>
      </c>
      <c r="CY111" s="59">
        <f ca="1">AVERAGE(OFFSET($CX$3,0,0,'Données projet'!$E$13+1,1))-AVERAGE(OFFSET($H$3,0,0,'Données projet'!$E$13+1,1))</f>
        <v>473.48875234867705</v>
      </c>
      <c r="CZ111" s="59">
        <f t="shared" si="96"/>
        <v>322.74347070996379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58.854157153938374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58.854157153938374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300.80663531652721</v>
      </c>
      <c r="T112" s="59">
        <f t="shared" si="88"/>
        <v>306.01967513533549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52.40513291922116</v>
      </c>
      <c r="AA112" s="21">
        <f>EXP(-LN(2)/25)*AA111+(1-EXP(-LN(2)/25))/(LN(2)/25)*Calculateur!V112*Calculateur!X112*VLOOKUP('Données projet'!$B$9,Paramètres!$A$1:$I$89,3,0)*0.475*44/12</f>
        <v>22.026141390351743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74.431274309572899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349.5718186624772</v>
      </c>
      <c r="AO112" s="59">
        <f t="shared" si="90"/>
        <v>258.14152930815959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96.877550486411707</v>
      </c>
      <c r="AV112" s="21">
        <f>EXP(-LN(2)/25)*AV111+(1-EXP(-LN(2)/25))/(LN(2)/25)*Calculateur!AQ112*Calculateur!AS112*VLOOKUP('Données projet'!$B$10,Paramètres!$A$1:$I$89,3,0)*0.475*44/12</f>
        <v>36.133009573814448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133.01056006022617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349.5718186624772</v>
      </c>
      <c r="BJ112" s="59">
        <f t="shared" si="92"/>
        <v>258.14152930815959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96.877550486411707</v>
      </c>
      <c r="BQ112" s="21">
        <f>EXP(-LN(2)/25)*BQ111+(1-EXP(-LN(2)/25))/(LN(2)/25)*Calculateur!BL112*Calculateur!BN112*VLOOKUP('Données projet'!$B$11,Paramètres!$A$1:$I$89,3,0)*0.475*44/12</f>
        <v>36.133009573814448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133.01056006022617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-4.5474735088646412E-13</v>
      </c>
      <c r="BZ112" s="13">
        <f>BY112*VLOOKUP('Données projet'!$B$12,Paramètres!$A$1:$I$89,3,0)*VLOOKUP('Données projet'!$B$12,Paramètres!$A$1:$I$89,5,0)</f>
        <v>-2.1282176021486519E-13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356.22620301934836</v>
      </c>
      <c r="CE112" s="59">
        <f t="shared" si="94"/>
        <v>342.25495410715513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190.70907558967173</v>
      </c>
      <c r="CL112" s="21">
        <f>EXP(-LN(2)/25)*CL111+(1-EXP(-LN(2)/25))/(LN(2)/25)*Calculateur!CG112*Calculateur!CI112*VLOOKUP('Données projet'!$B$12,Paramètres!$A$1:$I$89,3,0)*0.475*44/12</f>
        <v>75.413861313414586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266.12293690308633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7.456999999999999</v>
      </c>
      <c r="CT112" s="12">
        <f>IF('Données projet'!$A$140&gt;35,CT111+CS112-DB111,IF(A112&lt;'Données projet'!$A$140,$CQ$205^A112,IF(A112='Données projet'!$A$140,'Données projet'!$B$140,CT111+CS112-DB111)))</f>
        <v>307.952</v>
      </c>
      <c r="CU112" s="17">
        <f>CT112*VLOOKUP('Données projet'!$B$13,Paramètres!$A$1:$I$89,3,0)*VLOOKUP('Données projet'!$B$13,Paramètres!$A$1:$I$89,5,0)</f>
        <v>350.69573760000003</v>
      </c>
      <c r="CV112" s="13">
        <f t="shared" si="95"/>
        <v>81.705754273856883</v>
      </c>
      <c r="CW112" s="20">
        <f t="shared" si="67"/>
        <v>753.09926501363407</v>
      </c>
      <c r="CX112" s="59">
        <f t="shared" si="68"/>
        <v>1046.4325983469673</v>
      </c>
      <c r="CY112" s="59">
        <f ca="1">AVERAGE(OFFSET($CX$3,0,0,'Données projet'!$E$13+1,1))-AVERAGE(OFFSET($H$3,0,0,'Données projet'!$E$13+1,1))</f>
        <v>473.48875234867705</v>
      </c>
      <c r="CZ112" s="59">
        <f t="shared" si="96"/>
        <v>322.74347070996379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57.700063029640923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57.700063029640923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300.80663531652721</v>
      </c>
      <c r="T113" s="59">
        <f t="shared" si="88"/>
        <v>306.01967513533549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51.377500226650135</v>
      </c>
      <c r="AA113" s="21">
        <f>EXP(-LN(2)/25)*AA112+(1-EXP(-LN(2)/25))/(LN(2)/25)*Calculateur!V113*Calculateur!X113*VLOOKUP('Données projet'!$B$9,Paramètres!$A$1:$I$89,3,0)*0.475*44/12</f>
        <v>21.42383539572814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72.801335622378275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349.5718186624772</v>
      </c>
      <c r="AO113" s="59">
        <f t="shared" si="90"/>
        <v>258.14152930815959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94.97784081084437</v>
      </c>
      <c r="AV113" s="21">
        <f>EXP(-LN(2)/25)*AV112+(1-EXP(-LN(2)/25))/(LN(2)/25)*Calculateur!AQ113*Calculateur!AS113*VLOOKUP('Données projet'!$B$10,Paramètres!$A$1:$I$89,3,0)*0.475*44/12</f>
        <v>35.144950526866104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130.12279133771048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349.5718186624772</v>
      </c>
      <c r="BJ113" s="59">
        <f t="shared" si="92"/>
        <v>258.14152930815959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94.97784081084437</v>
      </c>
      <c r="BQ113" s="21">
        <f>EXP(-LN(2)/25)*BQ112+(1-EXP(-LN(2)/25))/(LN(2)/25)*Calculateur!BL113*Calculateur!BN113*VLOOKUP('Données projet'!$B$11,Paramètres!$A$1:$I$89,3,0)*0.475*44/12</f>
        <v>35.144950526866104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130.12279133771048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-4.5474735088646412E-13</v>
      </c>
      <c r="BZ113" s="13">
        <f>BY113*VLOOKUP('Données projet'!$B$12,Paramètres!$A$1:$I$89,3,0)*VLOOKUP('Données projet'!$B$12,Paramètres!$A$1:$I$89,5,0)</f>
        <v>-2.1282176021486519E-13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356.22620301934836</v>
      </c>
      <c r="CE113" s="59">
        <f t="shared" si="94"/>
        <v>342.25495410715513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186.96938693840863</v>
      </c>
      <c r="CL113" s="21">
        <f>EXP(-LN(2)/25)*CL112+(1-EXP(-LN(2)/25))/(LN(2)/25)*Calculateur!CG113*Calculateur!CI113*VLOOKUP('Données projet'!$B$12,Paramètres!$A$1:$I$89,3,0)*0.475*44/12</f>
        <v>73.351665309956658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260.32105224836528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7.456999999999999</v>
      </c>
      <c r="CT113" s="12">
        <f>IF('Données projet'!$A$140&gt;35,CT112+CS113-DB112,IF(A113&lt;'Données projet'!$A$140,$CQ$205^A113,IF(A113='Données projet'!$A$140,'Données projet'!$B$140,CT112+CS113-DB112)))</f>
        <v>315.40899999999999</v>
      </c>
      <c r="CU113" s="17">
        <f>CT113*VLOOKUP('Données projet'!$B$13,Paramètres!$A$1:$I$89,3,0)*VLOOKUP('Données projet'!$B$13,Paramètres!$A$1:$I$89,5,0)</f>
        <v>359.18776919999999</v>
      </c>
      <c r="CV113" s="13">
        <f t="shared" si="95"/>
        <v>83.45150581620716</v>
      </c>
      <c r="CW113" s="20">
        <f t="shared" si="67"/>
        <v>770.93007065322729</v>
      </c>
      <c r="CX113" s="59">
        <f t="shared" si="68"/>
        <v>1064.2634039865607</v>
      </c>
      <c r="CY113" s="59">
        <f ca="1">AVERAGE(OFFSET($CX$3,0,0,'Données projet'!$E$13+1,1))-AVERAGE(OFFSET($H$3,0,0,'Données projet'!$E$13+1,1))</f>
        <v>473.48875234867705</v>
      </c>
      <c r="CZ113" s="59">
        <f t="shared" si="96"/>
        <v>322.74347070996379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56.568599987193039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56.568599987193039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300.80663531652721</v>
      </c>
      <c r="T114" s="59">
        <f t="shared" si="88"/>
        <v>306.01967513533549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50.370018784386374</v>
      </c>
      <c r="AA114" s="21">
        <f>EXP(-LN(2)/25)*AA113+(1-EXP(-LN(2)/25))/(LN(2)/25)*Calculateur!V114*Calculateur!X114*VLOOKUP('Données projet'!$B$9,Paramètres!$A$1:$I$89,3,0)*0.475*44/12</f>
        <v>20.837999490201415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71.208018274587786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349.5718186624772</v>
      </c>
      <c r="AO114" s="59">
        <f t="shared" si="90"/>
        <v>258.14152930815959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93.115383283306414</v>
      </c>
      <c r="AV114" s="21">
        <f>EXP(-LN(2)/25)*AV113+(1-EXP(-LN(2)/25))/(LN(2)/25)*Calculateur!AQ114*Calculateur!AS114*VLOOKUP('Données projet'!$B$10,Paramètres!$A$1:$I$89,3,0)*0.475*44/12</f>
        <v>34.183910006516328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127.29929328982274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349.5718186624772</v>
      </c>
      <c r="BJ114" s="59">
        <f t="shared" si="92"/>
        <v>258.14152930815959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93.115383283306414</v>
      </c>
      <c r="BQ114" s="21">
        <f>EXP(-LN(2)/25)*BQ113+(1-EXP(-LN(2)/25))/(LN(2)/25)*Calculateur!BL114*Calculateur!BN114*VLOOKUP('Données projet'!$B$11,Paramètres!$A$1:$I$89,3,0)*0.475*44/12</f>
        <v>34.183910006516328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127.29929328982274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-4.5474735088646412E-13</v>
      </c>
      <c r="BZ114" s="13">
        <f>BY114*VLOOKUP('Données projet'!$B$12,Paramètres!$A$1:$I$89,3,0)*VLOOKUP('Données projet'!$B$12,Paramètres!$A$1:$I$89,5,0)</f>
        <v>-2.1282176021486519E-13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356.22620301934836</v>
      </c>
      <c r="CE114" s="59">
        <f t="shared" si="94"/>
        <v>342.25495410715513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183.30303130061196</v>
      </c>
      <c r="CL114" s="21">
        <f>EXP(-LN(2)/25)*CL113+(1-EXP(-LN(2)/25))/(LN(2)/25)*Calculateur!CG114*Calculateur!CI114*VLOOKUP('Données projet'!$B$12,Paramètres!$A$1:$I$89,3,0)*0.475*44/12</f>
        <v>71.345860164659456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254.64889146527142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7.456999999999999</v>
      </c>
      <c r="CT114" s="12">
        <f>IF('Données projet'!$A$140&gt;35,CT113+CS114-DB113,IF(A114&lt;'Données projet'!$A$140,$CQ$205^A114,IF(A114='Données projet'!$A$140,'Données projet'!$B$140,CT113+CS114-DB113)))</f>
        <v>322.86599999999999</v>
      </c>
      <c r="CU114" s="17">
        <f>CT114*VLOOKUP('Données projet'!$B$13,Paramètres!$A$1:$I$89,3,0)*VLOOKUP('Données projet'!$B$13,Paramètres!$A$1:$I$89,5,0)</f>
        <v>367.67980079999995</v>
      </c>
      <c r="CV114" s="13">
        <f t="shared" si="95"/>
        <v>85.192459241996517</v>
      </c>
      <c r="CW114" s="20">
        <f t="shared" si="67"/>
        <v>788.75251957314379</v>
      </c>
      <c r="CX114" s="59">
        <f t="shared" si="68"/>
        <v>1082.0858529064772</v>
      </c>
      <c r="CY114" s="59">
        <f ca="1">AVERAGE(OFFSET($CX$3,0,0,'Données projet'!$E$13+1,1))-AVERAGE(OFFSET($H$3,0,0,'Données projet'!$E$13+1,1))</f>
        <v>473.48875234867705</v>
      </c>
      <c r="CZ114" s="59">
        <f t="shared" si="96"/>
        <v>322.74347070996379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55.459324244883241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55.459324244883241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300.80663531652721</v>
      </c>
      <c r="T115" s="59">
        <f t="shared" si="88"/>
        <v>306.01967513533549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49.382293438702405</v>
      </c>
      <c r="AA115" s="21">
        <f>EXP(-LN(2)/25)*AA114+(1-EXP(-LN(2)/25))/(LN(2)/25)*Calculateur!V115*Calculateur!X115*VLOOKUP('Données projet'!$B$9,Paramètres!$A$1:$I$89,3,0)*0.475*44/12</f>
        <v>20.268183298319091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69.650476737021492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349.5718186624772</v>
      </c>
      <c r="AO115" s="59">
        <f t="shared" si="90"/>
        <v>258.14152930815959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91.28944741189656</v>
      </c>
      <c r="AV115" s="21">
        <f>EXP(-LN(2)/25)*AV114+(1-EXP(-LN(2)/25))/(LN(2)/25)*Calculateur!AQ115*Calculateur!AS115*VLOOKUP('Données projet'!$B$10,Paramètres!$A$1:$I$89,3,0)*0.475*44/12</f>
        <v>33.249149189734439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124.538596601631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349.5718186624772</v>
      </c>
      <c r="BJ115" s="59">
        <f t="shared" si="92"/>
        <v>258.14152930815959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91.28944741189656</v>
      </c>
      <c r="BQ115" s="21">
        <f>EXP(-LN(2)/25)*BQ114+(1-EXP(-LN(2)/25))/(LN(2)/25)*Calculateur!BL115*Calculateur!BN115*VLOOKUP('Données projet'!$B$11,Paramètres!$A$1:$I$89,3,0)*0.475*44/12</f>
        <v>33.249149189734439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124.538596601631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-4.5474735088646412E-13</v>
      </c>
      <c r="BZ115" s="13">
        <f>BY115*VLOOKUP('Données projet'!$B$12,Paramètres!$A$1:$I$89,3,0)*VLOOKUP('Données projet'!$B$12,Paramètres!$A$1:$I$89,5,0)</f>
        <v>-2.1282176021486519E-13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356.22620301934836</v>
      </c>
      <c r="CE115" s="59">
        <f t="shared" si="94"/>
        <v>342.25495410715513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179.70857066061635</v>
      </c>
      <c r="CL115" s="21">
        <f>EXP(-LN(2)/25)*CL114+(1-EXP(-LN(2)/25))/(LN(2)/25)*Calculateur!CG115*Calculateur!CI115*VLOOKUP('Données projet'!$B$12,Paramètres!$A$1:$I$89,3,0)*0.475*44/12</f>
        <v>69.394903866541114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249.10347452715746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7.456999999999999</v>
      </c>
      <c r="CT115" s="12">
        <f>IF('Données projet'!$A$140&gt;35,CT114+CS115-DB114,IF(A115&lt;'Données projet'!$A$140,$CQ$205^A115,IF(A115='Données projet'!$A$140,'Données projet'!$B$140,CT114+CS115-DB114)))</f>
        <v>330.32299999999998</v>
      </c>
      <c r="CU115" s="17">
        <f>CT115*VLOOKUP('Données projet'!$B$13,Paramètres!$A$1:$I$89,3,0)*VLOOKUP('Données projet'!$B$13,Paramètres!$A$1:$I$89,5,0)</f>
        <v>376.17183239999997</v>
      </c>
      <c r="CV115" s="13">
        <f t="shared" si="95"/>
        <v>86.928738125152762</v>
      </c>
      <c r="CW115" s="20">
        <f t="shared" si="67"/>
        <v>806.56682699797432</v>
      </c>
      <c r="CX115" s="59">
        <f t="shared" si="68"/>
        <v>1099.9001603313077</v>
      </c>
      <c r="CY115" s="59">
        <f ca="1">AVERAGE(OFFSET($CX$3,0,0,'Données projet'!$E$13+1,1))-AVERAGE(OFFSET($H$3,0,0,'Données projet'!$E$13+1,1))</f>
        <v>473.48875234867705</v>
      </c>
      <c r="CZ115" s="59">
        <f t="shared" si="96"/>
        <v>322.74347070996379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54.371800723288743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54.371800723288743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300.80663531652721</v>
      </c>
      <c r="T116" s="59">
        <f t="shared" si="88"/>
        <v>306.01967513533549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48.41393678459432</v>
      </c>
      <c r="AA116" s="21">
        <f>EXP(-LN(2)/25)*AA115+(1-EXP(-LN(2)/25))/(LN(2)/25)*Calculateur!V116*Calculateur!X116*VLOOKUP('Données projet'!$B$9,Paramètres!$A$1:$I$89,3,0)*0.475*44/12</f>
        <v>19.713948760169121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68.127885544763444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349.5718186624772</v>
      </c>
      <c r="AO116" s="59">
        <f t="shared" si="90"/>
        <v>258.14152930815959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89.49931702921414</v>
      </c>
      <c r="AV116" s="21">
        <f>EXP(-LN(2)/25)*AV115+(1-EXP(-LN(2)/25))/(LN(2)/25)*Calculateur!AQ116*Calculateur!AS116*VLOOKUP('Données projet'!$B$10,Paramètres!$A$1:$I$89,3,0)*0.475*44/12</f>
        <v>32.339949456644383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121.83926648585853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349.5718186624772</v>
      </c>
      <c r="BJ116" s="59">
        <f t="shared" si="92"/>
        <v>258.14152930815959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89.49931702921414</v>
      </c>
      <c r="BQ116" s="21">
        <f>EXP(-LN(2)/25)*BQ115+(1-EXP(-LN(2)/25))/(LN(2)/25)*Calculateur!BL116*Calculateur!BN116*VLOOKUP('Données projet'!$B$11,Paramètres!$A$1:$I$89,3,0)*0.475*44/12</f>
        <v>32.339949456644383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121.83926648585853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-4.5474735088646412E-13</v>
      </c>
      <c r="BZ116" s="13">
        <f>BY116*VLOOKUP('Données projet'!$B$12,Paramètres!$A$1:$I$89,3,0)*VLOOKUP('Données projet'!$B$12,Paramètres!$A$1:$I$89,5,0)</f>
        <v>-2.1282176021486519E-13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356.22620301934836</v>
      </c>
      <c r="CE116" s="59">
        <f t="shared" si="94"/>
        <v>342.25495410715513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176.18459520136653</v>
      </c>
      <c r="CL116" s="21">
        <f>EXP(-LN(2)/25)*CL115+(1-EXP(-LN(2)/25))/(LN(2)/25)*Calculateur!CG116*Calculateur!CI116*VLOOKUP('Données projet'!$B$12,Paramètres!$A$1:$I$89,3,0)*0.475*44/12</f>
        <v>67.497296570991153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243.68189177235769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337.78</v>
      </c>
      <c r="CR116" s="12">
        <f>VLOOKUP(A116,'Données projet'!$A$139:$I$159,9,0)</f>
        <v>7.456999999999999</v>
      </c>
      <c r="CS116" s="12">
        <f t="array" ref="CS116">INDEX(CR:CR,MIN(IF(ISNUMBER(CR116:CR312),ROW(CR116:CR312),"")))</f>
        <v>7.456999999999999</v>
      </c>
      <c r="CT116" s="12">
        <f>IF('Données projet'!$A$140&gt;35,CT115+CS116-DB115,IF(A116&lt;'Données projet'!$A$140,$CQ$205^A116,IF(A116='Données projet'!$A$140,'Données projet'!$B$140,CT115+CS116-DB115)))</f>
        <v>337.78</v>
      </c>
      <c r="CU116" s="17">
        <f>CT116*VLOOKUP('Données projet'!$B$13,Paramètres!$A$1:$I$89,3,0)*VLOOKUP('Données projet'!$B$13,Paramètres!$A$1:$I$89,5,0)</f>
        <v>384.66386399999993</v>
      </c>
      <c r="CV116" s="13">
        <f t="shared" si="95"/>
        <v>88.660460141798652</v>
      </c>
      <c r="CW116" s="20">
        <f t="shared" si="67"/>
        <v>824.37319788029902</v>
      </c>
      <c r="CX116" s="59">
        <f t="shared" si="68"/>
        <v>1117.7065312136324</v>
      </c>
      <c r="CY116" s="59">
        <f ca="1">AVERAGE(OFFSET($CX$3,0,0,'Données projet'!$E$13+1,1))-AVERAGE(OFFSET($H$3,0,0,'Données projet'!$E$13+1,1))</f>
        <v>473.48875234867705</v>
      </c>
      <c r="CZ116" s="59">
        <f t="shared" si="96"/>
        <v>322.74347070996379</v>
      </c>
      <c r="DA116" s="15">
        <f>IF(ISNA(VLOOKUP(A116,'Données projet'!$A$139:$I$159,3,0)),0,VLOOKUP(A116,'Données projet'!$A$139:$I$159,3,0))</f>
        <v>10</v>
      </c>
      <c r="DB116" s="15">
        <f>IF(ISNA(VLOOKUP(A116,'Données projet'!$A$139:$I$159,4,0)),0,VLOOKUP(A116,'Données projet'!$A$139:$I$159,4,0))</f>
        <v>59.52</v>
      </c>
      <c r="DC116" s="16">
        <f>IF(ISNA(VLOOKUP(A116,'Données projet'!$A$139:$I$159,5,0)),0%,VLOOKUP(A116,'Données projet'!$A$139:$I$159,5,0)*VLOOKUP('Données projet'!$B$13,Paramètres!$A$1:$I$89,7,0))</f>
        <v>0.25800000000000001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72.637621165241157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72.637621165241157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300.80663531652721</v>
      </c>
      <c r="T117" s="59">
        <f t="shared" si="88"/>
        <v>306.01967513533549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47.464569013834058</v>
      </c>
      <c r="AA117" s="21">
        <f>EXP(-LN(2)/25)*AA116+(1-EXP(-LN(2)/25))/(LN(2)/25)*Calculateur!V117*Calculateur!X117*VLOOKUP('Données projet'!$B$9,Paramètres!$A$1:$I$89,3,0)*0.475*44/12</f>
        <v>19.174869794610789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66.639438808444851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349.5718186624772</v>
      </c>
      <c r="AO117" s="59">
        <f t="shared" si="90"/>
        <v>258.14152930815959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87.7442900114644</v>
      </c>
      <c r="AV117" s="21">
        <f>EXP(-LN(2)/25)*AV116+(1-EXP(-LN(2)/25))/(LN(2)/25)*Calculateur!AQ117*Calculateur!AS117*VLOOKUP('Données projet'!$B$10,Paramètres!$A$1:$I$89,3,0)*0.475*44/12</f>
        <v>31.455611838068414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119.19990184953281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349.5718186624772</v>
      </c>
      <c r="BJ117" s="59">
        <f t="shared" si="92"/>
        <v>258.14152930815959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87.7442900114644</v>
      </c>
      <c r="BQ117" s="21">
        <f>EXP(-LN(2)/25)*BQ116+(1-EXP(-LN(2)/25))/(LN(2)/25)*Calculateur!BL117*Calculateur!BN117*VLOOKUP('Données projet'!$B$11,Paramètres!$A$1:$I$89,3,0)*0.475*44/12</f>
        <v>31.455611838068414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119.19990184953281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-4.5474735088646412E-13</v>
      </c>
      <c r="BZ117" s="13">
        <f>BY117*VLOOKUP('Données projet'!$B$12,Paramètres!$A$1:$I$89,3,0)*VLOOKUP('Données projet'!$B$12,Paramètres!$A$1:$I$89,5,0)</f>
        <v>-2.1282176021486519E-13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356.22620301934836</v>
      </c>
      <c r="CE117" s="59">
        <f t="shared" si="94"/>
        <v>342.25495410715513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172.72972275145983</v>
      </c>
      <c r="CL117" s="21">
        <f>EXP(-LN(2)/25)*CL116+(1-EXP(-LN(2)/25))/(LN(2)/25)*Calculateur!CG117*Calculateur!CI117*VLOOKUP('Données projet'!$B$12,Paramètres!$A$1:$I$89,3,0)*0.475*44/12</f>
        <v>65.651579446728846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238.38130219818868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7.3920000000000012</v>
      </c>
      <c r="CT117" s="12">
        <f>IF('Données projet'!$A$140&gt;35,CT116+CS117-DB116,IF(A117&lt;'Données projet'!$A$140,$CQ$205^A117,IF(A117='Données projet'!$A$140,'Données projet'!$B$140,CT116+CS117-DB116)))</f>
        <v>285.65199999999999</v>
      </c>
      <c r="CU117" s="17">
        <f>CT117*VLOOKUP('Données projet'!$B$13,Paramètres!$A$1:$I$89,3,0)*VLOOKUP('Données projet'!$B$13,Paramètres!$A$1:$I$89,5,0)</f>
        <v>325.30049760000003</v>
      </c>
      <c r="CV117" s="13">
        <f t="shared" si="95"/>
        <v>76.455168569170894</v>
      </c>
      <c r="CW117" s="20">
        <f t="shared" si="67"/>
        <v>699.72445191130601</v>
      </c>
      <c r="CX117" s="59">
        <f t="shared" si="68"/>
        <v>993.05778524463926</v>
      </c>
      <c r="CY117" s="59">
        <f ca="1">AVERAGE(OFFSET($CX$3,0,0,'Données projet'!$E$13+1,1))-AVERAGE(OFFSET($H$3,0,0,'Données projet'!$E$13+1,1))</f>
        <v>473.48875234867705</v>
      </c>
      <c r="CZ117" s="59">
        <f t="shared" si="96"/>
        <v>322.74347070996379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71.213241718764976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71.213241718764976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300.80663531652721</v>
      </c>
      <c r="T118" s="59">
        <f t="shared" si="88"/>
        <v>306.01967513533549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46.533817766001242</v>
      </c>
      <c r="AA118" s="21">
        <f>EXP(-LN(2)/25)*AA117+(1-EXP(-LN(2)/25))/(LN(2)/25)*Calculateur!V118*Calculateur!X118*VLOOKUP('Données projet'!$B$9,Paramètres!$A$1:$I$89,3,0)*0.475*44/12</f>
        <v>18.650531971714578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65.18434973771582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349.5718186624772</v>
      </c>
      <c r="AO118" s="59">
        <f t="shared" si="90"/>
        <v>258.14152930815959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86.02367800307195</v>
      </c>
      <c r="AV118" s="21">
        <f>EXP(-LN(2)/25)*AV117+(1-EXP(-LN(2)/25))/(LN(2)/25)*Calculateur!AQ118*Calculateur!AS118*VLOOKUP('Données projet'!$B$10,Paramètres!$A$1:$I$89,3,0)*0.475*44/12</f>
        <v>30.595456478177699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116.61913448124965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349.5718186624772</v>
      </c>
      <c r="BJ118" s="59">
        <f t="shared" si="92"/>
        <v>258.14152930815959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86.02367800307195</v>
      </c>
      <c r="BQ118" s="21">
        <f>EXP(-LN(2)/25)*BQ117+(1-EXP(-LN(2)/25))/(LN(2)/25)*Calculateur!BL118*Calculateur!BN118*VLOOKUP('Données projet'!$B$11,Paramètres!$A$1:$I$89,3,0)*0.475*44/12</f>
        <v>30.595456478177699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116.61913448124965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-4.5474735088646412E-13</v>
      </c>
      <c r="BZ118" s="13">
        <f>BY118*VLOOKUP('Données projet'!$B$12,Paramètres!$A$1:$I$89,3,0)*VLOOKUP('Données projet'!$B$12,Paramètres!$A$1:$I$89,5,0)</f>
        <v>-2.1282176021486519E-13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356.22620301934836</v>
      </c>
      <c r="CE118" s="59">
        <f t="shared" si="94"/>
        <v>342.25495410715513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169.34259824303166</v>
      </c>
      <c r="CL118" s="21">
        <f>EXP(-LN(2)/25)*CL117+(1-EXP(-LN(2)/25))/(LN(2)/25)*Calculateur!CG118*Calculateur!CI118*VLOOKUP('Données projet'!$B$12,Paramètres!$A$1:$I$89,3,0)*0.475*44/12</f>
        <v>63.856333554291531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233.19893179732318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7.3920000000000012</v>
      </c>
      <c r="CT118" s="12">
        <f>IF('Données projet'!$A$140&gt;35,CT117+CS118-DB117,IF(A118&lt;'Données projet'!$A$140,$CQ$205^A118,IF(A118='Données projet'!$A$140,'Données projet'!$B$140,CT117+CS118-DB117)))</f>
        <v>293.04399999999998</v>
      </c>
      <c r="CU118" s="17">
        <f>CT118*VLOOKUP('Données projet'!$B$13,Paramètres!$A$1:$I$89,3,0)*VLOOKUP('Données projet'!$B$13,Paramètres!$A$1:$I$89,5,0)</f>
        <v>333.71850719999998</v>
      </c>
      <c r="CV118" s="13">
        <f t="shared" si="95"/>
        <v>78.200745102949654</v>
      </c>
      <c r="CW118" s="20">
        <f t="shared" si="67"/>
        <v>717.42603109430399</v>
      </c>
      <c r="CX118" s="59">
        <f t="shared" si="68"/>
        <v>1010.7593644276374</v>
      </c>
      <c r="CY118" s="59">
        <f ca="1">AVERAGE(OFFSET($CX$3,0,0,'Données projet'!$E$13+1,1))-AVERAGE(OFFSET($H$3,0,0,'Données projet'!$E$13+1,1))</f>
        <v>473.48875234867705</v>
      </c>
      <c r="CZ118" s="59">
        <f t="shared" si="96"/>
        <v>322.74347070996379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69.81679348444851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69.81679348444851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300.80663531652721</v>
      </c>
      <c r="T119" s="59">
        <f t="shared" si="88"/>
        <v>306.01967513533549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45.621317982436224</v>
      </c>
      <c r="AA119" s="21">
        <f>EXP(-LN(2)/25)*AA118+(1-EXP(-LN(2)/25))/(LN(2)/25)*Calculateur!V119*Calculateur!X119*VLOOKUP('Données projet'!$B$9,Paramètres!$A$1:$I$89,3,0)*0.475*44/12</f>
        <v>18.140532194159192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63.761850176595416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349.5718186624772</v>
      </c>
      <c r="AO119" s="59">
        <f t="shared" si="90"/>
        <v>258.14152930815959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84.336806146694386</v>
      </c>
      <c r="AV119" s="21">
        <f>EXP(-LN(2)/25)*AV118+(1-EXP(-LN(2)/25))/(LN(2)/25)*Calculateur!AQ119*Calculateur!AS119*VLOOKUP('Données projet'!$B$10,Paramètres!$A$1:$I$89,3,0)*0.475*44/12</f>
        <v>29.7588221118368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114.09562825853118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349.5718186624772</v>
      </c>
      <c r="BJ119" s="59">
        <f t="shared" si="92"/>
        <v>258.14152930815959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84.336806146694386</v>
      </c>
      <c r="BQ119" s="21">
        <f>EXP(-LN(2)/25)*BQ118+(1-EXP(-LN(2)/25))/(LN(2)/25)*Calculateur!BL119*Calculateur!BN119*VLOOKUP('Données projet'!$B$11,Paramètres!$A$1:$I$89,3,0)*0.475*44/12</f>
        <v>29.7588221118368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114.09562825853118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-4.5474735088646412E-13</v>
      </c>
      <c r="BZ119" s="13">
        <f>BY119*VLOOKUP('Données projet'!$B$12,Paramètres!$A$1:$I$89,3,0)*VLOOKUP('Données projet'!$B$12,Paramètres!$A$1:$I$89,5,0)</f>
        <v>-2.1282176021486519E-13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356.22620301934836</v>
      </c>
      <c r="CE119" s="59">
        <f t="shared" si="94"/>
        <v>342.25495410715513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166.0218931802718</v>
      </c>
      <c r="CL119" s="21">
        <f>EXP(-LN(2)/25)*CL118+(1-EXP(-LN(2)/25))/(LN(2)/25)*Calculateur!CG119*Calculateur!CI119*VLOOKUP('Données projet'!$B$12,Paramètres!$A$1:$I$89,3,0)*0.475*44/12</f>
        <v>62.110178755190795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228.13207193546259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7.3920000000000012</v>
      </c>
      <c r="CT119" s="12">
        <f>IF('Données projet'!$A$140&gt;35,CT118+CS119-DB118,IF(A119&lt;'Données projet'!$A$140,$CQ$205^A119,IF(A119='Données projet'!$A$140,'Données projet'!$B$140,CT118+CS119-DB118)))</f>
        <v>300.43599999999998</v>
      </c>
      <c r="CU119" s="17">
        <f>CT119*VLOOKUP('Données projet'!$B$13,Paramètres!$A$1:$I$89,3,0)*VLOOKUP('Données projet'!$B$13,Paramètres!$A$1:$I$89,5,0)</f>
        <v>342.13651679999998</v>
      </c>
      <c r="CV119" s="13">
        <f t="shared" si="95"/>
        <v>79.94120325999063</v>
      </c>
      <c r="CW119" s="20">
        <f t="shared" si="67"/>
        <v>735.11869577115021</v>
      </c>
      <c r="CX119" s="59">
        <f t="shared" si="68"/>
        <v>1028.4520291044835</v>
      </c>
      <c r="CY119" s="59">
        <f ca="1">AVERAGE(OFFSET($CX$3,0,0,'Données projet'!$E$13+1,1))-AVERAGE(OFFSET($H$3,0,0,'Données projet'!$E$13+1,1))</f>
        <v>473.48875234867705</v>
      </c>
      <c r="CZ119" s="59">
        <f t="shared" si="96"/>
        <v>322.74347070996379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68.447728748257674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68.447728748257674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300.80663531652721</v>
      </c>
      <c r="T120" s="59">
        <f t="shared" si="88"/>
        <v>306.01967513533549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44.726711763057004</v>
      </c>
      <c r="AA120" s="21">
        <f>EXP(-LN(2)/25)*AA119+(1-EXP(-LN(2)/25))/(LN(2)/25)*Calculateur!V120*Calculateur!X120*VLOOKUP('Données projet'!$B$9,Paramètres!$A$1:$I$89,3,0)*0.475*44/12</f>
        <v>17.644478387340783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62.371190150397787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349.5718186624772</v>
      </c>
      <c r="AO120" s="59">
        <f t="shared" si="90"/>
        <v>258.14152930815959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82.683012818530145</v>
      </c>
      <c r="AV120" s="21">
        <f>EXP(-LN(2)/25)*AV119+(1-EXP(-LN(2)/25))/(LN(2)/25)*Calculateur!AQ120*Calculateur!AS120*VLOOKUP('Données projet'!$B$10,Paramètres!$A$1:$I$89,3,0)*0.475*44/12</f>
        <v>28.945065556240181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111.62807837477033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349.5718186624772</v>
      </c>
      <c r="BJ120" s="59">
        <f t="shared" si="92"/>
        <v>258.14152930815959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82.683012818530145</v>
      </c>
      <c r="BQ120" s="21">
        <f>EXP(-LN(2)/25)*BQ119+(1-EXP(-LN(2)/25))/(LN(2)/25)*Calculateur!BL120*Calculateur!BN120*VLOOKUP('Données projet'!$B$11,Paramètres!$A$1:$I$89,3,0)*0.475*44/12</f>
        <v>28.945065556240181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111.62807837477033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-4.5474735088646412E-13</v>
      </c>
      <c r="BZ120" s="13">
        <f>BY120*VLOOKUP('Données projet'!$B$12,Paramètres!$A$1:$I$89,3,0)*VLOOKUP('Données projet'!$B$12,Paramètres!$A$1:$I$89,5,0)</f>
        <v>-2.1282176021486519E-13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356.22620301934836</v>
      </c>
      <c r="CE120" s="59">
        <f t="shared" si="94"/>
        <v>342.25495410715513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162.7663051183626</v>
      </c>
      <c r="CL120" s="21">
        <f>EXP(-LN(2)/25)*CL119+(1-EXP(-LN(2)/25))/(LN(2)/25)*Calculateur!CG120*Calculateur!CI120*VLOOKUP('Données projet'!$B$12,Paramètres!$A$1:$I$89,3,0)*0.475*44/12</f>
        <v>60.41177265089776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223.17807776926037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7.3920000000000012</v>
      </c>
      <c r="CT120" s="12">
        <f>IF('Données projet'!$A$140&gt;35,CT119+CS120-DB119,IF(A120&lt;'Données projet'!$A$140,$CQ$205^A120,IF(A120='Données projet'!$A$140,'Données projet'!$B$140,CT119+CS120-DB119)))</f>
        <v>307.82799999999997</v>
      </c>
      <c r="CU120" s="17">
        <f>CT120*VLOOKUP('Données projet'!$B$13,Paramètres!$A$1:$I$89,3,0)*VLOOKUP('Données projet'!$B$13,Paramètres!$A$1:$I$89,5,0)</f>
        <v>350.55452639999999</v>
      </c>
      <c r="CV120" s="13">
        <f t="shared" si="95"/>
        <v>81.676683460289013</v>
      </c>
      <c r="CW120" s="20">
        <f t="shared" si="67"/>
        <v>752.80269050667005</v>
      </c>
      <c r="CX120" s="59">
        <f t="shared" si="68"/>
        <v>1046.1360238400034</v>
      </c>
      <c r="CY120" s="59">
        <f ca="1">AVERAGE(OFFSET($CX$3,0,0,'Données projet'!$E$13+1,1))-AVERAGE(OFFSET($H$3,0,0,'Données projet'!$E$13+1,1))</f>
        <v>473.48875234867705</v>
      </c>
      <c r="CZ120" s="59">
        <f t="shared" si="96"/>
        <v>322.74347070996379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67.10551053649651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67.10551053649651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300.80663531652721</v>
      </c>
      <c r="T121" s="59">
        <f t="shared" si="88"/>
        <v>306.01967513533549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43.849648225983898</v>
      </c>
      <c r="AA121" s="21">
        <f>EXP(-LN(2)/25)*AA120+(1-EXP(-LN(2)/25))/(LN(2)/25)*Calculateur!V121*Calculateur!X121*VLOOKUP('Données projet'!$B$9,Paramètres!$A$1:$I$89,3,0)*0.475*44/12</f>
        <v>17.161989197956157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61.011637423940059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349.5718186624772</v>
      </c>
      <c r="AO121" s="59">
        <f t="shared" si="90"/>
        <v>258.14152930815959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81.061649368816873</v>
      </c>
      <c r="AV121" s="21">
        <f>EXP(-LN(2)/25)*AV120+(1-EXP(-LN(2)/25))/(LN(2)/25)*Calculateur!AQ121*Calculateur!AS121*VLOOKUP('Données projet'!$B$10,Paramètres!$A$1:$I$89,3,0)*0.475*44/12</f>
        <v>28.153561216449951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109.21521058526682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349.5718186624772</v>
      </c>
      <c r="BJ121" s="59">
        <f t="shared" si="92"/>
        <v>258.14152930815959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81.061649368816873</v>
      </c>
      <c r="BQ121" s="21">
        <f>EXP(-LN(2)/25)*BQ120+(1-EXP(-LN(2)/25))/(LN(2)/25)*Calculateur!BL121*Calculateur!BN121*VLOOKUP('Données projet'!$B$11,Paramètres!$A$1:$I$89,3,0)*0.475*44/12</f>
        <v>28.153561216449951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109.21521058526682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-4.5474735088646412E-13</v>
      </c>
      <c r="BZ121" s="13">
        <f>BY121*VLOOKUP('Données projet'!$B$12,Paramètres!$A$1:$I$89,3,0)*VLOOKUP('Données projet'!$B$12,Paramètres!$A$1:$I$89,5,0)</f>
        <v>-2.1282176021486519E-13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356.22620301934836</v>
      </c>
      <c r="CE121" s="59">
        <f t="shared" si="94"/>
        <v>342.25495410715513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159.57455715263478</v>
      </c>
      <c r="CL121" s="21">
        <f>EXP(-LN(2)/25)*CL120+(1-EXP(-LN(2)/25))/(LN(2)/25)*Calculateur!CG121*Calculateur!CI121*VLOOKUP('Données projet'!$B$12,Paramètres!$A$1:$I$89,3,0)*0.475*44/12</f>
        <v>58.759809550841908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218.33436670347669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7.3920000000000012</v>
      </c>
      <c r="CT121" s="12">
        <f>IF('Données projet'!$A$140&gt;35,CT120+CS121-DB120,IF(A121&lt;'Données projet'!$A$140,$CQ$205^A121,IF(A121='Données projet'!$A$140,'Données projet'!$B$140,CT120+CS121-DB120)))</f>
        <v>315.21999999999997</v>
      </c>
      <c r="CU121" s="17">
        <f>CT121*VLOOKUP('Données projet'!$B$13,Paramètres!$A$1:$I$89,3,0)*VLOOKUP('Données projet'!$B$13,Paramètres!$A$1:$I$89,5,0)</f>
        <v>358.97253599999999</v>
      </c>
      <c r="CV121" s="13">
        <f t="shared" si="95"/>
        <v>83.407318995318874</v>
      </c>
      <c r="CW121" s="20">
        <f t="shared" si="67"/>
        <v>770.47824745018033</v>
      </c>
      <c r="CX121" s="59">
        <f t="shared" si="68"/>
        <v>1063.8115807835136</v>
      </c>
      <c r="CY121" s="59">
        <f ca="1">AVERAGE(OFFSET($CX$3,0,0,'Données projet'!$E$13+1,1))-AVERAGE(OFFSET($H$3,0,0,'Données projet'!$E$13+1,1))</f>
        <v>473.48875234867705</v>
      </c>
      <c r="CZ121" s="59">
        <f t="shared" si="96"/>
        <v>322.74347070996379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65.789612405195712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65.789612405195712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300.80663531652721</v>
      </c>
      <c r="T122" s="59">
        <f t="shared" si="88"/>
        <v>306.01967513533549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42.989783369916857</v>
      </c>
      <c r="AA122" s="21">
        <f>EXP(-LN(2)/25)*AA121+(1-EXP(-LN(2)/25))/(LN(2)/25)*Calculateur!V122*Calculateur!X122*VLOOKUP('Données projet'!$B$9,Paramètres!$A$1:$I$89,3,0)*0.475*44/12</f>
        <v>16.692693700828258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59.682477070745115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349.5718186624772</v>
      </c>
      <c r="AO122" s="59">
        <f t="shared" si="90"/>
        <v>258.14152930815959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79.472079867418429</v>
      </c>
      <c r="AV122" s="21">
        <f>EXP(-LN(2)/25)*AV121+(1-EXP(-LN(2)/25))/(LN(2)/25)*Calculateur!AQ122*Calculateur!AS122*VLOOKUP('Données projet'!$B$10,Paramètres!$A$1:$I$89,3,0)*0.475*44/12</f>
        <v>27.383700604454688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106.85578047187312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349.5718186624772</v>
      </c>
      <c r="BJ122" s="59">
        <f t="shared" si="92"/>
        <v>258.14152930815959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79.472079867418429</v>
      </c>
      <c r="BQ122" s="21">
        <f>EXP(-LN(2)/25)*BQ121+(1-EXP(-LN(2)/25))/(LN(2)/25)*Calculateur!BL122*Calculateur!BN122*VLOOKUP('Données projet'!$B$11,Paramètres!$A$1:$I$89,3,0)*0.475*44/12</f>
        <v>27.383700604454688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106.85578047187312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-4.5474735088646412E-13</v>
      </c>
      <c r="BZ122" s="13">
        <f>BY122*VLOOKUP('Données projet'!$B$12,Paramètres!$A$1:$I$89,3,0)*VLOOKUP('Données projet'!$B$12,Paramètres!$A$1:$I$89,5,0)</f>
        <v>-2.1282176021486519E-13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356.22620301934836</v>
      </c>
      <c r="CE122" s="59">
        <f t="shared" si="94"/>
        <v>342.25495410715513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156.44539741774085</v>
      </c>
      <c r="CL122" s="21">
        <f>EXP(-LN(2)/25)*CL121+(1-EXP(-LN(2)/25))/(LN(2)/25)*Calculateur!CG122*Calculateur!CI122*VLOOKUP('Données projet'!$B$12,Paramètres!$A$1:$I$89,3,0)*0.475*44/12</f>
        <v>57.153019468630049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213.5984168863709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7.3920000000000012</v>
      </c>
      <c r="CT122" s="12">
        <f>IF('Données projet'!$A$140&gt;35,CT121+CS122-DB121,IF(A122&lt;'Données projet'!$A$140,$CQ$205^A122,IF(A122='Données projet'!$A$140,'Données projet'!$B$140,CT121+CS122-DB121)))</f>
        <v>322.61199999999997</v>
      </c>
      <c r="CU122" s="17">
        <f>CT122*VLOOKUP('Données projet'!$B$13,Paramètres!$A$1:$I$89,3,0)*VLOOKUP('Données projet'!$B$13,Paramètres!$A$1:$I$89,5,0)</f>
        <v>367.39054559999994</v>
      </c>
      <c r="CV122" s="13">
        <f t="shared" si="95"/>
        <v>85.133236548470322</v>
      </c>
      <c r="CW122" s="20">
        <f t="shared" si="67"/>
        <v>788.14558724191909</v>
      </c>
      <c r="CX122" s="59">
        <f t="shared" si="68"/>
        <v>1081.4789205752525</v>
      </c>
      <c r="CY122" s="59">
        <f ca="1">AVERAGE(OFFSET($CX$3,0,0,'Données projet'!$E$13+1,1))-AVERAGE(OFFSET($H$3,0,0,'Données projet'!$E$13+1,1))</f>
        <v>473.48875234867705</v>
      </c>
      <c r="CZ122" s="59">
        <f t="shared" si="96"/>
        <v>322.74347070996379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64.499518233631107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64.499518233631107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300.80663531652721</v>
      </c>
      <c r="T123" s="59">
        <f t="shared" si="88"/>
        <v>306.01967513533549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42.14677993921152</v>
      </c>
      <c r="AA123" s="21">
        <f>EXP(-LN(2)/25)*AA122+(1-EXP(-LN(2)/25))/(LN(2)/25)*Calculateur!V123*Calculateur!X123*VLOOKUP('Données projet'!$B$9,Paramètres!$A$1:$I$89,3,0)*0.475*44/12</f>
        <v>16.236231113748499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58.383011052960015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349.5718186624772</v>
      </c>
      <c r="AO123" s="59">
        <f t="shared" si="90"/>
        <v>258.14152930815959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77.913680854400738</v>
      </c>
      <c r="AV123" s="21">
        <f>EXP(-LN(2)/25)*AV122+(1-EXP(-LN(2)/25))/(LN(2)/25)*Calculateur!AQ123*Calculateur!AS123*VLOOKUP('Données projet'!$B$10,Paramètres!$A$1:$I$89,3,0)*0.475*44/12</f>
        <v>26.634891871379647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104.54857272578039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349.5718186624772</v>
      </c>
      <c r="BJ123" s="59">
        <f t="shared" si="92"/>
        <v>258.14152930815959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77.913680854400738</v>
      </c>
      <c r="BQ123" s="21">
        <f>EXP(-LN(2)/25)*BQ122+(1-EXP(-LN(2)/25))/(LN(2)/25)*Calculateur!BL123*Calculateur!BN123*VLOOKUP('Données projet'!$B$11,Paramètres!$A$1:$I$89,3,0)*0.475*44/12</f>
        <v>26.634891871379647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104.54857272578039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-4.5474735088646412E-13</v>
      </c>
      <c r="BZ123" s="13">
        <f>BY123*VLOOKUP('Données projet'!$B$12,Paramètres!$A$1:$I$89,3,0)*VLOOKUP('Données projet'!$B$12,Paramètres!$A$1:$I$89,5,0)</f>
        <v>-2.1282176021486519E-13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356.22620301934836</v>
      </c>
      <c r="CE123" s="59">
        <f t="shared" si="94"/>
        <v>342.25495410715513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153.37759859664922</v>
      </c>
      <c r="CL123" s="21">
        <f>EXP(-LN(2)/25)*CL122+(1-EXP(-LN(2)/25))/(LN(2)/25)*Calculateur!CG123*Calculateur!CI123*VLOOKUP('Données projet'!$B$12,Paramètres!$A$1:$I$89,3,0)*0.475*44/12</f>
        <v>55.590167145713693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208.96776574236293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7.3920000000000012</v>
      </c>
      <c r="CT123" s="12">
        <f>IF('Données projet'!$A$140&gt;35,CT122+CS123-DB122,IF(A123&lt;'Données projet'!$A$140,$CQ$205^A123,IF(A123='Données projet'!$A$140,'Données projet'!$B$140,CT122+CS123-DB122)))</f>
        <v>330.00399999999996</v>
      </c>
      <c r="CU123" s="17">
        <f>CT123*VLOOKUP('Données projet'!$B$13,Paramètres!$A$1:$I$89,3,0)*VLOOKUP('Données projet'!$B$13,Paramètres!$A$1:$I$89,5,0)</f>
        <v>375.80855519999994</v>
      </c>
      <c r="CV123" s="13">
        <f t="shared" si="95"/>
        <v>86.854556666443429</v>
      </c>
      <c r="CW123" s="20">
        <f t="shared" si="67"/>
        <v>805.80491983405545</v>
      </c>
      <c r="CX123" s="59">
        <f t="shared" si="68"/>
        <v>1099.1382531673887</v>
      </c>
      <c r="CY123" s="59">
        <f ca="1">AVERAGE(OFFSET($CX$3,0,0,'Données projet'!$E$13+1,1))-AVERAGE(OFFSET($H$3,0,0,'Données projet'!$E$13+1,1))</f>
        <v>473.48875234867705</v>
      </c>
      <c r="CZ123" s="59">
        <f t="shared" si="96"/>
        <v>322.74347070996379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63.234722021891137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63.234722021891137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300.80663531652721</v>
      </c>
      <c r="T124" s="59">
        <f t="shared" si="88"/>
        <v>306.01967513533549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41.32030729160099</v>
      </c>
      <c r="AA124" s="21">
        <f>EXP(-LN(2)/25)*AA123+(1-EXP(-LN(2)/25))/(LN(2)/25)*Calculateur!V124*Calculateur!X124*VLOOKUP('Données projet'!$B$9,Paramètres!$A$1:$I$89,3,0)*0.475*44/12</f>
        <v>15.79225052011676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57.11255781171775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349.5718186624772</v>
      </c>
      <c r="AO124" s="59">
        <f t="shared" si="90"/>
        <v>258.14152930815959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76.38584109549879</v>
      </c>
      <c r="AV124" s="21">
        <f>EXP(-LN(2)/25)*AV123+(1-EXP(-LN(2)/25))/(LN(2)/25)*Calculateur!AQ124*Calculateur!AS124*VLOOKUP('Données projet'!$B$10,Paramètres!$A$1:$I$89,3,0)*0.475*44/12</f>
        <v>25.906559352488681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102.29240044798748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349.5718186624772</v>
      </c>
      <c r="BJ124" s="59">
        <f t="shared" si="92"/>
        <v>258.14152930815959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76.38584109549879</v>
      </c>
      <c r="BQ124" s="21">
        <f>EXP(-LN(2)/25)*BQ123+(1-EXP(-LN(2)/25))/(LN(2)/25)*Calculateur!BL124*Calculateur!BN124*VLOOKUP('Données projet'!$B$11,Paramètres!$A$1:$I$89,3,0)*0.475*44/12</f>
        <v>25.906559352488681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102.29240044798748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-4.5474735088646412E-13</v>
      </c>
      <c r="BZ124" s="13">
        <f>BY124*VLOOKUP('Données projet'!$B$12,Paramètres!$A$1:$I$89,3,0)*VLOOKUP('Données projet'!$B$12,Paramètres!$A$1:$I$89,5,0)</f>
        <v>-2.1282176021486519E-13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356.22620301934836</v>
      </c>
      <c r="CE124" s="59">
        <f t="shared" si="94"/>
        <v>342.25495410715513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150.36995743926667</v>
      </c>
      <c r="CL124" s="21">
        <f>EXP(-LN(2)/25)*CL123+(1-EXP(-LN(2)/25))/(LN(2)/25)*Calculateur!CG124*Calculateur!CI124*VLOOKUP('Données projet'!$B$12,Paramètres!$A$1:$I$89,3,0)*0.475*44/12</f>
        <v>54.070051101754316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204.44000854102097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7.3920000000000012</v>
      </c>
      <c r="CT124" s="12">
        <f>IF('Données projet'!$A$140&gt;35,CT123+CS124-DB123,IF(A124&lt;'Données projet'!$A$140,$CQ$205^A124,IF(A124='Données projet'!$A$140,'Données projet'!$B$140,CT123+CS124-DB123)))</f>
        <v>337.39599999999996</v>
      </c>
      <c r="CU124" s="17">
        <f>CT124*VLOOKUP('Données projet'!$B$13,Paramètres!$A$1:$I$89,3,0)*VLOOKUP('Données projet'!$B$13,Paramètres!$A$1:$I$89,5,0)</f>
        <v>384.22656479999995</v>
      </c>
      <c r="CV124" s="13">
        <f t="shared" si="95"/>
        <v>88.571394187215134</v>
      </c>
      <c r="CW124" s="20">
        <f t="shared" si="67"/>
        <v>823.45644523606632</v>
      </c>
      <c r="CX124" s="59">
        <f t="shared" si="68"/>
        <v>1116.7897785693997</v>
      </c>
      <c r="CY124" s="59">
        <f ca="1">AVERAGE(OFFSET($CX$3,0,0,'Données projet'!$E$13+1,1))-AVERAGE(OFFSET($H$3,0,0,'Données projet'!$E$13+1,1))</f>
        <v>473.48875234867705</v>
      </c>
      <c r="CZ124" s="59">
        <f t="shared" si="96"/>
        <v>322.74347070996379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61.994727692413875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61.994727692413875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300.80663531652721</v>
      </c>
      <c r="T125" s="59">
        <f t="shared" si="88"/>
        <v>306.01967513533549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40.510041268511564</v>
      </c>
      <c r="AA125" s="21">
        <f>EXP(-LN(2)/25)*AA124+(1-EXP(-LN(2)/25))/(LN(2)/25)*Calculateur!V125*Calculateur!X125*VLOOKUP('Données projet'!$B$9,Paramètres!$A$1:$I$89,3,0)*0.475*44/12</f>
        <v>15.360410599165805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55.870451867677367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349.5718186624772</v>
      </c>
      <c r="AO125" s="59">
        <f t="shared" si="90"/>
        <v>258.14152930815959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74.887961342378674</v>
      </c>
      <c r="AV125" s="21">
        <f>EXP(-LN(2)/25)*AV124+(1-EXP(-LN(2)/25))/(LN(2)/25)*Calculateur!AQ125*Calculateur!AS125*VLOOKUP('Données projet'!$B$10,Paramètres!$A$1:$I$89,3,0)*0.475*44/12</f>
        <v>25.198143124628132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100.08610446700681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349.5718186624772</v>
      </c>
      <c r="BJ125" s="59">
        <f t="shared" si="92"/>
        <v>258.14152930815959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74.887961342378674</v>
      </c>
      <c r="BQ125" s="21">
        <f>EXP(-LN(2)/25)*BQ124+(1-EXP(-LN(2)/25))/(LN(2)/25)*Calculateur!BL125*Calculateur!BN125*VLOOKUP('Données projet'!$B$11,Paramètres!$A$1:$I$89,3,0)*0.475*44/12</f>
        <v>25.198143124628132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100.08610446700681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-4.5474735088646412E-13</v>
      </c>
      <c r="BZ125" s="13">
        <f>BY125*VLOOKUP('Données projet'!$B$12,Paramètres!$A$1:$I$89,3,0)*VLOOKUP('Données projet'!$B$12,Paramètres!$A$1:$I$89,5,0)</f>
        <v>-2.1282176021486519E-13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356.22620301934836</v>
      </c>
      <c r="CE125" s="59">
        <f t="shared" si="94"/>
        <v>342.25495410715513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147.42129429050041</v>
      </c>
      <c r="CL125" s="21">
        <f>EXP(-LN(2)/25)*CL124+(1-EXP(-LN(2)/25))/(LN(2)/25)*Calculateur!CG125*Calculateur!CI125*VLOOKUP('Données projet'!$B$12,Paramètres!$A$1:$I$89,3,0)*0.475*44/12</f>
        <v>52.591502710956433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200.01279700145685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7.3920000000000012</v>
      </c>
      <c r="CT125" s="12">
        <f>IF('Données projet'!$A$140&gt;35,CT124+CS125-DB124,IF(A125&lt;'Données projet'!$A$140,$CQ$205^A125,IF(A125='Données projet'!$A$140,'Données projet'!$B$140,CT124+CS125-DB124)))</f>
        <v>344.78799999999995</v>
      </c>
      <c r="CU125" s="17">
        <f>CT125*VLOOKUP('Données projet'!$B$13,Paramètres!$A$1:$I$89,3,0)*VLOOKUP('Données projet'!$B$13,Paramètres!$A$1:$I$89,5,0)</f>
        <v>392.64457439999995</v>
      </c>
      <c r="CV125" s="13">
        <f t="shared" si="95"/>
        <v>90.28385862944242</v>
      </c>
      <c r="CW125" s="20">
        <f t="shared" si="67"/>
        <v>841.10035419294536</v>
      </c>
      <c r="CX125" s="59">
        <f t="shared" si="68"/>
        <v>1134.4336875262786</v>
      </c>
      <c r="CY125" s="59">
        <f ca="1">AVERAGE(OFFSET($CX$3,0,0,'Données projet'!$E$13+1,1))-AVERAGE(OFFSET($H$3,0,0,'Données projet'!$E$13+1,1))</f>
        <v>473.48875234867705</v>
      </c>
      <c r="CZ125" s="59">
        <f t="shared" si="96"/>
        <v>322.74347070996379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60.779048895415805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60.779048895415805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300.80663531652721</v>
      </c>
      <c r="T126" s="59">
        <f t="shared" si="88"/>
        <v>306.01967513533549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39.715664067921445</v>
      </c>
      <c r="AA126" s="21">
        <f>EXP(-LN(2)/25)*AA125+(1-EXP(-LN(2)/25))/(LN(2)/25)*Calculateur!V126*Calculateur!X126*VLOOKUP('Données projet'!$B$9,Paramètres!$A$1:$I$89,3,0)*0.475*44/12</f>
        <v>14.940379363562728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54.656043431484171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349.5718186624772</v>
      </c>
      <c r="AO126" s="59">
        <f t="shared" si="90"/>
        <v>258.14152930815959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73.419454097600806</v>
      </c>
      <c r="AV126" s="21">
        <f>EXP(-LN(2)/25)*AV125+(1-EXP(-LN(2)/25))/(LN(2)/25)*Calculateur!AQ126*Calculateur!AS126*VLOOKUP('Données projet'!$B$10,Paramètres!$A$1:$I$89,3,0)*0.475*44/12</f>
        <v>24.50909857577242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97.928552673373218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349.5718186624772</v>
      </c>
      <c r="BJ126" s="59">
        <f t="shared" si="92"/>
        <v>258.14152930815959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73.419454097600806</v>
      </c>
      <c r="BQ126" s="21">
        <f>EXP(-LN(2)/25)*BQ125+(1-EXP(-LN(2)/25))/(LN(2)/25)*Calculateur!BL126*Calculateur!BN126*VLOOKUP('Données projet'!$B$11,Paramètres!$A$1:$I$89,3,0)*0.475*44/12</f>
        <v>24.50909857577242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97.928552673373218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-4.5474735088646412E-13</v>
      </c>
      <c r="BZ126" s="13">
        <f>BY126*VLOOKUP('Données projet'!$B$12,Paramètres!$A$1:$I$89,3,0)*VLOOKUP('Données projet'!$B$12,Paramètres!$A$1:$I$89,5,0)</f>
        <v>-2.1282176021486519E-13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356.22620301934836</v>
      </c>
      <c r="CE126" s="59">
        <f t="shared" si="94"/>
        <v>342.25495410715513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144.53045262757453</v>
      </c>
      <c r="CL126" s="21">
        <f>EXP(-LN(2)/25)*CL125+(1-EXP(-LN(2)/25))/(LN(2)/25)*Calculateur!CG126*Calculateur!CI126*VLOOKUP('Données projet'!$B$12,Paramètres!$A$1:$I$89,3,0)*0.475*44/12</f>
        <v>51.153385303658403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195.68383793123294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352.18</v>
      </c>
      <c r="CR126" s="12">
        <f>VLOOKUP(A126,'Données projet'!$A$139:$I$159,9,0)</f>
        <v>7.3920000000000012</v>
      </c>
      <c r="CS126" s="12">
        <f t="array" ref="CS126">INDEX(CR:CR,MIN(IF(ISNUMBER(CR126:CR322),ROW(CR126:CR322),"")))</f>
        <v>7.3920000000000012</v>
      </c>
      <c r="CT126" s="12">
        <f>IF('Données projet'!$A$140&gt;35,CT125+CS126-DB125,IF(A126&lt;'Données projet'!$A$140,$CQ$205^A126,IF(A126='Données projet'!$A$140,'Données projet'!$B$140,CT125+CS126-DB125)))</f>
        <v>352.17999999999995</v>
      </c>
      <c r="CU126" s="17">
        <f>CT126*VLOOKUP('Données projet'!$B$13,Paramètres!$A$1:$I$89,3,0)*VLOOKUP('Données projet'!$B$13,Paramètres!$A$1:$I$89,5,0)</f>
        <v>401.06258399999996</v>
      </c>
      <c r="CV126" s="13">
        <f t="shared" si="95"/>
        <v>91.992054547530316</v>
      </c>
      <c r="CW126" s="20">
        <f t="shared" si="67"/>
        <v>858.73682880361514</v>
      </c>
      <c r="CX126" s="59">
        <f t="shared" si="68"/>
        <v>1152.0701621369485</v>
      </c>
      <c r="CY126" s="59">
        <f ca="1">AVERAGE(OFFSET($CX$3,0,0,'Données projet'!$E$13+1,1))-AVERAGE(OFFSET($H$3,0,0,'Données projet'!$E$13+1,1))</f>
        <v>473.48875234867705</v>
      </c>
      <c r="CZ126" s="59">
        <f t="shared" si="96"/>
        <v>322.74347070996379</v>
      </c>
      <c r="DA126" s="15">
        <f>IF(ISNA(VLOOKUP(A126,'Données projet'!$A$139:$I$159,3,0)),0,VLOOKUP(A126,'Données projet'!$A$139:$I$159,3,0))</f>
        <v>11</v>
      </c>
      <c r="DB126" s="15">
        <f>IF(ISNA(VLOOKUP(A126,'Données projet'!$A$139:$I$159,4,0)),0,VLOOKUP(A126,'Données projet'!$A$139:$I$159,4,0))</f>
        <v>175.3</v>
      </c>
      <c r="DC126" s="16">
        <f>IF(ISNA(VLOOKUP(A126,'Données projet'!$A$139:$I$159,5,0)),0%,VLOOKUP(A126,'Données projet'!$A$139:$I$159,5,0)*VLOOKUP('Données projet'!$B$13,Paramètres!$A$1:$I$89,7,0))</f>
        <v>0.25800000000000001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116.52441994623302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116.52441994623302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300.80663531652721</v>
      </c>
      <c r="T127" s="59">
        <f t="shared" si="88"/>
        <v>306.01967513533549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38.936864119712652</v>
      </c>
      <c r="AA127" s="21">
        <f>EXP(-LN(2)/25)*AA126+(1-EXP(-LN(2)/25))/(LN(2)/25)*Calculateur!V127*Calculateur!X127*VLOOKUP('Données projet'!$B$9,Paramètres!$A$1:$I$89,3,0)*0.475*44/12</f>
        <v>14.531833904185701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53.468698023898355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349.5718186624772</v>
      </c>
      <c r="AO127" s="59">
        <f t="shared" si="90"/>
        <v>258.14152930815959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71.979743384192048</v>
      </c>
      <c r="AV127" s="21">
        <f>EXP(-LN(2)/25)*AV126+(1-EXP(-LN(2)/25))/(LN(2)/25)*Calculateur!AQ127*Calculateur!AS127*VLOOKUP('Données projet'!$B$10,Paramètres!$A$1:$I$89,3,0)*0.475*44/12</f>
        <v>23.838895986340447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95.818639370532495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349.5718186624772</v>
      </c>
      <c r="BJ127" s="59">
        <f t="shared" si="92"/>
        <v>258.14152930815959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71.979743384192048</v>
      </c>
      <c r="BQ127" s="21">
        <f>EXP(-LN(2)/25)*BQ126+(1-EXP(-LN(2)/25))/(LN(2)/25)*Calculateur!BL127*Calculateur!BN127*VLOOKUP('Données projet'!$B$11,Paramètres!$A$1:$I$89,3,0)*0.475*44/12</f>
        <v>23.838895986340447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95.818639370532495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-4.5474735088646412E-13</v>
      </c>
      <c r="BZ127" s="13">
        <f>BY127*VLOOKUP('Données projet'!$B$12,Paramètres!$A$1:$I$89,3,0)*VLOOKUP('Données projet'!$B$12,Paramètres!$A$1:$I$89,5,0)</f>
        <v>-2.1282176021486519E-13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356.22620301934836</v>
      </c>
      <c r="CE127" s="59">
        <f t="shared" si="94"/>
        <v>342.25495410715513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141.69629860641933</v>
      </c>
      <c r="CL127" s="21">
        <f>EXP(-LN(2)/25)*CL126+(1-EXP(-LN(2)/25))/(LN(2)/25)*Calculateur!CG127*Calculateur!CI127*VLOOKUP('Données projet'!$B$12,Paramètres!$A$1:$I$89,3,0)*0.475*44/12</f>
        <v>49.754593292490242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191.45089189890956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4.085000000000008</v>
      </c>
      <c r="CT127" s="12">
        <f>IF('Données projet'!$A$140&gt;35,CT126+CS127-DB126,IF(A127&lt;'Données projet'!$A$140,$CQ$205^A127,IF(A127='Données projet'!$A$140,'Données projet'!$B$140,CT126+CS127-DB126)))</f>
        <v>180.96499999999997</v>
      </c>
      <c r="CU127" s="17">
        <f>CT127*VLOOKUP('Données projet'!$B$13,Paramètres!$A$1:$I$89,3,0)*VLOOKUP('Données projet'!$B$13,Paramètres!$A$1:$I$89,5,0)</f>
        <v>206.08294199999997</v>
      </c>
      <c r="CV127" s="13">
        <f t="shared" si="95"/>
        <v>51.078674224977618</v>
      </c>
      <c r="CW127" s="20">
        <f t="shared" si="67"/>
        <v>447.88981492516928</v>
      </c>
      <c r="CX127" s="59">
        <f t="shared" si="68"/>
        <v>741.22314825850253</v>
      </c>
      <c r="CY127" s="59">
        <f ca="1">AVERAGE(OFFSET($CX$3,0,0,'Données projet'!$E$13+1,1))-AVERAGE(OFFSET($H$3,0,0,'Données projet'!$E$13+1,1))</f>
        <v>473.48875234867705</v>
      </c>
      <c r="CZ127" s="59">
        <f t="shared" si="96"/>
        <v>322.74347070996379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114.23944714396569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114.23944714396569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300.80663531652721</v>
      </c>
      <c r="T128" s="59">
        <f t="shared" si="88"/>
        <v>306.01967513533549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38.173335963467167</v>
      </c>
      <c r="AA128" s="21">
        <f>EXP(-LN(2)/25)*AA127+(1-EXP(-LN(2)/25))/(LN(2)/25)*Calculateur!V128*Calculateur!X128*VLOOKUP('Données projet'!$B$9,Paramètres!$A$1:$I$89,3,0)*0.475*44/12</f>
        <v>14.134460141879812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52.307796105346981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349.5718186624772</v>
      </c>
      <c r="AO128" s="59">
        <f t="shared" si="90"/>
        <v>258.14152930815959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70.568264519736417</v>
      </c>
      <c r="AV128" s="21">
        <f>EXP(-LN(2)/25)*AV127+(1-EXP(-LN(2)/25))/(LN(2)/25)*Calculateur!AQ128*Calculateur!AS128*VLOOKUP('Données projet'!$B$10,Paramètres!$A$1:$I$89,3,0)*0.475*44/12</f>
        <v>23.187020121960913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93.75528464169733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349.5718186624772</v>
      </c>
      <c r="BJ128" s="59">
        <f t="shared" si="92"/>
        <v>258.14152930815959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70.568264519736417</v>
      </c>
      <c r="BQ128" s="21">
        <f>EXP(-LN(2)/25)*BQ127+(1-EXP(-LN(2)/25))/(LN(2)/25)*Calculateur!BL128*Calculateur!BN128*VLOOKUP('Données projet'!$B$11,Paramètres!$A$1:$I$89,3,0)*0.475*44/12</f>
        <v>23.187020121960913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93.75528464169733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-4.5474735088646412E-13</v>
      </c>
      <c r="BZ128" s="13">
        <f>BY128*VLOOKUP('Données projet'!$B$12,Paramètres!$A$1:$I$89,3,0)*VLOOKUP('Données projet'!$B$12,Paramètres!$A$1:$I$89,5,0)</f>
        <v>-2.1282176021486519E-13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356.22620301934836</v>
      </c>
      <c r="CE128" s="59">
        <f t="shared" si="94"/>
        <v>342.25495410715513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138.91772061695573</v>
      </c>
      <c r="CL128" s="21">
        <f>EXP(-LN(2)/25)*CL127+(1-EXP(-LN(2)/25))/(LN(2)/25)*Calculateur!CG128*Calculateur!CI128*VLOOKUP('Données projet'!$B$12,Paramètres!$A$1:$I$89,3,0)*0.475*44/12</f>
        <v>48.394051322426748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187.31177193938248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185.05</v>
      </c>
      <c r="CR128" s="12">
        <f>VLOOKUP(A128,'Données projet'!$A$139:$I$159,9,0)</f>
        <v>4.085000000000008</v>
      </c>
      <c r="CS128" s="12">
        <f t="array" ref="CS128">INDEX(CR:CR,MIN(IF(ISNUMBER(CR128:CR324),ROW(CR128:CR324),"")))</f>
        <v>4.085000000000008</v>
      </c>
      <c r="CT128" s="12">
        <f>IF('Données projet'!$A$140&gt;35,CT127+CS128-DB127,IF(A128&lt;'Données projet'!$A$140,$CQ$205^A128,IF(A128='Données projet'!$A$140,'Données projet'!$B$140,CT127+CS128-DB127)))</f>
        <v>185.04999999999998</v>
      </c>
      <c r="CU128" s="17">
        <f>CT128*VLOOKUP('Données projet'!$B$13,Paramètres!$A$1:$I$89,3,0)*VLOOKUP('Données projet'!$B$13,Paramètres!$A$1:$I$89,5,0)</f>
        <v>210.73493999999997</v>
      </c>
      <c r="CV128" s="13">
        <f t="shared" si="95"/>
        <v>52.096155909509967</v>
      </c>
      <c r="CW128" s="20">
        <f t="shared" si="67"/>
        <v>457.76415870906311</v>
      </c>
      <c r="CX128" s="59">
        <f t="shared" si="68"/>
        <v>751.09749204239642</v>
      </c>
      <c r="CY128" s="59">
        <f ca="1">AVERAGE(OFFSET($CX$3,0,0,'Données projet'!$E$13+1,1))-AVERAGE(OFFSET($H$3,0,0,'Données projet'!$E$13+1,1))</f>
        <v>473.48875234867705</v>
      </c>
      <c r="CZ128" s="59">
        <f t="shared" si="96"/>
        <v>322.74347070996379</v>
      </c>
      <c r="DA128" s="15">
        <f>IF(ISNA(VLOOKUP(A128,'Données projet'!$A$139:$I$159,3,0)),0,VLOOKUP(A128,'Données projet'!$A$139:$I$159,3,0))</f>
        <v>12</v>
      </c>
      <c r="DB128" s="15">
        <f>IF(ISNA(VLOOKUP(A128,'Données projet'!$A$139:$I$159,4,0)),0,VLOOKUP(A128,'Données projet'!$A$139:$I$159,4,0))</f>
        <v>60.7</v>
      </c>
      <c r="DC128" s="16">
        <f>IF(ISNA(VLOOKUP(A128,'Données projet'!$A$139:$I$159,5,0)),0%,VLOOKUP(A128,'Données projet'!$A$139:$I$159,5,0)*VLOOKUP('Données projet'!$B$13,Paramètres!$A$1:$I$89,7,0))</f>
        <v>0.25800000000000001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131.71456201465782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131.71456201465782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300.80663531652721</v>
      </c>
      <c r="T129" s="59">
        <f t="shared" si="88"/>
        <v>306.01967513533549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37.424780128659464</v>
      </c>
      <c r="AA129" s="21">
        <f>EXP(-LN(2)/25)*AA128+(1-EXP(-LN(2)/25))/(LN(2)/25)*Calculateur!V129*Calculateur!X129*VLOOKUP('Données projet'!$B$9,Paramètres!$A$1:$I$89,3,0)*0.475*44/12</f>
        <v>13.747952586001155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51.172732714660619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349.5718186624772</v>
      </c>
      <c r="AO129" s="59">
        <f t="shared" si="90"/>
        <v>258.14152930815959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69.184463894895657</v>
      </c>
      <c r="AV129" s="21">
        <f>EXP(-LN(2)/25)*AV128+(1-EXP(-LN(2)/25))/(LN(2)/25)*Calculateur!AQ129*Calculateur!AS129*VLOOKUP('Données projet'!$B$10,Paramètres!$A$1:$I$89,3,0)*0.475*44/12</f>
        <v>22.552969837373499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91.737433732269153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349.5718186624772</v>
      </c>
      <c r="BJ129" s="59">
        <f t="shared" si="92"/>
        <v>258.14152930815959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69.184463894895657</v>
      </c>
      <c r="BQ129" s="21">
        <f>EXP(-LN(2)/25)*BQ128+(1-EXP(-LN(2)/25))/(LN(2)/25)*Calculateur!BL129*Calculateur!BN129*VLOOKUP('Données projet'!$B$11,Paramètres!$A$1:$I$89,3,0)*0.475*44/12</f>
        <v>22.552969837373499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91.737433732269153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-4.5474735088646412E-13</v>
      </c>
      <c r="BZ129" s="13">
        <f>BY129*VLOOKUP('Données projet'!$B$12,Paramètres!$A$1:$I$89,3,0)*VLOOKUP('Données projet'!$B$12,Paramètres!$A$1:$I$89,5,0)</f>
        <v>-2.1282176021486519E-13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356.22620301934836</v>
      </c>
      <c r="CE129" s="59">
        <f t="shared" si="94"/>
        <v>342.25495410715513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136.19362884710029</v>
      </c>
      <c r="CL129" s="21">
        <f>EXP(-LN(2)/25)*CL128+(1-EXP(-LN(2)/25))/(LN(2)/25)*Calculateur!CG129*Calculateur!CI129*VLOOKUP('Données projet'!$B$12,Paramètres!$A$1:$I$89,3,0)*0.475*44/12</f>
        <v>47.070713444082436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183.26434229118271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2.7899999999999991</v>
      </c>
      <c r="CT129" s="12">
        <f>IF('Données projet'!$A$140&gt;35,CT128+CS129-DB128,IF(A129&lt;'Données projet'!$A$140,$CQ$205^A129,IF(A129='Données projet'!$A$140,'Données projet'!$B$140,CT128+CS129-DB128)))</f>
        <v>127.13999999999997</v>
      </c>
      <c r="CU129" s="17">
        <f>CT129*VLOOKUP('Données projet'!$B$13,Paramètres!$A$1:$I$89,3,0)*VLOOKUP('Données projet'!$B$13,Paramètres!$A$1:$I$89,5,0)</f>
        <v>144.78703199999995</v>
      </c>
      <c r="CV129" s="13">
        <f t="shared" si="95"/>
        <v>37.391492223320419</v>
      </c>
      <c r="CW129" s="20">
        <f t="shared" si="67"/>
        <v>317.29426302228302</v>
      </c>
      <c r="CX129" s="59">
        <f t="shared" si="68"/>
        <v>610.62759635561633</v>
      </c>
      <c r="CY129" s="59">
        <f ca="1">AVERAGE(OFFSET($CX$3,0,0,'Données projet'!$E$13+1,1))-AVERAGE(OFFSET($H$3,0,0,'Données projet'!$E$13+1,1))</f>
        <v>473.48875234867705</v>
      </c>
      <c r="CZ129" s="59">
        <f t="shared" si="96"/>
        <v>322.74347070996379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129.1317197915005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129.1317197915005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300.80663531652721</v>
      </c>
      <c r="T130" s="59">
        <f t="shared" si="88"/>
        <v>306.01967513533549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36.690903017198366</v>
      </c>
      <c r="AA130" s="21">
        <f>EXP(-LN(2)/25)*AA129+(1-EXP(-LN(2)/25))/(LN(2)/25)*Calculateur!V130*Calculateur!X130*VLOOKUP('Données projet'!$B$9,Paramètres!$A$1:$I$89,3,0)*0.475*44/12</f>
        <v>13.372014099563549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50.062917116761916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349.5718186624772</v>
      </c>
      <c r="AO130" s="59">
        <f t="shared" si="90"/>
        <v>258.14152930815959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67.827798756272983</v>
      </c>
      <c r="AV130" s="21">
        <f>EXP(-LN(2)/25)*AV129+(1-EXP(-LN(2)/25))/(LN(2)/25)*Calculateur!AQ130*Calculateur!AS130*VLOOKUP('Données projet'!$B$10,Paramètres!$A$1:$I$89,3,0)*0.475*44/12</f>
        <v>21.936257691161384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89.764056447434371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349.5718186624772</v>
      </c>
      <c r="BJ130" s="59">
        <f t="shared" si="92"/>
        <v>258.14152930815959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67.827798756272983</v>
      </c>
      <c r="BQ130" s="21">
        <f>EXP(-LN(2)/25)*BQ129+(1-EXP(-LN(2)/25))/(LN(2)/25)*Calculateur!BL130*Calculateur!BN130*VLOOKUP('Données projet'!$B$11,Paramètres!$A$1:$I$89,3,0)*0.475*44/12</f>
        <v>21.936257691161384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89.764056447434371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-4.5474735088646412E-13</v>
      </c>
      <c r="BZ130" s="13">
        <f>BY130*VLOOKUP('Données projet'!$B$12,Paramètres!$A$1:$I$89,3,0)*VLOOKUP('Données projet'!$B$12,Paramètres!$A$1:$I$89,5,0)</f>
        <v>-2.1282176021486519E-13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356.22620301934836</v>
      </c>
      <c r="CE130" s="59">
        <f t="shared" si="94"/>
        <v>342.25495410715513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133.52295485531977</v>
      </c>
      <c r="CL130" s="21">
        <f>EXP(-LN(2)/25)*CL129+(1-EXP(-LN(2)/25))/(LN(2)/25)*Calculateur!CG130*Calculateur!CI130*VLOOKUP('Données projet'!$B$12,Paramètres!$A$1:$I$89,3,0)*0.475*44/12</f>
        <v>45.783562309612762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179.30651716493253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129.93</v>
      </c>
      <c r="CR130" s="12">
        <f>VLOOKUP(A130,'Données projet'!$A$139:$I$159,9,0)</f>
        <v>2.7899999999999991</v>
      </c>
      <c r="CS130" s="12">
        <f t="array" ref="CS130">INDEX(CR:CR,MIN(IF(ISNUMBER(CR130:CR326),ROW(CR130:CR326),"")))</f>
        <v>2.7899999999999991</v>
      </c>
      <c r="CT130" s="12">
        <f>IF('Données projet'!$A$140&gt;35,CT129+CS130-DB129,IF(A130&lt;'Données projet'!$A$140,$CQ$205^A130,IF(A130='Données projet'!$A$140,'Données projet'!$B$140,CT129+CS130-DB129)))</f>
        <v>129.92999999999998</v>
      </c>
      <c r="CU130" s="17">
        <f>CT130*VLOOKUP('Données projet'!$B$13,Paramètres!$A$1:$I$89,3,0)*VLOOKUP('Données projet'!$B$13,Paramètres!$A$1:$I$89,5,0)</f>
        <v>147.96428399999999</v>
      </c>
      <c r="CV130" s="13">
        <f t="shared" si="95"/>
        <v>38.115594589159493</v>
      </c>
      <c r="CW130" s="20">
        <f t="shared" si="67"/>
        <v>324.08912187611941</v>
      </c>
      <c r="CX130" s="59">
        <f t="shared" si="68"/>
        <v>617.42245520945266</v>
      </c>
      <c r="CY130" s="59">
        <f ca="1">AVERAGE(OFFSET($CX$3,0,0,'Données projet'!$E$13+1,1))-AVERAGE(OFFSET($H$3,0,0,'Données projet'!$E$13+1,1))</f>
        <v>473.48875234867705</v>
      </c>
      <c r="CZ130" s="59">
        <f t="shared" si="96"/>
        <v>322.74347070996379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39.56</v>
      </c>
      <c r="DC130" s="16">
        <f>IF(ISNA(VLOOKUP(A130,'Données projet'!$A$139:$I$159,5,0)),0%,VLOOKUP(A130,'Données projet'!$A$139:$I$159,5,0)*VLOOKUP('Données projet'!$B$13,Paramètres!$A$1:$I$89,7,0))</f>
        <v>0.25800000000000001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139.44856187937478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139.44856187937478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300.80663531652721</v>
      </c>
      <c r="T131" s="59">
        <f t="shared" si="88"/>
        <v>306.01967513533549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35.97141678827218</v>
      </c>
      <c r="AA131" s="21">
        <f>EXP(-LN(2)/25)*AA130+(1-EXP(-LN(2)/25))/(LN(2)/25)*Calculateur!V131*Calculateur!X131*VLOOKUP('Données projet'!$B$9,Paramètres!$A$1:$I$89,3,0)*0.475*44/12</f>
        <v>13.006355670807324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48.977772459079503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349.5718186624772</v>
      </c>
      <c r="AO131" s="59">
        <f t="shared" si="90"/>
        <v>258.14152930815959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66.497736993534673</v>
      </c>
      <c r="AV131" s="21">
        <f>EXP(-LN(2)/25)*AV130+(1-EXP(-LN(2)/25))/(LN(2)/25)*Calculateur!AQ131*Calculateur!AS131*VLOOKUP('Données projet'!$B$10,Paramètres!$A$1:$I$89,3,0)*0.475*44/12</f>
        <v>21.336409571018919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87.834146564553592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349.5718186624772</v>
      </c>
      <c r="BJ131" s="59">
        <f t="shared" si="92"/>
        <v>258.14152930815959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66.497736993534673</v>
      </c>
      <c r="BQ131" s="21">
        <f>EXP(-LN(2)/25)*BQ130+(1-EXP(-LN(2)/25))/(LN(2)/25)*Calculateur!BL131*Calculateur!BN131*VLOOKUP('Données projet'!$B$11,Paramètres!$A$1:$I$89,3,0)*0.475*44/12</f>
        <v>21.336409571018919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87.834146564553592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-4.5474735088646412E-13</v>
      </c>
      <c r="BZ131" s="13">
        <f>BY131*VLOOKUP('Données projet'!$B$12,Paramètres!$A$1:$I$89,3,0)*VLOOKUP('Données projet'!$B$12,Paramètres!$A$1:$I$89,5,0)</f>
        <v>-2.1282176021486519E-13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356.22620301934836</v>
      </c>
      <c r="CE131" s="59">
        <f t="shared" si="94"/>
        <v>342.25495410715513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130.90465115156778</v>
      </c>
      <c r="CL131" s="21">
        <f>EXP(-LN(2)/25)*CL130+(1-EXP(-LN(2)/25))/(LN(2)/25)*Calculateur!CG131*Calculateur!CI131*VLOOKUP('Données projet'!$B$12,Paramètres!$A$1:$I$89,3,0)*0.475*44/12</f>
        <v>44.531608390603502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175.43625954217129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2.0666666666666629</v>
      </c>
      <c r="CT131" s="12">
        <f>IF('Données projet'!$A$140&gt;35,CT130+CS131-DB130,IF(A131&lt;'Données projet'!$A$140,$CQ$205^A131,IF(A131='Données projet'!$A$140,'Données projet'!$B$140,CT130+CS131-DB130)))</f>
        <v>92.436666666666639</v>
      </c>
      <c r="CU131" s="17">
        <f>CT131*VLOOKUP('Données projet'!$B$13,Paramètres!$A$1:$I$89,3,0)*VLOOKUP('Données projet'!$B$13,Paramètres!$A$1:$I$89,5,0)</f>
        <v>105.26687599999997</v>
      </c>
      <c r="CV131" s="13">
        <f t="shared" si="95"/>
        <v>28.212985233337655</v>
      </c>
      <c r="CW131" s="20">
        <f t="shared" si="67"/>
        <v>232.47742498139635</v>
      </c>
      <c r="CX131" s="59">
        <f t="shared" si="68"/>
        <v>525.8107583147297</v>
      </c>
      <c r="CY131" s="59">
        <f ca="1">AVERAGE(OFFSET($CX$3,0,0,'Données projet'!$E$13+1,1))-AVERAGE(OFFSET($H$3,0,0,'Données projet'!$E$13+1,1))</f>
        <v>473.48875234867705</v>
      </c>
      <c r="CZ131" s="59">
        <f t="shared" si="96"/>
        <v>322.74347070996379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136.71406063614447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136.71406063614447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300.80663531652721</v>
      </c>
      <c r="T132" s="59">
        <f t="shared" si="88"/>
        <v>306.01967513533549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35.266039245451971</v>
      </c>
      <c r="AA132" s="21">
        <f>EXP(-LN(2)/25)*AA131+(1-EXP(-LN(2)/25))/(LN(2)/25)*Calculateur!V132*Calculateur!X132*VLOOKUP('Données projet'!$B$9,Paramètres!$A$1:$I$89,3,0)*0.475*44/12</f>
        <v>12.650696191014578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47.916735436466553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349.5718186624772</v>
      </c>
      <c r="AO132" s="59">
        <f t="shared" si="90"/>
        <v>258.14152930815959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65.193756930706101</v>
      </c>
      <c r="AV132" s="21">
        <f>EXP(-LN(2)/25)*AV131+(1-EXP(-LN(2)/25))/(LN(2)/25)*Calculateur!AQ132*Calculateur!AS132*VLOOKUP('Données projet'!$B$10,Paramètres!$A$1:$I$89,3,0)*0.475*44/12</f>
        <v>20.752964329266394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85.946721259972492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349.5718186624772</v>
      </c>
      <c r="BJ132" s="59">
        <f t="shared" si="92"/>
        <v>258.14152930815959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65.193756930706101</v>
      </c>
      <c r="BQ132" s="21">
        <f>EXP(-LN(2)/25)*BQ131+(1-EXP(-LN(2)/25))/(LN(2)/25)*Calculateur!BL132*Calculateur!BN132*VLOOKUP('Données projet'!$B$11,Paramètres!$A$1:$I$89,3,0)*0.475*44/12</f>
        <v>20.752964329266394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85.946721259972492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-4.5474735088646412E-13</v>
      </c>
      <c r="BZ132" s="13">
        <f>BY132*VLOOKUP('Données projet'!$B$12,Paramètres!$A$1:$I$89,3,0)*VLOOKUP('Données projet'!$B$12,Paramètres!$A$1:$I$89,5,0)</f>
        <v>-2.1282176021486519E-13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356.22620301934836</v>
      </c>
      <c r="CE132" s="59">
        <f t="shared" si="94"/>
        <v>342.25495410715513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128.3376907864388</v>
      </c>
      <c r="CL132" s="21">
        <f>EXP(-LN(2)/25)*CL131+(1-EXP(-LN(2)/25))/(LN(2)/25)*Calculateur!CG132*Calculateur!CI132*VLOOKUP('Données projet'!$B$12,Paramètres!$A$1:$I$89,3,0)*0.475*44/12</f>
        <v>43.31388921734694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171.65158000378574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2.0666666666666629</v>
      </c>
      <c r="CT132" s="12">
        <f>IF('Données projet'!$A$140&gt;35,CT131+CS132-DB131,IF(A132&lt;'Données projet'!$A$140,$CQ$205^A132,IF(A132='Données projet'!$A$140,'Données projet'!$B$140,CT131+CS132-DB131)))</f>
        <v>94.503333333333302</v>
      </c>
      <c r="CU132" s="17">
        <f>CT132*VLOOKUP('Données projet'!$B$13,Paramètres!$A$1:$I$89,3,0)*VLOOKUP('Données projet'!$B$13,Paramètres!$A$1:$I$89,5,0)</f>
        <v>107.62039599999997</v>
      </c>
      <c r="CV132" s="13">
        <f t="shared" si="95"/>
        <v>28.769619683987855</v>
      </c>
      <c r="CW132" s="20">
        <f t="shared" ref="CW132:CW153" si="121">(CU132+CV132)*0.475*44/12</f>
        <v>237.54594398294546</v>
      </c>
      <c r="CX132" s="59">
        <f t="shared" ref="CX132:CX195" si="122">CW132+(CO132+CP132)*44/12</f>
        <v>530.87927731627883</v>
      </c>
      <c r="CY132" s="59">
        <f ca="1">AVERAGE(OFFSET($CX$3,0,0,'Données projet'!$E$13+1,1))-AVERAGE(OFFSET($H$3,0,0,'Données projet'!$E$13+1,1))</f>
        <v>473.48875234867705</v>
      </c>
      <c r="CZ132" s="59">
        <f t="shared" si="96"/>
        <v>322.74347070996379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134.03318129441286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134.03318129441286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300.80663531652721</v>
      </c>
      <c r="T133" s="59">
        <f t="shared" ref="T133:T196" si="142">$T$3</f>
        <v>306.01967513533549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34.574493726008647</v>
      </c>
      <c r="AA133" s="21">
        <f>EXP(-LN(2)/25)*AA132+(1-EXP(-LN(2)/25))/(LN(2)/25)*Calculateur!V133*Calculateur!X133*VLOOKUP('Données projet'!$B$9,Paramètres!$A$1:$I$89,3,0)*0.475*44/12</f>
        <v>12.304762238400086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46.879255964408735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349.5718186624772</v>
      </c>
      <c r="AO133" s="59">
        <f t="shared" ref="AO133:AO196" si="144">$AO$3</f>
        <v>258.14152930815959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63.915347121560288</v>
      </c>
      <c r="AV133" s="21">
        <f>EXP(-LN(2)/25)*AV132+(1-EXP(-LN(2)/25))/(LN(2)/25)*Calculateur!AQ133*Calculateur!AS133*VLOOKUP('Données projet'!$B$10,Paramètres!$A$1:$I$89,3,0)*0.475*44/12</f>
        <v>20.18547342833164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84.100820549891921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349.5718186624772</v>
      </c>
      <c r="BJ133" s="59">
        <f t="shared" ref="BJ133:BJ196" si="146">$BJ$3</f>
        <v>258.14152930815959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63.915347121560288</v>
      </c>
      <c r="BQ133" s="21">
        <f>EXP(-LN(2)/25)*BQ132+(1-EXP(-LN(2)/25))/(LN(2)/25)*Calculateur!BL133*Calculateur!BN133*VLOOKUP('Données projet'!$B$11,Paramètres!$A$1:$I$89,3,0)*0.475*44/12</f>
        <v>20.18547342833164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84.100820549891921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-4.5474735088646412E-13</v>
      </c>
      <c r="BZ133" s="13">
        <f>BY133*VLOOKUP('Données projet'!$B$12,Paramètres!$A$1:$I$89,3,0)*VLOOKUP('Données projet'!$B$12,Paramètres!$A$1:$I$89,5,0)</f>
        <v>-2.1282176021486519E-13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356.22620301934836</v>
      </c>
      <c r="CE133" s="59">
        <f t="shared" ref="CE133:CE196" si="148">$CE$3</f>
        <v>342.25495410715513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125.82106694837877</v>
      </c>
      <c r="CL133" s="21">
        <f>EXP(-LN(2)/25)*CL132+(1-EXP(-LN(2)/25))/(LN(2)/25)*Calculateur!CG133*Calculateur!CI133*VLOOKUP('Données projet'!$B$12,Paramètres!$A$1:$I$89,3,0)*0.475*44/12</f>
        <v>42.129468638920152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167.95053558729893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96.57</v>
      </c>
      <c r="CR133" s="12">
        <f>VLOOKUP(A133,'Données projet'!$A$139:$I$159,9,0)</f>
        <v>2.0666666666666629</v>
      </c>
      <c r="CS133" s="12">
        <f t="array" ref="CS133">INDEX(CR:CR,MIN(IF(ISNUMBER(CR133:CR329),ROW(CR133:CR329),"")))</f>
        <v>2.0666666666666629</v>
      </c>
      <c r="CT133" s="12">
        <f>IF('Données projet'!$A$140&gt;35,CT132+CS133-DB132,IF(A133&lt;'Données projet'!$A$140,$CQ$205^A133,IF(A133='Données projet'!$A$140,'Données projet'!$B$140,CT132+CS133-DB132)))</f>
        <v>96.569999999999965</v>
      </c>
      <c r="CU133" s="17">
        <f>CT133*VLOOKUP('Données projet'!$B$13,Paramètres!$A$1:$I$89,3,0)*VLOOKUP('Données projet'!$B$13,Paramètres!$A$1:$I$89,5,0)</f>
        <v>109.97391599999996</v>
      </c>
      <c r="CV133" s="13">
        <f t="shared" ref="CV133:CV153" si="149">EXP(-1.0587+0.8836*LN(CU133)+0.284)</f>
        <v>29.324838893889677</v>
      </c>
      <c r="CW133" s="20">
        <f t="shared" si="121"/>
        <v>242.61199810685775</v>
      </c>
      <c r="CX133" s="59">
        <f t="shared" si="122"/>
        <v>535.94533144019101</v>
      </c>
      <c r="CY133" s="59">
        <f ca="1">AVERAGE(OFFSET($CX$3,0,0,'Données projet'!$E$13+1,1))-AVERAGE(OFFSET($H$3,0,0,'Données projet'!$E$13+1,1))</f>
        <v>473.48875234867705</v>
      </c>
      <c r="CZ133" s="59">
        <f t="shared" ref="CZ133:CZ196" si="150">$CZ$3</f>
        <v>322.74347070996379</v>
      </c>
      <c r="DA133" s="15">
        <f>IF(ISNA(VLOOKUP(A133,'Données projet'!$A$139:$I$159,3,0)),0,VLOOKUP(A133,'Données projet'!$A$139:$I$159,3,0))</f>
        <v>14</v>
      </c>
      <c r="DB133" s="15">
        <f>IF(ISNA(VLOOKUP(A133,'Données projet'!$A$139:$I$159,4,0)),0,VLOOKUP(A133,'Données projet'!$A$139:$I$159,4,0))</f>
        <v>96.57</v>
      </c>
      <c r="DC133" s="16">
        <f>IF(ISNA(VLOOKUP(A133,'Données projet'!$A$139:$I$159,5,0)),0%,VLOOKUP(A133,'Données projet'!$A$139:$I$159,5,0)*VLOOKUP('Données projet'!$B$13,Paramètres!$A$1:$I$89,7,0))</f>
        <v>0.25800000000000001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162.7706822794828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162.7706822794828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300.80663531652721</v>
      </c>
      <c r="T134" s="59">
        <f t="shared" si="142"/>
        <v>306.01967513533549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33.896508992400491</v>
      </c>
      <c r="AA134" s="21">
        <f>EXP(-LN(2)/25)*AA133+(1-EXP(-LN(2)/25))/(LN(2)/25)*Calculateur!V134*Calculateur!X134*VLOOKUP('Données projet'!$B$9,Paramètres!$A$1:$I$89,3,0)*0.475*44/12</f>
        <v>11.968287867911712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45.864796860312204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349.5718186624772</v>
      </c>
      <c r="AO134" s="59">
        <f t="shared" si="144"/>
        <v>258.14152930815959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62.662006149018836</v>
      </c>
      <c r="AV134" s="21">
        <f>EXP(-LN(2)/25)*AV133+(1-EXP(-LN(2)/25))/(LN(2)/25)*Calculateur!AQ134*Calculateur!AS134*VLOOKUP('Données projet'!$B$10,Paramètres!$A$1:$I$89,3,0)*0.475*44/12</f>
        <v>19.633500595925998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82.295506744944831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349.5718186624772</v>
      </c>
      <c r="BJ134" s="59">
        <f t="shared" si="146"/>
        <v>258.14152930815959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62.662006149018836</v>
      </c>
      <c r="BQ134" s="21">
        <f>EXP(-LN(2)/25)*BQ133+(1-EXP(-LN(2)/25))/(LN(2)/25)*Calculateur!BL134*Calculateur!BN134*VLOOKUP('Données projet'!$B$11,Paramètres!$A$1:$I$89,3,0)*0.475*44/12</f>
        <v>19.633500595925998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82.295506744944831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-4.5474735088646412E-13</v>
      </c>
      <c r="BZ134" s="13">
        <f>BY134*VLOOKUP('Données projet'!$B$12,Paramètres!$A$1:$I$89,3,0)*VLOOKUP('Données projet'!$B$12,Paramètres!$A$1:$I$89,5,0)</f>
        <v>-2.1282176021486519E-13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356.22620301934836</v>
      </c>
      <c r="CE134" s="59">
        <f t="shared" si="148"/>
        <v>342.25495410715513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123.35379256879413</v>
      </c>
      <c r="CL134" s="21">
        <f>EXP(-LN(2)/25)*CL133+(1-EXP(-LN(2)/25))/(LN(2)/25)*Calculateur!CG134*Calculateur!CI134*VLOOKUP('Données projet'!$B$12,Paramètres!$A$1:$I$89,3,0)*0.475*44/12</f>
        <v>40.977436103496416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164.33122867229054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-2.8421709430404007E-14</v>
      </c>
      <c r="CU134" s="17">
        <f>CT134*VLOOKUP('Données projet'!$B$13,Paramètres!$A$1:$I$89,3,0)*VLOOKUP('Données projet'!$B$13,Paramètres!$A$1:$I$89,5,0)</f>
        <v>-3.2366642699344085E-14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473.48875234867705</v>
      </c>
      <c r="CZ134" s="59">
        <f t="shared" si="150"/>
        <v>322.74347070996379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159.57884848029522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159.57884848029522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300.80663531652721</v>
      </c>
      <c r="T135" s="59">
        <f t="shared" si="142"/>
        <v>306.01967513533549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33.231819125888535</v>
      </c>
      <c r="AA135" s="21">
        <f>EXP(-LN(2)/25)*AA134+(1-EXP(-LN(2)/25))/(LN(2)/25)*Calculateur!V135*Calculateur!X135*VLOOKUP('Données projet'!$B$9,Paramètres!$A$1:$I$89,3,0)*0.475*44/12</f>
        <v>11.641014406778762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44.8728335326673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349.5718186624772</v>
      </c>
      <c r="AO135" s="59">
        <f t="shared" si="144"/>
        <v>258.14152930815959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61.433242428486409</v>
      </c>
      <c r="AV135" s="21">
        <f>EXP(-LN(2)/25)*AV134+(1-EXP(-LN(2)/25))/(LN(2)/25)*Calculateur!AQ135*Calculateur!AS135*VLOOKUP('Données projet'!$B$10,Paramètres!$A$1:$I$89,3,0)*0.475*44/12</f>
        <v>19.096621489649479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80.529863918135888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349.5718186624772</v>
      </c>
      <c r="BJ135" s="59">
        <f t="shared" si="146"/>
        <v>258.14152930815959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61.433242428486409</v>
      </c>
      <c r="BQ135" s="21">
        <f>EXP(-LN(2)/25)*BQ134+(1-EXP(-LN(2)/25))/(LN(2)/25)*Calculateur!BL135*Calculateur!BN135*VLOOKUP('Données projet'!$B$11,Paramètres!$A$1:$I$89,3,0)*0.475*44/12</f>
        <v>19.096621489649479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80.529863918135888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-4.5474735088646412E-13</v>
      </c>
      <c r="BZ135" s="13">
        <f>BY135*VLOOKUP('Données projet'!$B$12,Paramètres!$A$1:$I$89,3,0)*VLOOKUP('Données projet'!$B$12,Paramètres!$A$1:$I$89,5,0)</f>
        <v>-2.1282176021486519E-13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356.22620301934836</v>
      </c>
      <c r="CE135" s="59">
        <f t="shared" si="148"/>
        <v>342.25495410715513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120.93489993490438</v>
      </c>
      <c r="CL135" s="21">
        <f>EXP(-LN(2)/25)*CL134+(1-EXP(-LN(2)/25))/(LN(2)/25)*Calculateur!CG135*Calculateur!CI135*VLOOKUP('Données projet'!$B$12,Paramètres!$A$1:$I$89,3,0)*0.475*44/12</f>
        <v>39.856905958336597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160.79180589324096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-2.8421709430404007E-14</v>
      </c>
      <c r="CU135" s="17">
        <f>CT135*VLOOKUP('Données projet'!$B$13,Paramètres!$A$1:$I$89,3,0)*VLOOKUP('Données projet'!$B$13,Paramètres!$A$1:$I$89,5,0)</f>
        <v>-3.2366642699344085E-14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473.48875234867705</v>
      </c>
      <c r="CZ135" s="59">
        <f t="shared" si="150"/>
        <v>322.74347070996379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156.44960459508331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156.44960459508331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300.80663531652721</v>
      </c>
      <c r="T136" s="59">
        <f t="shared" si="142"/>
        <v>306.01967513533549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32.580163422238087</v>
      </c>
      <c r="AA136" s="21">
        <f>EXP(-LN(2)/25)*AA135+(1-EXP(-LN(2)/25))/(LN(2)/25)*Calculateur!V136*Calculateur!X136*VLOOKUP('Données projet'!$B$9,Paramètres!$A$1:$I$89,3,0)*0.475*44/12</f>
        <v>11.322690255651056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43.902853677889141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349.5718186624772</v>
      </c>
      <c r="AO136" s="59">
        <f t="shared" si="144"/>
        <v>258.14152930815959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60.228574015041758</v>
      </c>
      <c r="AV136" s="21">
        <f>EXP(-LN(2)/25)*AV135+(1-EXP(-LN(2)/25))/(LN(2)/25)*Calculateur!AQ136*Calculateur!AS136*VLOOKUP('Données projet'!$B$10,Paramètres!$A$1:$I$89,3,0)*0.475*44/12</f>
        <v>18.574423370767335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78.802997385809093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349.5718186624772</v>
      </c>
      <c r="BJ136" s="59">
        <f t="shared" si="146"/>
        <v>258.14152930815959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60.228574015041758</v>
      </c>
      <c r="BQ136" s="21">
        <f>EXP(-LN(2)/25)*BQ135+(1-EXP(-LN(2)/25))/(LN(2)/25)*Calculateur!BL136*Calculateur!BN136*VLOOKUP('Données projet'!$B$11,Paramètres!$A$1:$I$89,3,0)*0.475*44/12</f>
        <v>18.574423370767335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78.802997385809093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-4.5474735088646412E-13</v>
      </c>
      <c r="BZ136" s="13">
        <f>BY136*VLOOKUP('Données projet'!$B$12,Paramètres!$A$1:$I$89,3,0)*VLOOKUP('Données projet'!$B$12,Paramètres!$A$1:$I$89,5,0)</f>
        <v>-2.1282176021486519E-13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356.22620301934836</v>
      </c>
      <c r="CE136" s="59">
        <f t="shared" si="148"/>
        <v>342.25495410715513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118.56344031018638</v>
      </c>
      <c r="CL136" s="21">
        <f>EXP(-LN(2)/25)*CL135+(1-EXP(-LN(2)/25))/(LN(2)/25)*Calculateur!CG136*Calculateur!CI136*VLOOKUP('Données projet'!$B$12,Paramètres!$A$1:$I$89,3,0)*0.475*44/12</f>
        <v>38.767016768922289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157.33045707910867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-2.8421709430404007E-14</v>
      </c>
      <c r="CU136" s="17">
        <f>CT136*VLOOKUP('Données projet'!$B$13,Paramètres!$A$1:$I$89,3,0)*VLOOKUP('Données projet'!$B$13,Paramètres!$A$1:$I$89,5,0)</f>
        <v>-3.2366642699344085E-14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473.48875234867705</v>
      </c>
      <c r="CZ136" s="59">
        <f t="shared" si="150"/>
        <v>322.74347070996379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153.38172327381011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153.38172327381011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300.80663531652721</v>
      </c>
      <c r="T137" s="59">
        <f t="shared" si="142"/>
        <v>306.01967513533549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31.941286289465495</v>
      </c>
      <c r="AA137" s="21">
        <f>EXP(-LN(2)/25)*AA136+(1-EXP(-LN(2)/25))/(LN(2)/25)*Calculateur!V137*Calculateur!X137*VLOOKUP('Données projet'!$B$9,Paramètres!$A$1:$I$89,3,0)*0.475*44/12</f>
        <v>11.013070695175875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42.954356984641372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349.5718186624772</v>
      </c>
      <c r="AO137" s="59">
        <f t="shared" si="144"/>
        <v>258.14152930815959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59.047528414409577</v>
      </c>
      <c r="AV137" s="21">
        <f>EXP(-LN(2)/25)*AV136+(1-EXP(-LN(2)/25))/(LN(2)/25)*Calculateur!AQ137*Calculateur!AS137*VLOOKUP('Données projet'!$B$10,Paramètres!$A$1:$I$89,3,0)*0.475*44/12</f>
        <v>18.066504786907227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77.114033201316801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349.5718186624772</v>
      </c>
      <c r="BJ137" s="59">
        <f t="shared" si="146"/>
        <v>258.14152930815959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59.047528414409577</v>
      </c>
      <c r="BQ137" s="21">
        <f>EXP(-LN(2)/25)*BQ136+(1-EXP(-LN(2)/25))/(LN(2)/25)*Calculateur!BL137*Calculateur!BN137*VLOOKUP('Données projet'!$B$11,Paramètres!$A$1:$I$89,3,0)*0.475*44/12</f>
        <v>18.066504786907227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77.114033201316801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-4.5474735088646412E-13</v>
      </c>
      <c r="BZ137" s="13">
        <f>BY137*VLOOKUP('Données projet'!$B$12,Paramètres!$A$1:$I$89,3,0)*VLOOKUP('Données projet'!$B$12,Paramètres!$A$1:$I$89,5,0)</f>
        <v>-2.1282176021486519E-13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356.22620301934836</v>
      </c>
      <c r="CE137" s="59">
        <f t="shared" si="148"/>
        <v>342.25495410715513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116.23848356226155</v>
      </c>
      <c r="CL137" s="21">
        <f>EXP(-LN(2)/25)*CL136+(1-EXP(-LN(2)/25))/(LN(2)/25)*Calculateur!CG137*Calculateur!CI137*VLOOKUP('Données projet'!$B$12,Paramètres!$A$1:$I$89,3,0)*0.475*44/12</f>
        <v>37.7069306567073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153.94541421896884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-2.8421709430404007E-14</v>
      </c>
      <c r="CU137" s="17">
        <f>CT137*VLOOKUP('Données projet'!$B$13,Paramètres!$A$1:$I$89,3,0)*VLOOKUP('Données projet'!$B$13,Paramètres!$A$1:$I$89,5,0)</f>
        <v>-3.2366642699344085E-14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473.48875234867705</v>
      </c>
      <c r="CZ137" s="59">
        <f t="shared" si="150"/>
        <v>322.74347070996379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150.37400123402423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150.37400123402423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300.80663531652721</v>
      </c>
      <c r="T138" s="59">
        <f t="shared" si="142"/>
        <v>306.01967513533549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31.314937147590001</v>
      </c>
      <c r="AA138" s="21">
        <f>EXP(-LN(2)/25)*AA137+(1-EXP(-LN(2)/25))/(LN(2)/25)*Calculateur!V138*Calculateur!X138*VLOOKUP('Données projet'!$B$9,Paramètres!$A$1:$I$89,3,0)*0.475*44/12</f>
        <v>10.711917697864074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42.026854845454075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349.5718186624772</v>
      </c>
      <c r="AO138" s="59">
        <f t="shared" si="144"/>
        <v>258.14152930815959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57.889642397639108</v>
      </c>
      <c r="AV138" s="21">
        <f>EXP(-LN(2)/25)*AV137+(1-EXP(-LN(2)/25))/(LN(2)/25)*Calculateur!AQ138*Calculateur!AS138*VLOOKUP('Données projet'!$B$10,Paramètres!$A$1:$I$89,3,0)*0.475*44/12</f>
        <v>17.572475263433056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75.46211766107217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349.5718186624772</v>
      </c>
      <c r="BJ138" s="59">
        <f t="shared" si="146"/>
        <v>258.14152930815959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57.889642397639108</v>
      </c>
      <c r="BQ138" s="21">
        <f>EXP(-LN(2)/25)*BQ137+(1-EXP(-LN(2)/25))/(LN(2)/25)*Calculateur!BL138*Calculateur!BN138*VLOOKUP('Données projet'!$B$11,Paramètres!$A$1:$I$89,3,0)*0.475*44/12</f>
        <v>17.572475263433056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75.46211766107217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-4.5474735088646412E-13</v>
      </c>
      <c r="BZ138" s="13">
        <f>BY138*VLOOKUP('Données projet'!$B$12,Paramètres!$A$1:$I$89,3,0)*VLOOKUP('Données projet'!$B$12,Paramètres!$A$1:$I$89,5,0)</f>
        <v>-2.1282176021486519E-13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356.22620301934836</v>
      </c>
      <c r="CE138" s="59">
        <f t="shared" si="148"/>
        <v>342.25495410715513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113.95911779807993</v>
      </c>
      <c r="CL138" s="21">
        <f>EXP(-LN(2)/25)*CL137+(1-EXP(-LN(2)/25))/(LN(2)/25)*Calculateur!CG138*Calculateur!CI138*VLOOKUP('Données projet'!$B$12,Paramètres!$A$1:$I$89,3,0)*0.475*44/12</f>
        <v>36.675832654978336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150.63495045305825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-2.8421709430404007E-14</v>
      </c>
      <c r="CU138" s="17">
        <f>CT138*VLOOKUP('Données projet'!$B$13,Paramètres!$A$1:$I$89,3,0)*VLOOKUP('Données projet'!$B$13,Paramètres!$A$1:$I$89,5,0)</f>
        <v>-3.2366642699344085E-14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473.48875234867705</v>
      </c>
      <c r="CZ138" s="59">
        <f t="shared" si="150"/>
        <v>322.74347070996379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147.42525878890928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147.42525878890928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300.80663531652721</v>
      </c>
      <c r="T139" s="59">
        <f t="shared" si="142"/>
        <v>306.01967513533549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30.700870330351432</v>
      </c>
      <c r="AA139" s="21">
        <f>EXP(-LN(2)/25)*AA138+(1-EXP(-LN(2)/25))/(LN(2)/25)*Calculateur!V139*Calculateur!X139*VLOOKUP('Données projet'!$B$9,Paramètres!$A$1:$I$89,3,0)*0.475*44/12</f>
        <v>10.418999745100711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41.119870075452141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349.5718186624772</v>
      </c>
      <c r="AO139" s="59">
        <f t="shared" si="144"/>
        <v>258.14152930815959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56.754461819416775</v>
      </c>
      <c r="AV139" s="21">
        <f>EXP(-LN(2)/25)*AV138+(1-EXP(-LN(2)/25))/(LN(2)/25)*Calculateur!AQ139*Calculateur!AS139*VLOOKUP('Données projet'!$B$10,Paramètres!$A$1:$I$89,3,0)*0.475*44/12</f>
        <v>17.091955003258168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73.846416822674939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349.5718186624772</v>
      </c>
      <c r="BJ139" s="59">
        <f t="shared" si="146"/>
        <v>258.14152930815959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56.754461819416775</v>
      </c>
      <c r="BQ139" s="21">
        <f>EXP(-LN(2)/25)*BQ138+(1-EXP(-LN(2)/25))/(LN(2)/25)*Calculateur!BL139*Calculateur!BN139*VLOOKUP('Données projet'!$B$11,Paramètres!$A$1:$I$89,3,0)*0.475*44/12</f>
        <v>17.091955003258168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73.846416822674939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-4.5474735088646412E-13</v>
      </c>
      <c r="BZ139" s="13">
        <f>BY139*VLOOKUP('Données projet'!$B$12,Paramètres!$A$1:$I$89,3,0)*VLOOKUP('Données projet'!$B$12,Paramètres!$A$1:$I$89,5,0)</f>
        <v>-2.1282176021486519E-13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356.22620301934836</v>
      </c>
      <c r="CE139" s="59">
        <f t="shared" si="148"/>
        <v>342.25495410715513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111.72444900625807</v>
      </c>
      <c r="CL139" s="21">
        <f>EXP(-LN(2)/25)*CL138+(1-EXP(-LN(2)/25))/(LN(2)/25)*Calculateur!CG139*Calculateur!CI139*VLOOKUP('Données projet'!$B$12,Paramètres!$A$1:$I$89,3,0)*0.475*44/12</f>
        <v>35.672930082329735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147.3973790885878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-2.8421709430404007E-14</v>
      </c>
      <c r="CU139" s="17">
        <f>CT139*VLOOKUP('Données projet'!$B$13,Paramètres!$A$1:$I$89,3,0)*VLOOKUP('Données projet'!$B$13,Paramètres!$A$1:$I$89,5,0)</f>
        <v>-3.2366642699344085E-14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473.48875234867705</v>
      </c>
      <c r="CZ139" s="59">
        <f t="shared" si="150"/>
        <v>322.74347070996379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144.53433938458772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144.53433938458772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300.80663531652721</v>
      </c>
      <c r="T140" s="59">
        <f t="shared" si="142"/>
        <v>306.01967513533549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30.098844988855134</v>
      </c>
      <c r="AA140" s="21">
        <f>EXP(-LN(2)/25)*AA139+(1-EXP(-LN(2)/25))/(LN(2)/25)*Calculateur!V140*Calculateur!X140*VLOOKUP('Données projet'!$B$9,Paramètres!$A$1:$I$89,3,0)*0.475*44/12</f>
        <v>10.134091649159549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40.232936638014685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349.5718186624772</v>
      </c>
      <c r="AO140" s="59">
        <f t="shared" si="144"/>
        <v>258.14152930815959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55.641541439941598</v>
      </c>
      <c r="AV140" s="21">
        <f>EXP(-LN(2)/25)*AV139+(1-EXP(-LN(2)/25))/(LN(2)/25)*Calculateur!AQ140*Calculateur!AS140*VLOOKUP('Données projet'!$B$10,Paramètres!$A$1:$I$89,3,0)*0.475*44/12</f>
        <v>16.624574594867223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72.266116034808817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349.5718186624772</v>
      </c>
      <c r="BJ140" s="59">
        <f t="shared" si="146"/>
        <v>258.14152930815959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55.641541439941598</v>
      </c>
      <c r="BQ140" s="21">
        <f>EXP(-LN(2)/25)*BQ139+(1-EXP(-LN(2)/25))/(LN(2)/25)*Calculateur!BL140*Calculateur!BN140*VLOOKUP('Données projet'!$B$11,Paramètres!$A$1:$I$89,3,0)*0.475*44/12</f>
        <v>16.624574594867223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72.266116034808817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-4.5474735088646412E-13</v>
      </c>
      <c r="BZ140" s="13">
        <f>BY140*VLOOKUP('Données projet'!$B$12,Paramètres!$A$1:$I$89,3,0)*VLOOKUP('Données projet'!$B$12,Paramètres!$A$1:$I$89,5,0)</f>
        <v>-2.1282176021486519E-13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356.22620301934836</v>
      </c>
      <c r="CE140" s="59">
        <f t="shared" si="148"/>
        <v>342.25495410715513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109.53360070643046</v>
      </c>
      <c r="CL140" s="21">
        <f>EXP(-LN(2)/25)*CL139+(1-EXP(-LN(2)/25))/(LN(2)/25)*Calculateur!CG140*Calculateur!CI140*VLOOKUP('Données projet'!$B$12,Paramètres!$A$1:$I$89,3,0)*0.475*44/12</f>
        <v>34.697451933270564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144.23105263970103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-2.8421709430404007E-14</v>
      </c>
      <c r="CU140" s="17">
        <f>CT140*VLOOKUP('Données projet'!$B$13,Paramètres!$A$1:$I$89,3,0)*VLOOKUP('Données projet'!$B$13,Paramètres!$A$1:$I$89,5,0)</f>
        <v>-3.2366642699344085E-14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473.48875234867705</v>
      </c>
      <c r="CZ140" s="59">
        <f t="shared" si="150"/>
        <v>322.74347070996379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141.70010914649819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141.70010914649819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300.80663531652721</v>
      </c>
      <c r="T141" s="59">
        <f t="shared" si="142"/>
        <v>306.01967513533549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29.508624997106377</v>
      </c>
      <c r="AA141" s="21">
        <f>EXP(-LN(2)/25)*AA140+(1-EXP(-LN(2)/25))/(LN(2)/25)*Calculateur!V141*Calculateur!X141*VLOOKUP('Données projet'!$B$9,Paramètres!$A$1:$I$89,3,0)*0.475*44/12</f>
        <v>9.8569743800845622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39.365599377190939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349.5718186624772</v>
      </c>
      <c r="AO141" s="59">
        <f t="shared" si="144"/>
        <v>258.14152930815959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54.550444750293522</v>
      </c>
      <c r="AV141" s="21">
        <f>EXP(-LN(2)/25)*AV140+(1-EXP(-LN(2)/25))/(LN(2)/25)*Calculateur!AQ141*Calculateur!AS141*VLOOKUP('Données projet'!$B$10,Paramètres!$A$1:$I$89,3,0)*0.475*44/12</f>
        <v>16.169974728322195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70.720419478615725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349.5718186624772</v>
      </c>
      <c r="BJ141" s="59">
        <f t="shared" si="146"/>
        <v>258.14152930815959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54.550444750293522</v>
      </c>
      <c r="BQ141" s="21">
        <f>EXP(-LN(2)/25)*BQ140+(1-EXP(-LN(2)/25))/(LN(2)/25)*Calculateur!BL141*Calculateur!BN141*VLOOKUP('Données projet'!$B$11,Paramètres!$A$1:$I$89,3,0)*0.475*44/12</f>
        <v>16.169974728322195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70.720419478615725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-4.5474735088646412E-13</v>
      </c>
      <c r="BZ141" s="13">
        <f>BY141*VLOOKUP('Données projet'!$B$12,Paramètres!$A$1:$I$89,3,0)*VLOOKUP('Données projet'!$B$12,Paramètres!$A$1:$I$89,5,0)</f>
        <v>-2.1282176021486519E-13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356.22620301934836</v>
      </c>
      <c r="CE141" s="59">
        <f t="shared" si="148"/>
        <v>342.25495410715513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107.38571360547697</v>
      </c>
      <c r="CL141" s="21">
        <f>EXP(-LN(2)/25)*CL140+(1-EXP(-LN(2)/25))/(LN(2)/25)*Calculateur!CG141*Calculateur!CI141*VLOOKUP('Données projet'!$B$12,Paramètres!$A$1:$I$89,3,0)*0.475*44/12</f>
        <v>33.748648285495584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141.13436189097254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-2.8421709430404007E-14</v>
      </c>
      <c r="CU141" s="17">
        <f>CT141*VLOOKUP('Données projet'!$B$13,Paramètres!$A$1:$I$89,3,0)*VLOOKUP('Données projet'!$B$13,Paramètres!$A$1:$I$89,5,0)</f>
        <v>-3.2366642699344085E-14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473.48875234867705</v>
      </c>
      <c r="CZ141" s="59">
        <f t="shared" si="150"/>
        <v>322.74347070996379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138.92145643466785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138.92145643466785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300.80663531652721</v>
      </c>
      <c r="T142" s="59">
        <f t="shared" si="142"/>
        <v>306.01967513533549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28.929978859397167</v>
      </c>
      <c r="AA142" s="21">
        <f>EXP(-LN(2)/25)*AA141+(1-EXP(-LN(2)/25))/(LN(2)/25)*Calculateur!V142*Calculateur!X142*VLOOKUP('Données projet'!$B$9,Paramètres!$A$1:$I$89,3,0)*0.475*44/12</f>
        <v>9.5874348973053962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38.517413756702567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349.5718186624772</v>
      </c>
      <c r="AO142" s="59">
        <f t="shared" si="144"/>
        <v>258.14152930815959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53.480743801226176</v>
      </c>
      <c r="AV142" s="21">
        <f>EXP(-LN(2)/25)*AV141+(1-EXP(-LN(2)/25))/(LN(2)/25)*Calculateur!AQ142*Calculateur!AS142*VLOOKUP('Données projet'!$B$10,Paramètres!$A$1:$I$89,3,0)*0.475*44/12</f>
        <v>15.727805919034211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69.208549720260379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349.5718186624772</v>
      </c>
      <c r="BJ142" s="59">
        <f t="shared" si="146"/>
        <v>258.14152930815959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53.480743801226176</v>
      </c>
      <c r="BQ142" s="21">
        <f>EXP(-LN(2)/25)*BQ141+(1-EXP(-LN(2)/25))/(LN(2)/25)*Calculateur!BL142*Calculateur!BN142*VLOOKUP('Données projet'!$B$11,Paramètres!$A$1:$I$89,3,0)*0.475*44/12</f>
        <v>15.727805919034211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69.208549720260379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-4.5474735088646412E-13</v>
      </c>
      <c r="BZ142" s="13">
        <f>BY142*VLOOKUP('Données projet'!$B$12,Paramètres!$A$1:$I$89,3,0)*VLOOKUP('Données projet'!$B$12,Paramètres!$A$1:$I$89,5,0)</f>
        <v>-2.1282176021486519E-13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356.22620301934836</v>
      </c>
      <c r="CE142" s="59">
        <f t="shared" si="148"/>
        <v>342.25495410715513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105.27994526049139</v>
      </c>
      <c r="CL142" s="21">
        <f>EXP(-LN(2)/25)*CL141+(1-EXP(-LN(2)/25))/(LN(2)/25)*Calculateur!CG142*Calculateur!CI142*VLOOKUP('Données projet'!$B$12,Paramètres!$A$1:$I$89,3,0)*0.475*44/12</f>
        <v>32.82578972336443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138.10573498385583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-2.8421709430404007E-14</v>
      </c>
      <c r="CU142" s="17">
        <f>CT142*VLOOKUP('Données projet'!$B$13,Paramètres!$A$1:$I$89,3,0)*VLOOKUP('Données projet'!$B$13,Paramètres!$A$1:$I$89,5,0)</f>
        <v>-3.2366642699344085E-14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473.48875234867705</v>
      </c>
      <c r="CZ142" s="59">
        <f t="shared" si="150"/>
        <v>322.74347070996379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136.19729140770568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136.19729140770568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300.80663531652721</v>
      </c>
      <c r="T143" s="59">
        <f t="shared" si="142"/>
        <v>306.01967513533549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28.362679619509141</v>
      </c>
      <c r="AA143" s="21">
        <f>EXP(-LN(2)/25)*AA142+(1-EXP(-LN(2)/25))/(LN(2)/25)*Calculateur!V143*Calculateur!X143*VLOOKUP('Données projet'!$B$9,Paramètres!$A$1:$I$89,3,0)*0.475*44/12</f>
        <v>9.3252659858572908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37.68794560536643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349.5718186624772</v>
      </c>
      <c r="AO143" s="59">
        <f t="shared" si="144"/>
        <v>258.14152930815959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52.432019035316891</v>
      </c>
      <c r="AV143" s="21">
        <f>EXP(-LN(2)/25)*AV142+(1-EXP(-LN(2)/25))/(LN(2)/25)*Calculateur!AQ143*Calculateur!AS143*VLOOKUP('Données projet'!$B$10,Paramètres!$A$1:$I$89,3,0)*0.475*44/12</f>
        <v>15.297728239088853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67.729747274405739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349.5718186624772</v>
      </c>
      <c r="BJ143" s="59">
        <f t="shared" si="146"/>
        <v>258.14152930815959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52.432019035316891</v>
      </c>
      <c r="BQ143" s="21">
        <f>EXP(-LN(2)/25)*BQ142+(1-EXP(-LN(2)/25))/(LN(2)/25)*Calculateur!BL143*Calculateur!BN143*VLOOKUP('Données projet'!$B$11,Paramètres!$A$1:$I$89,3,0)*0.475*44/12</f>
        <v>15.297728239088853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67.729747274405739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-4.5474735088646412E-13</v>
      </c>
      <c r="BZ143" s="13">
        <f>BY143*VLOOKUP('Données projet'!$B$12,Paramètres!$A$1:$I$89,3,0)*VLOOKUP('Données projet'!$B$12,Paramètres!$A$1:$I$89,5,0)</f>
        <v>-2.1282176021486519E-13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356.22620301934836</v>
      </c>
      <c r="CE143" s="59">
        <f t="shared" si="148"/>
        <v>342.25495410715513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103.21546974835911</v>
      </c>
      <c r="CL143" s="21">
        <f>EXP(-LN(2)/25)*CL142+(1-EXP(-LN(2)/25))/(LN(2)/25)*Calculateur!CG143*Calculateur!CI143*VLOOKUP('Données projet'!$B$12,Paramètres!$A$1:$I$89,3,0)*0.475*44/12</f>
        <v>31.928166777145773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135.14363652550489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-2.8421709430404007E-14</v>
      </c>
      <c r="CU143" s="17">
        <f>CT143*VLOOKUP('Données projet'!$B$13,Paramètres!$A$1:$I$89,3,0)*VLOOKUP('Données projet'!$B$13,Paramètres!$A$1:$I$89,5,0)</f>
        <v>-3.2366642699344085E-14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473.48875234867705</v>
      </c>
      <c r="CZ143" s="59">
        <f t="shared" si="150"/>
        <v>322.74347070996379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133.52654559534562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133.52654559534562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300.80663531652721</v>
      </c>
      <c r="T144" s="59">
        <f t="shared" si="142"/>
        <v>306.01967513533549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27.806504771696947</v>
      </c>
      <c r="AA144" s="21">
        <f>EXP(-LN(2)/25)*AA143+(1-EXP(-LN(2)/25))/(LN(2)/25)*Calculateur!V144*Calculateur!X144*VLOOKUP('Données projet'!$B$9,Paramètres!$A$1:$I$89,3,0)*0.475*44/12</f>
        <v>9.0702660970795979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36.876770868776546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349.5718186624772</v>
      </c>
      <c r="AO144" s="59">
        <f t="shared" si="144"/>
        <v>258.14152930815959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51.403859122408136</v>
      </c>
      <c r="AV144" s="21">
        <f>EXP(-LN(2)/25)*AV143+(1-EXP(-LN(2)/25))/(LN(2)/25)*Calculateur!AQ144*Calculateur!AS144*VLOOKUP('Données projet'!$B$10,Paramètres!$A$1:$I$89,3,0)*0.475*44/12</f>
        <v>14.879411055918403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66.283270178326546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349.5718186624772</v>
      </c>
      <c r="BJ144" s="59">
        <f t="shared" si="146"/>
        <v>258.14152930815959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51.403859122408136</v>
      </c>
      <c r="BQ144" s="21">
        <f>EXP(-LN(2)/25)*BQ143+(1-EXP(-LN(2)/25))/(LN(2)/25)*Calculateur!BL144*Calculateur!BN144*VLOOKUP('Données projet'!$B$11,Paramètres!$A$1:$I$89,3,0)*0.475*44/12</f>
        <v>14.879411055918403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66.283270178326546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-4.5474735088646412E-13</v>
      </c>
      <c r="BZ144" s="13">
        <f>BY144*VLOOKUP('Données projet'!$B$12,Paramètres!$A$1:$I$89,3,0)*VLOOKUP('Données projet'!$B$12,Paramètres!$A$1:$I$89,5,0)</f>
        <v>-2.1282176021486519E-13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356.22620301934836</v>
      </c>
      <c r="CE144" s="59">
        <f t="shared" si="148"/>
        <v>342.25495410715513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101.19147734181402</v>
      </c>
      <c r="CL144" s="21">
        <f>EXP(-LN(2)/25)*CL143+(1-EXP(-LN(2)/25))/(LN(2)/25)*Calculateur!CG144*Calculateur!CI144*VLOOKUP('Données projet'!$B$12,Paramètres!$A$1:$I$89,3,0)*0.475*44/12</f>
        <v>31.055089377595404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132.24656671940943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-2.8421709430404007E-14</v>
      </c>
      <c r="CU144" s="17">
        <f>CT144*VLOOKUP('Données projet'!$B$13,Paramètres!$A$1:$I$89,3,0)*VLOOKUP('Données projet'!$B$13,Paramètres!$A$1:$I$89,5,0)</f>
        <v>-3.2366642699344085E-14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473.48875234867705</v>
      </c>
      <c r="CZ144" s="59">
        <f t="shared" si="150"/>
        <v>322.74347070996379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130.90817147937187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130.90817147937187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300.80663531652721</v>
      </c>
      <c r="T145" s="59">
        <f t="shared" si="142"/>
        <v>306.01967513533549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27.261236173417192</v>
      </c>
      <c r="AA145" s="21">
        <f>EXP(-LN(2)/25)*AA144+(1-EXP(-LN(2)/25))/(LN(2)/25)*Calculateur!V145*Calculateur!X145*VLOOKUP('Données projet'!$B$9,Paramètres!$A$1:$I$89,3,0)*0.475*44/12</f>
        <v>8.8222391936703932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36.083475367087587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349.5718186624772</v>
      </c>
      <c r="AO145" s="59">
        <f t="shared" si="144"/>
        <v>258.14152930815959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50.395860798275898</v>
      </c>
      <c r="AV145" s="21">
        <f>EXP(-LN(2)/25)*AV144+(1-EXP(-LN(2)/25))/(LN(2)/25)*Calculateur!AQ145*Calculateur!AS145*VLOOKUP('Données projet'!$B$10,Paramètres!$A$1:$I$89,3,0)*0.475*44/12</f>
        <v>14.472532778120094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64.868393576395988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349.5718186624772</v>
      </c>
      <c r="BJ145" s="59">
        <f t="shared" si="146"/>
        <v>258.14152930815959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50.395860798275898</v>
      </c>
      <c r="BQ145" s="21">
        <f>EXP(-LN(2)/25)*BQ144+(1-EXP(-LN(2)/25))/(LN(2)/25)*Calculateur!BL145*Calculateur!BN145*VLOOKUP('Données projet'!$B$11,Paramètres!$A$1:$I$89,3,0)*0.475*44/12</f>
        <v>14.472532778120094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64.868393576395988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-4.5474735088646412E-13</v>
      </c>
      <c r="BZ145" s="13">
        <f>BY145*VLOOKUP('Données projet'!$B$12,Paramètres!$A$1:$I$89,3,0)*VLOOKUP('Données projet'!$B$12,Paramètres!$A$1:$I$89,5,0)</f>
        <v>-2.1282176021486519E-13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356.22620301934836</v>
      </c>
      <c r="CE145" s="59">
        <f t="shared" si="148"/>
        <v>342.25495410715513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99.207174191847812</v>
      </c>
      <c r="CL145" s="21">
        <f>EXP(-LN(2)/25)*CL144+(1-EXP(-LN(2)/25))/(LN(2)/25)*Calculateur!CG145*Calculateur!CI145*VLOOKUP('Données projet'!$B$12,Paramètres!$A$1:$I$89,3,0)*0.475*44/12</f>
        <v>30.205886325448883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129.41306051729669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-2.8421709430404007E-14</v>
      </c>
      <c r="CU145" s="17">
        <f>CT145*VLOOKUP('Données projet'!$B$13,Paramètres!$A$1:$I$89,3,0)*VLOOKUP('Données projet'!$B$13,Paramètres!$A$1:$I$89,5,0)</f>
        <v>-3.2366642699344085E-14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473.48875234867705</v>
      </c>
      <c r="CZ145" s="59">
        <f t="shared" si="150"/>
        <v>322.74347070996379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128.34114208276185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128.34114208276185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300.80663531652721</v>
      </c>
      <c r="T146" s="59">
        <f t="shared" si="142"/>
        <v>306.01967513533549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26.726659959768696</v>
      </c>
      <c r="AA146" s="21">
        <f>EXP(-LN(2)/25)*AA145+(1-EXP(-LN(2)/25))/(LN(2)/25)*Calculateur!V146*Calculateur!X146*VLOOKUP('Données projet'!$B$9,Paramètres!$A$1:$I$89,3,0)*0.475*44/12</f>
        <v>8.58099459897808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35.307654558746776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349.5718186624772</v>
      </c>
      <c r="AO146" s="59">
        <f t="shared" si="144"/>
        <v>258.14152930815959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49.407628706461622</v>
      </c>
      <c r="AV146" s="21">
        <f>EXP(-LN(2)/25)*AV145+(1-EXP(-LN(2)/25))/(LN(2)/25)*Calculateur!AQ146*Calculateur!AS146*VLOOKUP('Données projet'!$B$10,Paramètres!$A$1:$I$89,3,0)*0.475*44/12</f>
        <v>14.076780608224979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63.484409314686602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349.5718186624772</v>
      </c>
      <c r="BJ146" s="59">
        <f t="shared" si="146"/>
        <v>258.14152930815959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49.407628706461622</v>
      </c>
      <c r="BQ146" s="21">
        <f>EXP(-LN(2)/25)*BQ145+(1-EXP(-LN(2)/25))/(LN(2)/25)*Calculateur!BL146*Calculateur!BN146*VLOOKUP('Données projet'!$B$11,Paramètres!$A$1:$I$89,3,0)*0.475*44/12</f>
        <v>14.076780608224979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63.484409314686602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-4.5474735088646412E-13</v>
      </c>
      <c r="BZ146" s="13">
        <f>BY146*VLOOKUP('Données projet'!$B$12,Paramètres!$A$1:$I$89,3,0)*VLOOKUP('Données projet'!$B$12,Paramètres!$A$1:$I$89,5,0)</f>
        <v>-2.1282176021486519E-13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356.22620301934836</v>
      </c>
      <c r="CE146" s="59">
        <f t="shared" si="148"/>
        <v>342.25495410715513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97.261782016347027</v>
      </c>
      <c r="CL146" s="21">
        <f>EXP(-LN(2)/25)*CL145+(1-EXP(-LN(2)/25))/(LN(2)/25)*Calculateur!CG146*Calculateur!CI146*VLOOKUP('Données projet'!$B$12,Paramètres!$A$1:$I$89,3,0)*0.475*44/12</f>
        <v>29.379904775420957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126.64168679176798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-2.8421709430404007E-14</v>
      </c>
      <c r="CU146" s="17">
        <f>CT146*VLOOKUP('Données projet'!$B$13,Paramètres!$A$1:$I$89,3,0)*VLOOKUP('Données projet'!$B$13,Paramètres!$A$1:$I$89,5,0)</f>
        <v>-3.2366642699344085E-14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473.48875234867705</v>
      </c>
      <c r="CZ146" s="59">
        <f t="shared" si="150"/>
        <v>322.74347070996379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125.82445056688601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125.82445056688601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300.80663531652721</v>
      </c>
      <c r="T147" s="59">
        <f t="shared" si="142"/>
        <v>306.01967513533549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26.202566459610551</v>
      </c>
      <c r="AA147" s="21">
        <f>EXP(-LN(2)/25)*AA146+(1-EXP(-LN(2)/25))/(LN(2)/25)*Calculateur!V147*Calculateur!X147*VLOOKUP('Données projet'!$B$9,Paramètres!$A$1:$I$89,3,0)*0.475*44/12</f>
        <v>8.3463468504141307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34.54891331002468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349.5718186624772</v>
      </c>
      <c r="AO147" s="59">
        <f t="shared" si="144"/>
        <v>258.14152930815959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48.438775243205768</v>
      </c>
      <c r="AV147" s="21">
        <f>EXP(-LN(2)/25)*AV146+(1-EXP(-LN(2)/25))/(LN(2)/25)*Calculateur!AQ147*Calculateur!AS147*VLOOKUP('Données projet'!$B$10,Paramètres!$A$1:$I$89,3,0)*0.475*44/12</f>
        <v>13.691850302227348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62.130625545433119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349.5718186624772</v>
      </c>
      <c r="BJ147" s="59">
        <f t="shared" si="146"/>
        <v>258.14152930815959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48.438775243205768</v>
      </c>
      <c r="BQ147" s="21">
        <f>EXP(-LN(2)/25)*BQ146+(1-EXP(-LN(2)/25))/(LN(2)/25)*Calculateur!BL147*Calculateur!BN147*VLOOKUP('Données projet'!$B$11,Paramètres!$A$1:$I$89,3,0)*0.475*44/12</f>
        <v>13.691850302227348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62.130625545433119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-4.5474735088646412E-13</v>
      </c>
      <c r="BZ147" s="13">
        <f>BY147*VLOOKUP('Données projet'!$B$12,Paramètres!$A$1:$I$89,3,0)*VLOOKUP('Données projet'!$B$12,Paramètres!$A$1:$I$89,5,0)</f>
        <v>-2.1282176021486519E-13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356.22620301934836</v>
      </c>
      <c r="CE147" s="59">
        <f t="shared" si="148"/>
        <v>342.25495410715513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95.35453779483575</v>
      </c>
      <c r="CL147" s="21">
        <f>EXP(-LN(2)/25)*CL146+(1-EXP(-LN(2)/25))/(LN(2)/25)*Calculateur!CG147*Calculateur!CI147*VLOOKUP('Données projet'!$B$12,Paramètres!$A$1:$I$89,3,0)*0.475*44/12</f>
        <v>28.576509734315028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123.93104752915077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-2.8421709430404007E-14</v>
      </c>
      <c r="CU147" s="17">
        <f>CT147*VLOOKUP('Données projet'!$B$13,Paramètres!$A$1:$I$89,3,0)*VLOOKUP('Données projet'!$B$13,Paramètres!$A$1:$I$89,5,0)</f>
        <v>-3.2366642699344085E-14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473.48875234867705</v>
      </c>
      <c r="CZ147" s="59">
        <f t="shared" si="150"/>
        <v>322.74347070996379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123.35710983660626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123.35710983660626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300.80663531652721</v>
      </c>
      <c r="T148" s="59">
        <f t="shared" si="142"/>
        <v>306.01967513533549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25.688750113325039</v>
      </c>
      <c r="AA148" s="21">
        <f>EXP(-LN(2)/25)*AA147+(1-EXP(-LN(2)/25))/(LN(2)/25)*Calculateur!V148*Calculateur!X148*VLOOKUP('Données projet'!$B$9,Paramètres!$A$1:$I$89,3,0)*0.475*44/12</f>
        <v>8.1181155568742511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33.806865670199286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349.5718186624772</v>
      </c>
      <c r="AO148" s="59">
        <f t="shared" si="144"/>
        <v>258.14152930815959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47.4889204054221</v>
      </c>
      <c r="AV148" s="21">
        <f>EXP(-LN(2)/25)*AV147+(1-EXP(-LN(2)/25))/(LN(2)/25)*Calculateur!AQ148*Calculateur!AS148*VLOOKUP('Données projet'!$B$10,Paramètres!$A$1:$I$89,3,0)*0.475*44/12</f>
        <v>13.317445935689827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60.806366341111925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349.5718186624772</v>
      </c>
      <c r="BJ148" s="59">
        <f t="shared" si="146"/>
        <v>258.14152930815959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47.4889204054221</v>
      </c>
      <c r="BQ148" s="21">
        <f>EXP(-LN(2)/25)*BQ147+(1-EXP(-LN(2)/25))/(LN(2)/25)*Calculateur!BL148*Calculateur!BN148*VLOOKUP('Données projet'!$B$11,Paramètres!$A$1:$I$89,3,0)*0.475*44/12</f>
        <v>13.317445935689827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60.806366341111925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-4.5474735088646412E-13</v>
      </c>
      <c r="BZ148" s="13">
        <f>BY148*VLOOKUP('Données projet'!$B$12,Paramètres!$A$1:$I$89,3,0)*VLOOKUP('Données projet'!$B$12,Paramètres!$A$1:$I$89,5,0)</f>
        <v>-2.1282176021486519E-13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356.22620301934836</v>
      </c>
      <c r="CE148" s="59">
        <f t="shared" si="148"/>
        <v>342.25495410715513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93.484693469204203</v>
      </c>
      <c r="CL148" s="21">
        <f>EXP(-LN(2)/25)*CL147+(1-EXP(-LN(2)/25))/(LN(2)/25)*Calculateur!CG148*Calculateur!CI148*VLOOKUP('Données projet'!$B$12,Paramètres!$A$1:$I$89,3,0)*0.475*44/12</f>
        <v>27.79508357285685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121.27977704206106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-2.8421709430404007E-14</v>
      </c>
      <c r="CU148" s="17">
        <f>CT148*VLOOKUP('Données projet'!$B$13,Paramètres!$A$1:$I$89,3,0)*VLOOKUP('Données projet'!$B$13,Paramètres!$A$1:$I$89,5,0)</f>
        <v>-3.2366642699344085E-14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473.48875234867705</v>
      </c>
      <c r="CZ148" s="59">
        <f t="shared" si="150"/>
        <v>322.74347070996379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120.93815215311804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120.93815215311804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300.80663531652721</v>
      </c>
      <c r="T149" s="59">
        <f t="shared" si="142"/>
        <v>306.01967513533549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25.185009392193159</v>
      </c>
      <c r="AA149" s="21">
        <f>EXP(-LN(2)/25)*AA148+(1-EXP(-LN(2)/25))/(LN(2)/25)*Calculateur!V149*Calculateur!X149*VLOOKUP('Données projet'!$B$9,Paramètres!$A$1:$I$89,3,0)*0.475*44/12</f>
        <v>7.8961252600583816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33.081134652251542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349.5718186624772</v>
      </c>
      <c r="AO149" s="59">
        <f t="shared" si="144"/>
        <v>258.14152930815959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46.557691641653129</v>
      </c>
      <c r="AV149" s="21">
        <f>EXP(-LN(2)/25)*AV148+(1-EXP(-LN(2)/25))/(LN(2)/25)*Calculateur!AQ149*Calculateur!AS149*VLOOKUP('Données projet'!$B$10,Paramètres!$A$1:$I$89,3,0)*0.475*44/12</f>
        <v>12.953279676244344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59.510971317897472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349.5718186624772</v>
      </c>
      <c r="BJ149" s="59">
        <f t="shared" si="146"/>
        <v>258.14152930815959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46.557691641653129</v>
      </c>
      <c r="BQ149" s="21">
        <f>EXP(-LN(2)/25)*BQ148+(1-EXP(-LN(2)/25))/(LN(2)/25)*Calculateur!BL149*Calculateur!BN149*VLOOKUP('Données projet'!$B$11,Paramètres!$A$1:$I$89,3,0)*0.475*44/12</f>
        <v>12.953279676244344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59.510971317897472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-4.5474735088646412E-13</v>
      </c>
      <c r="BZ149" s="13">
        <f>BY149*VLOOKUP('Données projet'!$B$12,Paramètres!$A$1:$I$89,3,0)*VLOOKUP('Données projet'!$B$12,Paramètres!$A$1:$I$89,5,0)</f>
        <v>-2.1282176021486519E-13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356.22620301934836</v>
      </c>
      <c r="CE149" s="59">
        <f t="shared" si="148"/>
        <v>342.25495410715513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91.651515650305868</v>
      </c>
      <c r="CL149" s="21">
        <f>EXP(-LN(2)/25)*CL148+(1-EXP(-LN(2)/25))/(LN(2)/25)*Calculateur!CG149*Calculateur!CI149*VLOOKUP('Données projet'!$B$12,Paramètres!$A$1:$I$89,3,0)*0.475*44/12</f>
        <v>27.035025550877162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118.68654120118303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-2.8421709430404007E-14</v>
      </c>
      <c r="CU149" s="17">
        <f>CT149*VLOOKUP('Données projet'!$B$13,Paramètres!$A$1:$I$89,3,0)*VLOOKUP('Données projet'!$B$13,Paramètres!$A$1:$I$89,5,0)</f>
        <v>-3.2366642699344085E-14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473.48875234867705</v>
      </c>
      <c r="CZ149" s="59">
        <f t="shared" si="150"/>
        <v>322.74347070996379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118.56662875438452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118.56662875438452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300.80663531652721</v>
      </c>
      <c r="T150" s="59">
        <f t="shared" si="142"/>
        <v>306.01967513533549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24.691146719351174</v>
      </c>
      <c r="AA150" s="21">
        <f>EXP(-LN(2)/25)*AA149+(1-EXP(-LN(2)/25))/(LN(2)/25)*Calculateur!V150*Calculateur!X150*VLOOKUP('Données projet'!$B$9,Paramètres!$A$1:$I$89,3,0)*0.475*44/12</f>
        <v>7.6802052995829042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32.371352018934076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349.5718186624772</v>
      </c>
      <c r="AO150" s="59">
        <f t="shared" si="144"/>
        <v>258.14152930815959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45.644723705948202</v>
      </c>
      <c r="AV150" s="21">
        <f>EXP(-LN(2)/25)*AV149+(1-EXP(-LN(2)/25))/(LN(2)/25)*Calculateur!AQ150*Calculateur!AS150*VLOOKUP('Données projet'!$B$10,Paramètres!$A$1:$I$89,3,0)*0.475*44/12</f>
        <v>12.599071562314069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58.243795268262275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349.5718186624772</v>
      </c>
      <c r="BJ150" s="59">
        <f t="shared" si="146"/>
        <v>258.14152930815959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45.644723705948202</v>
      </c>
      <c r="BQ150" s="21">
        <f>EXP(-LN(2)/25)*BQ149+(1-EXP(-LN(2)/25))/(LN(2)/25)*Calculateur!BL150*Calculateur!BN150*VLOOKUP('Données projet'!$B$11,Paramètres!$A$1:$I$89,3,0)*0.475*44/12</f>
        <v>12.599071562314069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58.243795268262275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-4.5474735088646412E-13</v>
      </c>
      <c r="BZ150" s="13">
        <f>BY150*VLOOKUP('Données projet'!$B$12,Paramètres!$A$1:$I$89,3,0)*VLOOKUP('Données projet'!$B$12,Paramètres!$A$1:$I$89,5,0)</f>
        <v>-2.1282176021486519E-13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356.22620301934836</v>
      </c>
      <c r="CE150" s="59">
        <f t="shared" si="148"/>
        <v>342.25495410715513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89.854285330308059</v>
      </c>
      <c r="CL150" s="21">
        <f>EXP(-LN(2)/25)*CL149+(1-EXP(-LN(2)/25))/(LN(2)/25)*Calculateur!CG150*Calculateur!CI150*VLOOKUP('Données projet'!$B$12,Paramètres!$A$1:$I$89,3,0)*0.475*44/12</f>
        <v>26.29575135547822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116.15003668578628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-2.8421709430404007E-14</v>
      </c>
      <c r="CU150" s="17">
        <f>CT150*VLOOKUP('Données projet'!$B$13,Paramètres!$A$1:$I$89,3,0)*VLOOKUP('Données projet'!$B$13,Paramètres!$A$1:$I$89,5,0)</f>
        <v>-3.2366642699344085E-14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473.48875234867705</v>
      </c>
      <c r="CZ150" s="59">
        <f t="shared" si="150"/>
        <v>322.74347070996379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116.24160948301372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116.24160948301372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300.80663531652721</v>
      </c>
      <c r="T151" s="59">
        <f t="shared" si="142"/>
        <v>306.01967513533549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24.206968392297135</v>
      </c>
      <c r="AA151" s="21">
        <f>EXP(-LN(2)/25)*AA150+(1-EXP(-LN(2)/25))/(LN(2)/25)*Calculateur!V151*Calculateur!X151*VLOOKUP('Données projet'!$B$9,Paramètres!$A$1:$I$89,3,0)*0.475*44/12</f>
        <v>7.470189681781366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31.677158074078502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349.5718186624772</v>
      </c>
      <c r="AO151" s="59">
        <f t="shared" si="144"/>
        <v>258.14152930815959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44.749658514606992</v>
      </c>
      <c r="AV151" s="21">
        <f>EXP(-LN(2)/25)*AV150+(1-EXP(-LN(2)/25))/(LN(2)/25)*Calculateur!AQ151*Calculateur!AS151*VLOOKUP('Données projet'!$B$10,Paramètres!$A$1:$I$89,3,0)*0.475*44/12</f>
        <v>12.254549287886213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57.004207802493205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349.5718186624772</v>
      </c>
      <c r="BJ151" s="59">
        <f t="shared" si="146"/>
        <v>258.14152930815959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44.749658514606992</v>
      </c>
      <c r="BQ151" s="21">
        <f>EXP(-LN(2)/25)*BQ150+(1-EXP(-LN(2)/25))/(LN(2)/25)*Calculateur!BL151*Calculateur!BN151*VLOOKUP('Données projet'!$B$11,Paramètres!$A$1:$I$89,3,0)*0.475*44/12</f>
        <v>12.254549287886213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57.004207802493205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-4.5474735088646412E-13</v>
      </c>
      <c r="BZ151" s="13">
        <f>BY151*VLOOKUP('Données projet'!$B$12,Paramètres!$A$1:$I$89,3,0)*VLOOKUP('Données projet'!$B$12,Paramètres!$A$1:$I$89,5,0)</f>
        <v>-2.1282176021486519E-13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356.22620301934836</v>
      </c>
      <c r="CE151" s="59">
        <f t="shared" si="148"/>
        <v>342.25495410715513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88.092297600683153</v>
      </c>
      <c r="CL151" s="21">
        <f>EXP(-LN(2)/25)*CL150+(1-EXP(-LN(2)/25))/(LN(2)/25)*Calculateur!CG151*Calculateur!CI151*VLOOKUP('Données projet'!$B$12,Paramètres!$A$1:$I$89,3,0)*0.475*44/12</f>
        <v>25.576692651829205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113.66899025251236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-2.8421709430404007E-14</v>
      </c>
      <c r="CU151" s="17">
        <f>CT151*VLOOKUP('Données projet'!$B$13,Paramètres!$A$1:$I$89,3,0)*VLOOKUP('Données projet'!$B$13,Paramètres!$A$1:$I$89,5,0)</f>
        <v>-3.2366642699344085E-14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473.48875234867705</v>
      </c>
      <c r="CZ151" s="59">
        <f t="shared" si="150"/>
        <v>322.74347070996379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113.96218242143277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113.96218242143277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300.80663531652721</v>
      </c>
      <c r="T152" s="59">
        <f t="shared" si="142"/>
        <v>306.01967513533549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23.732284506917004</v>
      </c>
      <c r="AA152" s="21">
        <f>EXP(-LN(2)/25)*AA151+(1-EXP(-LN(2)/25))/(LN(2)/25)*Calculateur!V152*Calculateur!X152*VLOOKUP('Données projet'!$B$9,Paramètres!$A$1:$I$89,3,0)*0.475*44/12</f>
        <v>7.2659169520928524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30.998201459009856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349.5718186624772</v>
      </c>
      <c r="AO152" s="59">
        <f t="shared" si="144"/>
        <v>258.14152930815959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43.872145005732122</v>
      </c>
      <c r="AV152" s="21">
        <f>EXP(-LN(2)/25)*AV151+(1-EXP(-LN(2)/25))/(LN(2)/25)*Calculateur!AQ152*Calculateur!AS152*VLOOKUP('Données projet'!$B$10,Paramètres!$A$1:$I$89,3,0)*0.475*44/12</f>
        <v>11.919447993170227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55.791592998902345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349.5718186624772</v>
      </c>
      <c r="BJ152" s="59">
        <f t="shared" si="146"/>
        <v>258.14152930815959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43.872145005732122</v>
      </c>
      <c r="BQ152" s="21">
        <f>EXP(-LN(2)/25)*BQ151+(1-EXP(-LN(2)/25))/(LN(2)/25)*Calculateur!BL152*Calculateur!BN152*VLOOKUP('Données projet'!$B$11,Paramètres!$A$1:$I$89,3,0)*0.475*44/12</f>
        <v>11.919447993170227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55.791592998902345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-4.5474735088646412E-13</v>
      </c>
      <c r="BZ152" s="13">
        <f>BY152*VLOOKUP('Données projet'!$B$12,Paramètres!$A$1:$I$89,3,0)*VLOOKUP('Données projet'!$B$12,Paramètres!$A$1:$I$89,5,0)</f>
        <v>-2.1282176021486519E-13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356.22620301934836</v>
      </c>
      <c r="CE152" s="59">
        <f t="shared" si="148"/>
        <v>342.25495410715513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86.364861375729802</v>
      </c>
      <c r="CL152" s="21">
        <f>EXP(-LN(2)/25)*CL151+(1-EXP(-LN(2)/25))/(LN(2)/25)*Calculateur!CG152*Calculateur!CI152*VLOOKUP('Données projet'!$B$12,Paramètres!$A$1:$I$89,3,0)*0.475*44/12</f>
        <v>24.877296646245124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111.24215802197493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-2.8421709430404007E-14</v>
      </c>
      <c r="CU152" s="17">
        <f>CT152*VLOOKUP('Données projet'!$B$13,Paramètres!$A$1:$I$89,3,0)*VLOOKUP('Données projet'!$B$13,Paramètres!$A$1:$I$89,5,0)</f>
        <v>-3.2366642699344085E-14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473.48875234867705</v>
      </c>
      <c r="CZ152" s="59">
        <f t="shared" si="150"/>
        <v>322.74347070996379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111.72745353421621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111.72745353421621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300.80663531652721</v>
      </c>
      <c r="T153" s="59">
        <f t="shared" si="142"/>
        <v>306.01967513533549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23.266908883000596</v>
      </c>
      <c r="AA153" s="21">
        <f>EXP(-LN(2)/25)*AA152+(1-EXP(-LN(2)/25))/(LN(2)/25)*Calculateur!V153*Calculateur!X153*VLOOKUP('Données projet'!$B$9,Paramètres!$A$1:$I$89,3,0)*0.475*44/12</f>
        <v>7.0672300709399076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30.334138953940503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349.5718186624772</v>
      </c>
      <c r="AO153" s="59">
        <f t="shared" si="144"/>
        <v>258.14152930815959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43.011839001535904</v>
      </c>
      <c r="AV153" s="21">
        <f>EXP(-LN(2)/25)*AV152+(1-EXP(-LN(2)/25))/(LN(2)/25)*Calculateur!AQ153*Calculateur!AS153*VLOOKUP('Données projet'!$B$10,Paramètres!$A$1:$I$89,3,0)*0.475*44/12</f>
        <v>11.59351006098046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54.605349062516368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349.5718186624772</v>
      </c>
      <c r="BJ153" s="59">
        <f t="shared" si="146"/>
        <v>258.14152930815959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43.011839001535904</v>
      </c>
      <c r="BQ153" s="21">
        <f>EXP(-LN(2)/25)*BQ152+(1-EXP(-LN(2)/25))/(LN(2)/25)*Calculateur!BL153*Calculateur!BN153*VLOOKUP('Données projet'!$B$11,Paramètres!$A$1:$I$89,3,0)*0.475*44/12</f>
        <v>11.59351006098046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54.605349062516368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-4.5474735088646412E-13</v>
      </c>
      <c r="BZ153" s="13">
        <f>BY153*VLOOKUP('Données projet'!$B$12,Paramètres!$A$1:$I$89,3,0)*VLOOKUP('Données projet'!$B$12,Paramètres!$A$1:$I$89,5,0)</f>
        <v>-2.1282176021486519E-13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356.22620301934836</v>
      </c>
      <c r="CE153" s="59">
        <f t="shared" si="148"/>
        <v>342.25495410715513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84.671299121515716</v>
      </c>
      <c r="CL153" s="21">
        <f>EXP(-LN(2)/25)*CL152+(1-EXP(-LN(2)/25))/(LN(2)/25)*Calculateur!CG153*Calculateur!CI153*VLOOKUP('Données projet'!$B$12,Paramètres!$A$1:$I$89,3,0)*0.475*44/12</f>
        <v>24.197025661213377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108.86832478272909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-2.8421709430404007E-14</v>
      </c>
      <c r="CU153" s="17">
        <f>CT153*VLOOKUP('Données projet'!$B$13,Paramètres!$A$1:$I$89,3,0)*VLOOKUP('Données projet'!$B$13,Paramètres!$A$1:$I$89,5,0)</f>
        <v>-3.2366642699344085E-14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473.48875234867705</v>
      </c>
      <c r="CZ153" s="59">
        <f t="shared" si="150"/>
        <v>322.74347070996379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109.53654631742792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109.53654631742792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300.80663531652721</v>
      </c>
      <c r="T154" s="59">
        <f t="shared" si="142"/>
        <v>306.01967513533549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22.810658991218087</v>
      </c>
      <c r="AA154" s="21">
        <f>EXP(-LN(2)/25)*AA153+(1-EXP(-LN(2)/25))/(LN(2)/25)*Calculateur!V154*Calculateur!X154*VLOOKUP('Données projet'!$B$9,Paramètres!$A$1:$I$89,3,0)*0.475*44/12</f>
        <v>6.8739762930005792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29.684635284218665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349.5718186624772</v>
      </c>
      <c r="AO154" s="59">
        <f t="shared" si="144"/>
        <v>258.14152930815959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42.168403073347122</v>
      </c>
      <c r="AV154" s="21">
        <f>EXP(-LN(2)/25)*AV153+(1-EXP(-LN(2)/25))/(LN(2)/25)*Calculateur!AQ154*Calculateur!AS154*VLOOKUP('Données projet'!$B$10,Paramètres!$A$1:$I$89,3,0)*0.475*44/12</f>
        <v>11.276484918686753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53.444887992033877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349.5718186624772</v>
      </c>
      <c r="BJ154" s="59">
        <f t="shared" si="146"/>
        <v>258.14152930815959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42.168403073347122</v>
      </c>
      <c r="BQ154" s="21">
        <f>EXP(-LN(2)/25)*BQ153+(1-EXP(-LN(2)/25))/(LN(2)/25)*Calculateur!BL154*Calculateur!BN154*VLOOKUP('Données projet'!$B$11,Paramètres!$A$1:$I$89,3,0)*0.475*44/12</f>
        <v>11.276484918686753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53.444887992033877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-4.5474735088646412E-13</v>
      </c>
      <c r="BZ154" s="13">
        <f>BY154*VLOOKUP('Données projet'!$B$12,Paramètres!$A$1:$I$89,3,0)*VLOOKUP('Données projet'!$B$12,Paramètres!$A$1:$I$89,5,0)</f>
        <v>-2.1282176021486519E-13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356.22620301934836</v>
      </c>
      <c r="CE154" s="59">
        <f t="shared" si="148"/>
        <v>342.25495410715513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83.010946590135802</v>
      </c>
      <c r="CL154" s="21">
        <f>EXP(-LN(2)/25)*CL153+(1-EXP(-LN(2)/25))/(LN(2)/25)*Calculateur!CG154*Calculateur!CI154*VLOOKUP('Données projet'!$B$12,Paramètres!$A$1:$I$89,3,0)*0.475*44/12</f>
        <v>23.535356722041222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106.54630331217703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-2.8421709430404007E-14</v>
      </c>
      <c r="CU154" s="17">
        <f>CT154*VLOOKUP('Données projet'!$B$13,Paramètres!$A$1:$I$89,3,0)*VLOOKUP('Données projet'!$B$13,Paramètres!$A$1:$I$89,5,0)</f>
        <v>-3.2366642699344085E-14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473.48875234867705</v>
      </c>
      <c r="CZ154" s="59">
        <f t="shared" si="150"/>
        <v>322.74347070996379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107.3886014548394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107.3886014548394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300.80663531652721</v>
      </c>
      <c r="T155" s="59">
        <f t="shared" si="142"/>
        <v>306.01967513533549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22.363355881528477</v>
      </c>
      <c r="AA155" s="21">
        <f>EXP(-LN(2)/25)*AA154+(1-EXP(-LN(2)/25))/(LN(2)/25)*Calculateur!V155*Calculateur!X155*VLOOKUP('Données projet'!$B$9,Paramètres!$A$1:$I$89,3,0)*0.475*44/12</f>
        <v>6.6860070497817761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29.049362931310252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349.5718186624772</v>
      </c>
      <c r="AO155" s="59">
        <f t="shared" si="144"/>
        <v>258.14152930815959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41.341506409265001</v>
      </c>
      <c r="AV155" s="21">
        <f>EXP(-LN(2)/25)*AV154+(1-EXP(-LN(2)/25))/(LN(2)/25)*Calculateur!AQ155*Calculateur!AS155*VLOOKUP('Données projet'!$B$10,Paramètres!$A$1:$I$89,3,0)*0.475*44/12</f>
        <v>10.968128845580695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52.309635254845695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349.5718186624772</v>
      </c>
      <c r="BJ155" s="59">
        <f t="shared" si="146"/>
        <v>258.14152930815959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41.341506409265001</v>
      </c>
      <c r="BQ155" s="21">
        <f>EXP(-LN(2)/25)*BQ154+(1-EXP(-LN(2)/25))/(LN(2)/25)*Calculateur!BL155*Calculateur!BN155*VLOOKUP('Données projet'!$B$11,Paramètres!$A$1:$I$89,3,0)*0.475*44/12</f>
        <v>10.968128845580695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52.309635254845695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-4.5474735088646412E-13</v>
      </c>
      <c r="BZ155" s="13">
        <f>BY155*VLOOKUP('Données projet'!$B$12,Paramètres!$A$1:$I$89,3,0)*VLOOKUP('Données projet'!$B$12,Paramètres!$A$1:$I$89,5,0)</f>
        <v>-2.1282176021486519E-13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356.22620301934836</v>
      </c>
      <c r="CE155" s="59">
        <f t="shared" si="148"/>
        <v>342.25495410715513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81.383152559181198</v>
      </c>
      <c r="CL155" s="21">
        <f>EXP(-LN(2)/25)*CL154+(1-EXP(-LN(2)/25))/(LN(2)/25)*Calculateur!CG155*Calculateur!CI155*VLOOKUP('Données projet'!$B$12,Paramètres!$A$1:$I$89,3,0)*0.475*44/12</f>
        <v>22.891781154806385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104.27493371398758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-2.8421709430404007E-14</v>
      </c>
      <c r="CU155" s="17">
        <f>CT155*VLOOKUP('Données projet'!$B$13,Paramètres!$A$1:$I$89,3,0)*VLOOKUP('Données projet'!$B$13,Paramètres!$A$1:$I$89,5,0)</f>
        <v>-3.2366642699344085E-14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473.48875234867705</v>
      </c>
      <c r="CZ155" s="59">
        <f t="shared" si="150"/>
        <v>322.74347070996379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105.28277648088924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105.28277648088924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300.80663531652721</v>
      </c>
      <c r="T156" s="59">
        <f t="shared" si="142"/>
        <v>306.01967513533549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21.924824112991924</v>
      </c>
      <c r="AA156" s="21">
        <f>EXP(-LN(2)/25)*AA155+(1-EXP(-LN(2)/25))/(LN(2)/25)*Calculateur!V156*Calculateur!X156*VLOOKUP('Données projet'!$B$9,Paramètres!$A$1:$I$89,3,0)*0.475*44/12</f>
        <v>6.5031778354036636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28.42800194839559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349.5718186624772</v>
      </c>
      <c r="AO156" s="59">
        <f t="shared" si="144"/>
        <v>258.14152930815959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40.530824684408365</v>
      </c>
      <c r="AV156" s="21">
        <f>EXP(-LN(2)/25)*AV155+(1-EXP(-LN(2)/25))/(LN(2)/25)*Calculateur!AQ156*Calculateur!AS156*VLOOKUP('Données projet'!$B$10,Paramètres!$A$1:$I$89,3,0)*0.475*44/12</f>
        <v>10.668204785509463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51.199029469917832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349.5718186624772</v>
      </c>
      <c r="BJ156" s="59">
        <f t="shared" si="146"/>
        <v>258.14152930815959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40.530824684408365</v>
      </c>
      <c r="BQ156" s="21">
        <f>EXP(-LN(2)/25)*BQ155+(1-EXP(-LN(2)/25))/(LN(2)/25)*Calculateur!BL156*Calculateur!BN156*VLOOKUP('Données projet'!$B$11,Paramètres!$A$1:$I$89,3,0)*0.475*44/12</f>
        <v>10.668204785509463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51.199029469917832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-4.5474735088646412E-13</v>
      </c>
      <c r="BZ156" s="13">
        <f>BY156*VLOOKUP('Données projet'!$B$12,Paramètres!$A$1:$I$89,3,0)*VLOOKUP('Données projet'!$B$12,Paramètres!$A$1:$I$89,5,0)</f>
        <v>-2.1282176021486519E-13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356.22620301934836</v>
      </c>
      <c r="CE156" s="59">
        <f t="shared" si="148"/>
        <v>342.25495410715513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79.787278576317291</v>
      </c>
      <c r="CL156" s="21">
        <f>EXP(-LN(2)/25)*CL155+(1-EXP(-LN(2)/25))/(LN(2)/25)*Calculateur!CG156*Calculateur!CI156*VLOOKUP('Données projet'!$B$12,Paramètres!$A$1:$I$89,3,0)*0.475*44/12</f>
        <v>22.265804195301754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102.05308277161905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-2.8421709430404007E-14</v>
      </c>
      <c r="CU156" s="17">
        <f>CT156*VLOOKUP('Données projet'!$B$13,Paramètres!$A$1:$I$89,3,0)*VLOOKUP('Données projet'!$B$13,Paramètres!$A$1:$I$89,5,0)</f>
        <v>-3.2366642699344085E-14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473.48875234867705</v>
      </c>
      <c r="CZ156" s="59">
        <f t="shared" si="150"/>
        <v>322.74347070996379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103.21824545025184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103.21824545025184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300.80663531652721</v>
      </c>
      <c r="T157" s="59">
        <f t="shared" si="142"/>
        <v>306.01967513533549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21.494891684958404</v>
      </c>
      <c r="AA157" s="21">
        <f>EXP(-LN(2)/25)*AA156+(1-EXP(-LN(2)/25))/(LN(2)/25)*Calculateur!V157*Calculateur!X157*VLOOKUP('Données projet'!$B$9,Paramètres!$A$1:$I$89,3,0)*0.475*44/12</f>
        <v>6.3253480955072909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27.820239780465695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349.5718186624772</v>
      </c>
      <c r="AO157" s="59">
        <f t="shared" si="144"/>
        <v>258.14152930815959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39.736039933709144</v>
      </c>
      <c r="AV157" s="21">
        <f>EXP(-LN(2)/25)*AV156+(1-EXP(-LN(2)/25))/(LN(2)/25)*Calculateur!AQ157*Calculateur!AS157*VLOOKUP('Données projet'!$B$10,Paramètres!$A$1:$I$89,3,0)*0.475*44/12</f>
        <v>10.376482164633199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50.112522098342339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349.5718186624772</v>
      </c>
      <c r="BJ157" s="59">
        <f t="shared" si="146"/>
        <v>258.14152930815959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39.736039933709144</v>
      </c>
      <c r="BQ157" s="21">
        <f>EXP(-LN(2)/25)*BQ156+(1-EXP(-LN(2)/25))/(LN(2)/25)*Calculateur!BL157*Calculateur!BN157*VLOOKUP('Données projet'!$B$11,Paramètres!$A$1:$I$89,3,0)*0.475*44/12</f>
        <v>10.376482164633199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50.112522098342339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-4.5474735088646412E-13</v>
      </c>
      <c r="BZ157" s="13">
        <f>BY157*VLOOKUP('Données projet'!$B$12,Paramètres!$A$1:$I$89,3,0)*VLOOKUP('Données projet'!$B$12,Paramètres!$A$1:$I$89,5,0)</f>
        <v>-2.1282176021486519E-13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356.22620301934836</v>
      </c>
      <c r="CE157" s="59">
        <f t="shared" si="148"/>
        <v>342.25495410715513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78.222698708870325</v>
      </c>
      <c r="CL157" s="21">
        <f>EXP(-LN(2)/25)*CL156+(1-EXP(-LN(2)/25))/(LN(2)/25)*Calculateur!CG157*Calculateur!CI157*VLOOKUP('Données projet'!$B$12,Paramètres!$A$1:$I$89,3,0)*0.475*44/12</f>
        <v>21.656944608673474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99.879643317543795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-2.8421709430404007E-14</v>
      </c>
      <c r="CU157" s="17">
        <f>CT157*VLOOKUP('Données projet'!$B$13,Paramètres!$A$1:$I$89,3,0)*VLOOKUP('Données projet'!$B$13,Paramètres!$A$1:$I$89,5,0)</f>
        <v>-3.2366642699344085E-14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473.48875234867705</v>
      </c>
      <c r="CZ157" s="59">
        <f t="shared" si="150"/>
        <v>322.74347070996379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101.19419861388565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101.19419861388565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300.80663531652721</v>
      </c>
      <c r="T158" s="59">
        <f t="shared" si="142"/>
        <v>306.01967513533549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21.073389969605735</v>
      </c>
      <c r="AA158" s="21">
        <f>EXP(-LN(2)/25)*AA157+(1-EXP(-LN(2)/25))/(LN(2)/25)*Calculateur!V158*Calculateur!X158*VLOOKUP('Données projet'!$B$9,Paramètres!$A$1:$I$89,3,0)*0.475*44/12</f>
        <v>6.1523811192000446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27.225771088805779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349.5718186624772</v>
      </c>
      <c r="AO158" s="59">
        <f t="shared" si="144"/>
        <v>258.14152930815959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38.956840427200305</v>
      </c>
      <c r="AV158" s="21">
        <f>EXP(-LN(2)/25)*AV157+(1-EXP(-LN(2)/25))/(LN(2)/25)*Calculateur!AQ158*Calculateur!AS158*VLOOKUP('Données projet'!$B$10,Paramètres!$A$1:$I$89,3,0)*0.475*44/12</f>
        <v>10.092736714165822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49.049577141366129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349.5718186624772</v>
      </c>
      <c r="BJ158" s="59">
        <f t="shared" si="146"/>
        <v>258.14152930815959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38.956840427200305</v>
      </c>
      <c r="BQ158" s="21">
        <f>EXP(-LN(2)/25)*BQ157+(1-EXP(-LN(2)/25))/(LN(2)/25)*Calculateur!BL158*Calculateur!BN158*VLOOKUP('Données projet'!$B$11,Paramètres!$A$1:$I$89,3,0)*0.475*44/12</f>
        <v>10.092736714165822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49.049577141366129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-4.5474735088646412E-13</v>
      </c>
      <c r="BZ158" s="13">
        <f>BY158*VLOOKUP('Données projet'!$B$12,Paramètres!$A$1:$I$89,3,0)*VLOOKUP('Données projet'!$B$12,Paramètres!$A$1:$I$89,5,0)</f>
        <v>-2.1282176021486519E-13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356.22620301934836</v>
      </c>
      <c r="CE158" s="59">
        <f t="shared" si="148"/>
        <v>342.25495410715513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76.688799298324511</v>
      </c>
      <c r="CL158" s="21">
        <f>EXP(-LN(2)/25)*CL157+(1-EXP(-LN(2)/25))/(LN(2)/25)*Calculateur!CG158*Calculateur!CI158*VLOOKUP('Données projet'!$B$12,Paramètres!$A$1:$I$89,3,0)*0.475*44/12</f>
        <v>21.064734319460079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97.753533617784598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-2.8421709430404007E-14</v>
      </c>
      <c r="CU158" s="17">
        <f>CT158*VLOOKUP('Données projet'!$B$13,Paramètres!$A$1:$I$89,3,0)*VLOOKUP('Données projet'!$B$13,Paramètres!$A$1:$I$89,5,0)</f>
        <v>-3.2366642699344085E-14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473.48875234867705</v>
      </c>
      <c r="CZ158" s="59">
        <f t="shared" si="150"/>
        <v>322.74347070996379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99.209842101433921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99.209842101433921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300.80663531652721</v>
      </c>
      <c r="T159" s="59">
        <f t="shared" si="142"/>
        <v>306.01967513533549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20.66015364580047</v>
      </c>
      <c r="AA159" s="21">
        <f>EXP(-LN(2)/25)*AA158+(1-EXP(-LN(2)/25))/(LN(2)/25)*Calculateur!V159*Calculateur!X159*VLOOKUP('Données projet'!$B$9,Paramètres!$A$1:$I$89,3,0)*0.475*44/12</f>
        <v>5.984143933955858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26.644297579756326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349.5718186624772</v>
      </c>
      <c r="AO159" s="59">
        <f t="shared" si="144"/>
        <v>258.14152930815959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38.192920547749331</v>
      </c>
      <c r="AV159" s="21">
        <f>EXP(-LN(2)/25)*AV158+(1-EXP(-LN(2)/25))/(LN(2)/25)*Calculateur!AQ159*Calculateur!AS159*VLOOKUP('Données projet'!$B$10,Paramètres!$A$1:$I$89,3,0)*0.475*44/12</f>
        <v>9.8167502979630008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48.009670845712336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349.5718186624772</v>
      </c>
      <c r="BJ159" s="59">
        <f t="shared" si="146"/>
        <v>258.14152930815959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38.192920547749331</v>
      </c>
      <c r="BQ159" s="21">
        <f>EXP(-LN(2)/25)*BQ158+(1-EXP(-LN(2)/25))/(LN(2)/25)*Calculateur!BL159*Calculateur!BN159*VLOOKUP('Données projet'!$B$11,Paramètres!$A$1:$I$89,3,0)*0.475*44/12</f>
        <v>9.8167502979630008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48.009670845712336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-4.5474735088646412E-13</v>
      </c>
      <c r="BZ159" s="13">
        <f>BY159*VLOOKUP('Données projet'!$B$12,Paramètres!$A$1:$I$89,3,0)*VLOOKUP('Données projet'!$B$12,Paramètres!$A$1:$I$89,5,0)</f>
        <v>-2.1282176021486519E-13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356.22620301934836</v>
      </c>
      <c r="CE159" s="59">
        <f t="shared" si="148"/>
        <v>342.25495410715513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75.184978719633236</v>
      </c>
      <c r="CL159" s="21">
        <f>EXP(-LN(2)/25)*CL158+(1-EXP(-LN(2)/25))/(LN(2)/25)*Calculateur!CG159*Calculateur!CI159*VLOOKUP('Données projet'!$B$12,Paramètres!$A$1:$I$89,3,0)*0.475*44/12</f>
        <v>20.488718051748211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95.673696771381444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-2.8421709430404007E-14</v>
      </c>
      <c r="CU159" s="17">
        <f>CT159*VLOOKUP('Données projet'!$B$13,Paramètres!$A$1:$I$89,3,0)*VLOOKUP('Données projet'!$B$13,Paramètres!$A$1:$I$89,5,0)</f>
        <v>-3.2366642699344085E-14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473.48875234867705</v>
      </c>
      <c r="CZ159" s="59">
        <f t="shared" si="150"/>
        <v>322.74347070996379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97.264397609853418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97.264397609853418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300.80663531652721</v>
      </c>
      <c r="T160" s="59">
        <f t="shared" si="142"/>
        <v>306.01967513533549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20.255020634255757</v>
      </c>
      <c r="AA160" s="21">
        <f>EXP(-LN(2)/25)*AA159+(1-EXP(-LN(2)/25))/(LN(2)/25)*Calculateur!V160*Calculateur!X160*VLOOKUP('Données projet'!$B$9,Paramètres!$A$1:$I$89,3,0)*0.475*44/12</f>
        <v>5.8205072033893828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26.07552783764514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349.5718186624772</v>
      </c>
      <c r="AO160" s="59">
        <f t="shared" si="144"/>
        <v>258.14152930815959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37.443980671189273</v>
      </c>
      <c r="AV160" s="21">
        <f>EXP(-LN(2)/25)*AV159+(1-EXP(-LN(2)/25))/(LN(2)/25)*Calculateur!AQ160*Calculateur!AS160*VLOOKUP('Données projet'!$B$10,Paramètres!$A$1:$I$89,3,0)*0.475*44/12</f>
        <v>9.5483107448247413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46.992291416014012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349.5718186624772</v>
      </c>
      <c r="BJ160" s="59">
        <f t="shared" si="146"/>
        <v>258.14152930815959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37.443980671189273</v>
      </c>
      <c r="BQ160" s="21">
        <f>EXP(-LN(2)/25)*BQ159+(1-EXP(-LN(2)/25))/(LN(2)/25)*Calculateur!BL160*Calculateur!BN160*VLOOKUP('Données projet'!$B$11,Paramètres!$A$1:$I$89,3,0)*0.475*44/12</f>
        <v>9.5483107448247413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46.992291416014012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-4.5474735088646412E-13</v>
      </c>
      <c r="BZ160" s="13">
        <f>BY160*VLOOKUP('Données projet'!$B$12,Paramètres!$A$1:$I$89,3,0)*VLOOKUP('Données projet'!$B$12,Paramètres!$A$1:$I$89,5,0)</f>
        <v>-2.1282176021486519E-13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356.22620301934836</v>
      </c>
      <c r="CE160" s="59">
        <f t="shared" si="148"/>
        <v>342.25495410715513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73.710647145250121</v>
      </c>
      <c r="CL160" s="21">
        <f>EXP(-LN(2)/25)*CL159+(1-EXP(-LN(2)/25))/(LN(2)/25)*Calculateur!CG160*Calculateur!CI160*VLOOKUP('Données projet'!$B$12,Paramètres!$A$1:$I$89,3,0)*0.475*44/12</f>
        <v>19.928452979168302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93.63910012441842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-2.8421709430404007E-14</v>
      </c>
      <c r="CU160" s="17">
        <f>CT160*VLOOKUP('Données projet'!$B$13,Paramètres!$A$1:$I$89,3,0)*VLOOKUP('Données projet'!$B$13,Paramètres!$A$1:$I$89,5,0)</f>
        <v>-3.2366642699344085E-14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473.48875234867705</v>
      </c>
      <c r="CZ160" s="59">
        <f t="shared" si="150"/>
        <v>322.74347070996379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95.357102098148829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95.357102098148829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300.80663531652721</v>
      </c>
      <c r="T161" s="59">
        <f t="shared" si="142"/>
        <v>306.01967513533549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19.857832033960698</v>
      </c>
      <c r="AA161" s="21">
        <f>EXP(-LN(2)/25)*AA160+(1-EXP(-LN(2)/25))/(LN(2)/25)*Calculateur!V161*Calculateur!X161*VLOOKUP('Données projet'!$B$9,Paramètres!$A$1:$I$89,3,0)*0.475*44/12</f>
        <v>5.6613451278255296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25.519177161786228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349.5718186624772</v>
      </c>
      <c r="AO161" s="59">
        <f t="shared" si="144"/>
        <v>258.14152930815959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36.709727048800339</v>
      </c>
      <c r="AV161" s="21">
        <f>EXP(-LN(2)/25)*AV160+(1-EXP(-LN(2)/25))/(LN(2)/25)*Calculateur!AQ161*Calculateur!AS161*VLOOKUP('Données projet'!$B$10,Paramètres!$A$1:$I$89,3,0)*0.475*44/12</f>
        <v>9.287211685383669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45.996938734184006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349.5718186624772</v>
      </c>
      <c r="BJ161" s="59">
        <f t="shared" si="146"/>
        <v>258.14152930815959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36.709727048800339</v>
      </c>
      <c r="BQ161" s="21">
        <f>EXP(-LN(2)/25)*BQ160+(1-EXP(-LN(2)/25))/(LN(2)/25)*Calculateur!BL161*Calculateur!BN161*VLOOKUP('Données projet'!$B$11,Paramètres!$A$1:$I$89,3,0)*0.475*44/12</f>
        <v>9.287211685383669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45.996938734184006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-4.5474735088646412E-13</v>
      </c>
      <c r="BZ161" s="13">
        <f>BY161*VLOOKUP('Données projet'!$B$12,Paramètres!$A$1:$I$89,3,0)*VLOOKUP('Données projet'!$B$12,Paramètres!$A$1:$I$89,5,0)</f>
        <v>-2.1282176021486519E-13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356.22620301934836</v>
      </c>
      <c r="CE161" s="59">
        <f t="shared" si="148"/>
        <v>342.25495410715513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72.265226313787181</v>
      </c>
      <c r="CL161" s="21">
        <f>EXP(-LN(2)/25)*CL160+(1-EXP(-LN(2)/25))/(LN(2)/25)*Calculateur!CG161*Calculateur!CI161*VLOOKUP('Données projet'!$B$12,Paramètres!$A$1:$I$89,3,0)*0.475*44/12</f>
        <v>19.383508384461148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91.648734698248333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-2.8421709430404007E-14</v>
      </c>
      <c r="CU161" s="17">
        <f>CT161*VLOOKUP('Données projet'!$B$13,Paramètres!$A$1:$I$89,3,0)*VLOOKUP('Données projet'!$B$13,Paramètres!$A$1:$I$89,5,0)</f>
        <v>-3.2366642699344085E-14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473.48875234867705</v>
      </c>
      <c r="CZ161" s="59">
        <f t="shared" si="150"/>
        <v>322.74347070996379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93.487207488093375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93.487207488093375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300.80663531652721</v>
      </c>
      <c r="T162" s="59">
        <f t="shared" si="142"/>
        <v>306.01967513533549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19.468432059856301</v>
      </c>
      <c r="AA162" s="21">
        <f>EXP(-LN(2)/25)*AA161+(1-EXP(-LN(2)/25))/(LN(2)/25)*Calculateur!V162*Calculateur!X162*VLOOKUP('Données projet'!$B$9,Paramètres!$A$1:$I$89,3,0)*0.475*44/12</f>
        <v>5.5065353475879393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24.97496740744424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349.5718186624772</v>
      </c>
      <c r="AO162" s="59">
        <f t="shared" si="144"/>
        <v>258.14152930815959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35.989871692095967</v>
      </c>
      <c r="AV162" s="21">
        <f>EXP(-LN(2)/25)*AV161+(1-EXP(-LN(2)/25))/(LN(2)/25)*Calculateur!AQ162*Calculateur!AS162*VLOOKUP('Données projet'!$B$10,Paramètres!$A$1:$I$89,3,0)*0.475*44/12</f>
        <v>9.0332523934536155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45.023124085549583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349.5718186624772</v>
      </c>
      <c r="BJ162" s="59">
        <f t="shared" si="146"/>
        <v>258.14152930815959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35.989871692095967</v>
      </c>
      <c r="BQ162" s="21">
        <f>EXP(-LN(2)/25)*BQ161+(1-EXP(-LN(2)/25))/(LN(2)/25)*Calculateur!BL162*Calculateur!BN162*VLOOKUP('Données projet'!$B$11,Paramètres!$A$1:$I$89,3,0)*0.475*44/12</f>
        <v>9.0332523934536155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45.023124085549583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-4.5474735088646412E-13</v>
      </c>
      <c r="BZ162" s="13">
        <f>BY162*VLOOKUP('Données projet'!$B$12,Paramètres!$A$1:$I$89,3,0)*VLOOKUP('Données projet'!$B$12,Paramètres!$A$1:$I$89,5,0)</f>
        <v>-2.1282176021486519E-13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356.22620301934836</v>
      </c>
      <c r="CE162" s="59">
        <f t="shared" si="148"/>
        <v>342.25495410715513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70.848149303209581</v>
      </c>
      <c r="CL162" s="21">
        <f>EXP(-LN(2)/25)*CL161+(1-EXP(-LN(2)/25))/(LN(2)/25)*Calculateur!CG162*Calculateur!CI162*VLOOKUP('Données projet'!$B$12,Paramètres!$A$1:$I$89,3,0)*0.475*44/12</f>
        <v>18.853465328353654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89.701614631563231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-2.8421709430404007E-14</v>
      </c>
      <c r="CU162" s="17">
        <f>CT162*VLOOKUP('Données projet'!$B$13,Paramètres!$A$1:$I$89,3,0)*VLOOKUP('Données projet'!$B$13,Paramètres!$A$1:$I$89,5,0)</f>
        <v>-3.2366642699344085E-14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473.48875234867705</v>
      </c>
      <c r="CZ162" s="59">
        <f t="shared" si="150"/>
        <v>322.74347070996379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91.653980370818019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91.653980370818019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300.80663531652721</v>
      </c>
      <c r="T163" s="59">
        <f t="shared" si="142"/>
        <v>306.01967513533549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19.086667981733559</v>
      </c>
      <c r="AA163" s="21">
        <f>EXP(-LN(2)/25)*AA162+(1-EXP(-LN(2)/25))/(LN(2)/25)*Calculateur!V163*Calculateur!X163*VLOOKUP('Données projet'!$B$9,Paramètres!$A$1:$I$89,3,0)*0.475*44/12</f>
        <v>5.3559588489320387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24.442626830665596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349.5718186624772</v>
      </c>
      <c r="AO163" s="59">
        <f t="shared" si="144"/>
        <v>258.14152930815959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35.284132259868151</v>
      </c>
      <c r="AV163" s="21">
        <f>EXP(-LN(2)/25)*AV162+(1-EXP(-LN(2)/25))/(LN(2)/25)*Calculateur!AQ163*Calculateur!AS163*VLOOKUP('Données projet'!$B$10,Paramètres!$A$1:$I$89,3,0)*0.475*44/12</f>
        <v>8.7862376317165296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44.070369891584683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349.5718186624772</v>
      </c>
      <c r="BJ163" s="59">
        <f t="shared" si="146"/>
        <v>258.14152930815959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35.284132259868151</v>
      </c>
      <c r="BQ163" s="21">
        <f>EXP(-LN(2)/25)*BQ162+(1-EXP(-LN(2)/25))/(LN(2)/25)*Calculateur!BL163*Calculateur!BN163*VLOOKUP('Données projet'!$B$11,Paramètres!$A$1:$I$89,3,0)*0.475*44/12</f>
        <v>8.7862376317165296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44.070369891584683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-4.5474735088646412E-13</v>
      </c>
      <c r="BZ163" s="13">
        <f>BY163*VLOOKUP('Données projet'!$B$12,Paramètres!$A$1:$I$89,3,0)*VLOOKUP('Données projet'!$B$12,Paramètres!$A$1:$I$89,5,0)</f>
        <v>-2.1282176021486519E-13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356.22620301934836</v>
      </c>
      <c r="CE163" s="59">
        <f t="shared" si="148"/>
        <v>342.25495410715513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69.458860308477782</v>
      </c>
      <c r="CL163" s="21">
        <f>EXP(-LN(2)/25)*CL162+(1-EXP(-LN(2)/25))/(LN(2)/25)*Calculateur!CG163*Calculateur!CI163*VLOOKUP('Données projet'!$B$12,Paramètres!$A$1:$I$89,3,0)*0.475*44/12</f>
        <v>18.337916327489172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87.79677663596695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-2.8421709430404007E-14</v>
      </c>
      <c r="CU163" s="17">
        <f>CT163*VLOOKUP('Données projet'!$B$13,Paramètres!$A$1:$I$89,3,0)*VLOOKUP('Données projet'!$B$13,Paramètres!$A$1:$I$89,5,0)</f>
        <v>-3.2366642699344085E-14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473.48875234867705</v>
      </c>
      <c r="CZ163" s="59">
        <f t="shared" si="150"/>
        <v>322.74347070996379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89.856701719154302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89.856701719154302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300.80663531652721</v>
      </c>
      <c r="T164" s="59">
        <f t="shared" si="142"/>
        <v>306.01967513533549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18.712390064329707</v>
      </c>
      <c r="AA164" s="21">
        <f>EXP(-LN(2)/25)*AA163+(1-EXP(-LN(2)/25))/(LN(2)/25)*Calculateur!V164*Calculateur!X164*VLOOKUP('Données projet'!$B$9,Paramètres!$A$1:$I$89,3,0)*0.475*44/12</f>
        <v>5.2094998725503574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23.921889936880063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349.5718186624772</v>
      </c>
      <c r="AO164" s="59">
        <f t="shared" si="144"/>
        <v>258.14152930815959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34.592231947447772</v>
      </c>
      <c r="AV164" s="21">
        <f>EXP(-LN(2)/25)*AV163+(1-EXP(-LN(2)/25))/(LN(2)/25)*Calculateur!AQ164*Calculateur!AS164*VLOOKUP('Données projet'!$B$10,Paramètres!$A$1:$I$89,3,0)*0.475*44/12</f>
        <v>8.5459775016290855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43.138209449076854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349.5718186624772</v>
      </c>
      <c r="BJ164" s="59">
        <f t="shared" si="146"/>
        <v>258.14152930815959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34.592231947447772</v>
      </c>
      <c r="BQ164" s="21">
        <f>EXP(-LN(2)/25)*BQ163+(1-EXP(-LN(2)/25))/(LN(2)/25)*Calculateur!BL164*Calculateur!BN164*VLOOKUP('Données projet'!$B$11,Paramètres!$A$1:$I$89,3,0)*0.475*44/12</f>
        <v>8.5459775016290855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43.138209449076854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-4.5474735088646412E-13</v>
      </c>
      <c r="BZ164" s="13">
        <f>BY164*VLOOKUP('Données projet'!$B$12,Paramètres!$A$1:$I$89,3,0)*VLOOKUP('Données projet'!$B$12,Paramètres!$A$1:$I$89,5,0)</f>
        <v>-2.1282176021486519E-13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356.22620301934836</v>
      </c>
      <c r="CE164" s="59">
        <f t="shared" si="148"/>
        <v>342.25495410715513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68.096814423550057</v>
      </c>
      <c r="CL164" s="21">
        <f>EXP(-LN(2)/25)*CL163+(1-EXP(-LN(2)/25))/(LN(2)/25)*Calculateur!CG164*Calculateur!CI164*VLOOKUP('Données projet'!$B$12,Paramètres!$A$1:$I$89,3,0)*0.475*44/12</f>
        <v>17.836465041164871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85.933279464714929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-2.8421709430404007E-14</v>
      </c>
      <c r="CU164" s="17">
        <f>CT164*VLOOKUP('Données projet'!$B$13,Paramètres!$A$1:$I$89,3,0)*VLOOKUP('Données projet'!$B$13,Paramètres!$A$1:$I$89,5,0)</f>
        <v>-3.2366642699344085E-14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473.48875234867705</v>
      </c>
      <c r="CZ164" s="59">
        <f t="shared" si="150"/>
        <v>322.74347070996379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88.094666605617974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88.094666605617974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300.80663531652721</v>
      </c>
      <c r="T165" s="59">
        <f t="shared" si="142"/>
        <v>306.01967513533549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18.345451508599158</v>
      </c>
      <c r="AA165" s="21">
        <f>EXP(-LN(2)/25)*AA164+(1-EXP(-LN(2)/25))/(LN(2)/25)*Calculateur!V165*Calculateur!X165*VLOOKUP('Données projet'!$B$9,Paramètres!$A$1:$I$89,3,0)*0.475*44/12</f>
        <v>5.0670458245797763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23.412497333178933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349.5718186624772</v>
      </c>
      <c r="AO165" s="59">
        <f t="shared" si="144"/>
        <v>258.14152930815959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33.913899378136435</v>
      </c>
      <c r="AV165" s="21">
        <f>EXP(-LN(2)/25)*AV164+(1-EXP(-LN(2)/25))/(LN(2)/25)*Calculateur!AQ165*Calculateur!AS165*VLOOKUP('Données projet'!$B$10,Paramètres!$A$1:$I$89,3,0)*0.475*44/12</f>
        <v>8.3122872974336133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42.226186675570048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349.5718186624772</v>
      </c>
      <c r="BJ165" s="59">
        <f t="shared" si="146"/>
        <v>258.14152930815959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33.913899378136435</v>
      </c>
      <c r="BQ165" s="21">
        <f>EXP(-LN(2)/25)*BQ164+(1-EXP(-LN(2)/25))/(LN(2)/25)*Calculateur!BL165*Calculateur!BN165*VLOOKUP('Données projet'!$B$11,Paramètres!$A$1:$I$89,3,0)*0.475*44/12</f>
        <v>8.3122872974336133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42.226186675570048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-4.5474735088646412E-13</v>
      </c>
      <c r="BZ165" s="13">
        <f>BY165*VLOOKUP('Données projet'!$B$12,Paramètres!$A$1:$I$89,3,0)*VLOOKUP('Données projet'!$B$12,Paramètres!$A$1:$I$89,5,0)</f>
        <v>-2.1282176021486519E-13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356.22620301934836</v>
      </c>
      <c r="CE165" s="59">
        <f t="shared" si="148"/>
        <v>342.25495410715513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66.761477427659798</v>
      </c>
      <c r="CL165" s="21">
        <f>EXP(-LN(2)/25)*CL164+(1-EXP(-LN(2)/25))/(LN(2)/25)*Calculateur!CG165*Calculateur!CI165*VLOOKUP('Données projet'!$B$12,Paramètres!$A$1:$I$89,3,0)*0.475*44/12</f>
        <v>17.348725966635286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84.110203394295084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-2.8421709430404007E-14</v>
      </c>
      <c r="CU165" s="17">
        <f>CT165*VLOOKUP('Données projet'!$B$13,Paramètres!$A$1:$I$89,3,0)*VLOOKUP('Données projet'!$B$13,Paramètres!$A$1:$I$89,5,0)</f>
        <v>-3.2366642699344085E-14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473.48875234867705</v>
      </c>
      <c r="CZ165" s="59">
        <f t="shared" si="150"/>
        <v>322.74347070996379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86.367183925922802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86.367183925922802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300.80663531652721</v>
      </c>
      <c r="T166" s="59">
        <f t="shared" si="142"/>
        <v>306.01967513533549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17.985708394136065</v>
      </c>
      <c r="AA166" s="21">
        <f>EXP(-LN(2)/25)*AA165+(1-EXP(-LN(2)/25))/(LN(2)/25)*Calculateur!V166*Calculateur!X166*VLOOKUP('Données projet'!$B$9,Paramètres!$A$1:$I$89,3,0)*0.475*44/12</f>
        <v>4.9284871900422829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22.914195584178348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349.5718186624772</v>
      </c>
      <c r="AO166" s="59">
        <f t="shared" si="144"/>
        <v>258.14152930815959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33.24886849676728</v>
      </c>
      <c r="AV166" s="21">
        <f>EXP(-LN(2)/25)*AV165+(1-EXP(-LN(2)/25))/(LN(2)/25)*Calculateur!AQ166*Calculateur!AS166*VLOOKUP('Données projet'!$B$10,Paramètres!$A$1:$I$89,3,0)*0.475*44/12</f>
        <v>8.0849873641610994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41.333855860928381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349.5718186624772</v>
      </c>
      <c r="BJ166" s="59">
        <f t="shared" si="146"/>
        <v>258.14152930815959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33.24886849676728</v>
      </c>
      <c r="BQ166" s="21">
        <f>EXP(-LN(2)/25)*BQ165+(1-EXP(-LN(2)/25))/(LN(2)/25)*Calculateur!BL166*Calculateur!BN166*VLOOKUP('Données projet'!$B$11,Paramètres!$A$1:$I$89,3,0)*0.475*44/12</f>
        <v>8.0849873641610994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41.333855860928381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-4.5474735088646412E-13</v>
      </c>
      <c r="BZ166" s="13">
        <f>BY166*VLOOKUP('Données projet'!$B$12,Paramètres!$A$1:$I$89,3,0)*VLOOKUP('Données projet'!$B$12,Paramètres!$A$1:$I$89,5,0)</f>
        <v>-2.1282176021486519E-13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356.22620301934836</v>
      </c>
      <c r="CE166" s="59">
        <f t="shared" si="148"/>
        <v>342.25495410715513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65.452325575783803</v>
      </c>
      <c r="CL166" s="21">
        <f>EXP(-LN(2)/25)*CL165+(1-EXP(-LN(2)/25))/(LN(2)/25)*Calculateur!CG166*Calculateur!CI166*VLOOKUP('Données projet'!$B$12,Paramètres!$A$1:$I$89,3,0)*0.475*44/12</f>
        <v>16.874324142747795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82.326649718531598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-2.8421709430404007E-14</v>
      </c>
      <c r="CU166" s="17">
        <f>CT166*VLOOKUP('Données projet'!$B$13,Paramètres!$A$1:$I$89,3,0)*VLOOKUP('Données projet'!$B$13,Paramètres!$A$1:$I$89,5,0)</f>
        <v>-3.2366642699344085E-14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473.48875234867705</v>
      </c>
      <c r="CZ166" s="59">
        <f t="shared" si="150"/>
        <v>322.74347070996379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84.67357612791605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84.67357612791605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300.80663531652721</v>
      </c>
      <c r="T167" s="59">
        <f t="shared" si="142"/>
        <v>306.01967513533549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17.633019622725961</v>
      </c>
      <c r="AA167" s="21">
        <f>EXP(-LN(2)/25)*AA166+(1-EXP(-LN(2)/25))/(LN(2)/25)*Calculateur!V167*Calculateur!X167*VLOOKUP('Données projet'!$B$9,Paramètres!$A$1:$I$89,3,0)*0.475*44/12</f>
        <v>4.7937174486526999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22.42673707137866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349.5718186624772</v>
      </c>
      <c r="AO167" s="59">
        <f t="shared" si="144"/>
        <v>258.14152930815959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32.596878465352994</v>
      </c>
      <c r="AV167" s="21">
        <f>EXP(-LN(2)/25)*AV166+(1-EXP(-LN(2)/25))/(LN(2)/25)*Calculateur!AQ167*Calculateur!AS167*VLOOKUP('Données projet'!$B$10,Paramètres!$A$1:$I$89,3,0)*0.475*44/12</f>
        <v>7.863902959517107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40.460781424870099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349.5718186624772</v>
      </c>
      <c r="BJ167" s="59">
        <f t="shared" si="146"/>
        <v>258.14152930815959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32.596878465352994</v>
      </c>
      <c r="BQ167" s="21">
        <f>EXP(-LN(2)/25)*BQ166+(1-EXP(-LN(2)/25))/(LN(2)/25)*Calculateur!BL167*Calculateur!BN167*VLOOKUP('Données projet'!$B$11,Paramètres!$A$1:$I$89,3,0)*0.475*44/12</f>
        <v>7.863902959517107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40.460781424870099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-4.5474735088646412E-13</v>
      </c>
      <c r="BZ167" s="13">
        <f>BY167*VLOOKUP('Données projet'!$B$12,Paramètres!$A$1:$I$89,3,0)*VLOOKUP('Données projet'!$B$12,Paramètres!$A$1:$I$89,5,0)</f>
        <v>-2.1282176021486519E-13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356.22620301934836</v>
      </c>
      <c r="CE167" s="59">
        <f t="shared" si="148"/>
        <v>342.25495410715513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64.168845393219314</v>
      </c>
      <c r="CL167" s="21">
        <f>EXP(-LN(2)/25)*CL166+(1-EXP(-LN(2)/25))/(LN(2)/25)*Calculateur!CG167*Calculateur!CI167*VLOOKUP('Données projet'!$B$12,Paramètres!$A$1:$I$89,3,0)*0.475*44/12</f>
        <v>16.412894861682219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80.581740254901533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-2.8421709430404007E-14</v>
      </c>
      <c r="CU167" s="17">
        <f>CT167*VLOOKUP('Données projet'!$B$13,Paramètres!$A$1:$I$89,3,0)*VLOOKUP('Données projet'!$B$13,Paramètres!$A$1:$I$89,5,0)</f>
        <v>-3.2366642699344085E-14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473.48875234867705</v>
      </c>
      <c r="CZ167" s="59">
        <f t="shared" si="150"/>
        <v>322.74347070996379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83.013178945829452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83.013178945829452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300.80663531652721</v>
      </c>
      <c r="T168" s="59">
        <f t="shared" si="142"/>
        <v>306.01967513533549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17.287246863004299</v>
      </c>
      <c r="AA168" s="21">
        <f>EXP(-LN(2)/25)*AA167+(1-EXP(-LN(2)/25))/(LN(2)/25)*Calculateur!V168*Calculateur!X168*VLOOKUP('Données projet'!$B$9,Paramètres!$A$1:$I$89,3,0)*0.475*44/12</f>
        <v>4.6626329929286472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21.949879855932945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349.5718186624772</v>
      </c>
      <c r="AO168" s="59">
        <f t="shared" si="144"/>
        <v>258.14152930815959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31.957673560780087</v>
      </c>
      <c r="AV168" s="21">
        <f>EXP(-LN(2)/25)*AV167+(1-EXP(-LN(2)/25))/(LN(2)/25)*Calculateur!AQ168*Calculateur!AS168*VLOOKUP('Données projet'!$B$10,Paramètres!$A$1:$I$89,3,0)*0.475*44/12</f>
        <v>7.6488641195444282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39.606537680324514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349.5718186624772</v>
      </c>
      <c r="BJ168" s="59">
        <f t="shared" si="146"/>
        <v>258.14152930815959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31.957673560780087</v>
      </c>
      <c r="BQ168" s="21">
        <f>EXP(-LN(2)/25)*BQ167+(1-EXP(-LN(2)/25))/(LN(2)/25)*Calculateur!BL168*Calculateur!BN168*VLOOKUP('Données projet'!$B$11,Paramètres!$A$1:$I$89,3,0)*0.475*44/12</f>
        <v>7.6488641195444282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39.606537680324514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-4.5474735088646412E-13</v>
      </c>
      <c r="BZ168" s="13">
        <f>BY168*VLOOKUP('Données projet'!$B$12,Paramètres!$A$1:$I$89,3,0)*VLOOKUP('Données projet'!$B$12,Paramètres!$A$1:$I$89,5,0)</f>
        <v>-2.1282176021486519E-13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356.22620301934836</v>
      </c>
      <c r="CE168" s="59">
        <f t="shared" si="148"/>
        <v>342.25495410715513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62.910533474189307</v>
      </c>
      <c r="CL168" s="21">
        <f>EXP(-LN(2)/25)*CL167+(1-EXP(-LN(2)/25))/(LN(2)/25)*Calculateur!CG168*Calculateur!CI168*VLOOKUP('Données projet'!$B$12,Paramètres!$A$1:$I$89,3,0)*0.475*44/12</f>
        <v>15.96408338857289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78.874616862762196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-2.8421709430404007E-14</v>
      </c>
      <c r="CU168" s="17">
        <f>CT168*VLOOKUP('Données projet'!$B$13,Paramètres!$A$1:$I$89,3,0)*VLOOKUP('Données projet'!$B$13,Paramètres!$A$1:$I$89,5,0)</f>
        <v>-3.2366642699344085E-14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473.48875234867705</v>
      </c>
      <c r="CZ168" s="59">
        <f t="shared" si="150"/>
        <v>322.74347070996379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81.3853411397413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81.3853411397413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300.80663531652721</v>
      </c>
      <c r="T169" s="59">
        <f t="shared" si="142"/>
        <v>306.01967513533549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16.948254496200221</v>
      </c>
      <c r="AA169" s="21">
        <f>EXP(-LN(2)/25)*AA168+(1-EXP(-LN(2)/25))/(LN(2)/25)*Calculateur!V169*Calculateur!X169*VLOOKUP('Données projet'!$B$9,Paramètres!$A$1:$I$89,3,0)*0.475*44/12</f>
        <v>4.5351330485398007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21.483387544740022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349.5718186624772</v>
      </c>
      <c r="AO169" s="59">
        <f t="shared" si="144"/>
        <v>258.14152930815959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31.331003074509361</v>
      </c>
      <c r="AV169" s="21">
        <f>EXP(-LN(2)/25)*AV168+(1-EXP(-LN(2)/25))/(LN(2)/25)*Calculateur!AQ169*Calculateur!AS169*VLOOKUP('Données projet'!$B$10,Paramètres!$A$1:$I$89,3,0)*0.475*44/12</f>
        <v>7.4397055279592035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38.770708602468567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349.5718186624772</v>
      </c>
      <c r="BJ169" s="59">
        <f t="shared" si="146"/>
        <v>258.14152930815959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31.331003074509361</v>
      </c>
      <c r="BQ169" s="21">
        <f>EXP(-LN(2)/25)*BQ168+(1-EXP(-LN(2)/25))/(LN(2)/25)*Calculateur!BL169*Calculateur!BN169*VLOOKUP('Données projet'!$B$11,Paramètres!$A$1:$I$89,3,0)*0.475*44/12</f>
        <v>7.4397055279592035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38.770708602468567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-4.5474735088646412E-13</v>
      </c>
      <c r="BZ169" s="13">
        <f>BY169*VLOOKUP('Données projet'!$B$12,Paramètres!$A$1:$I$89,3,0)*VLOOKUP('Données projet'!$B$12,Paramètres!$A$1:$I$89,5,0)</f>
        <v>-2.1282176021486519E-13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356.22620301934836</v>
      </c>
      <c r="CE169" s="59">
        <f t="shared" si="148"/>
        <v>342.25495410715513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61.676896284396989</v>
      </c>
      <c r="CL169" s="21">
        <f>EXP(-LN(2)/25)*CL168+(1-EXP(-LN(2)/25))/(LN(2)/25)*Calculateur!CG169*Calculateur!CI169*VLOOKUP('Données projet'!$B$12,Paramètres!$A$1:$I$89,3,0)*0.475*44/12</f>
        <v>15.527544688797706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77.204440973194693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-2.8421709430404007E-14</v>
      </c>
      <c r="CU169" s="17">
        <f>CT169*VLOOKUP('Données projet'!$B$13,Paramètres!$A$1:$I$89,3,0)*VLOOKUP('Données projet'!$B$13,Paramètres!$A$1:$I$89,5,0)</f>
        <v>-3.2366642699344085E-14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473.48875234867705</v>
      </c>
      <c r="CZ169" s="59">
        <f t="shared" si="150"/>
        <v>322.74347070996379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79.789424240147511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79.789424240147511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300.80663531652721</v>
      </c>
      <c r="T170" s="59">
        <f t="shared" si="142"/>
        <v>306.01967513533549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16.615909562944243</v>
      </c>
      <c r="AA170" s="21">
        <f>EXP(-LN(2)/25)*AA169+(1-EXP(-LN(2)/25))/(LN(2)/25)*Calculateur!V170*Calculateur!X170*VLOOKUP('Données projet'!$B$9,Paramètres!$A$1:$I$89,3,0)*0.475*44/12</f>
        <v>4.4111195968351984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21.027029159779442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349.5718186624772</v>
      </c>
      <c r="AO170" s="59">
        <f t="shared" si="144"/>
        <v>258.14152930815959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30.716621214243151</v>
      </c>
      <c r="AV170" s="21">
        <f>EXP(-LN(2)/25)*AV169+(1-EXP(-LN(2)/25))/(LN(2)/25)*Calculateur!AQ170*Calculateur!AS170*VLOOKUP('Données projet'!$B$10,Paramètres!$A$1:$I$89,3,0)*0.475*44/12</f>
        <v>7.2362663890600487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37.952887603303196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349.5718186624772</v>
      </c>
      <c r="BJ170" s="59">
        <f t="shared" si="146"/>
        <v>258.14152930815959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30.716621214243151</v>
      </c>
      <c r="BQ170" s="21">
        <f>EXP(-LN(2)/25)*BQ169+(1-EXP(-LN(2)/25))/(LN(2)/25)*Calculateur!BL170*Calculateur!BN170*VLOOKUP('Données projet'!$B$11,Paramètres!$A$1:$I$89,3,0)*0.475*44/12</f>
        <v>7.2362663890600487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37.952887603303196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-4.5474735088646412E-13</v>
      </c>
      <c r="BZ170" s="13">
        <f>BY170*VLOOKUP('Données projet'!$B$12,Paramètres!$A$1:$I$89,3,0)*VLOOKUP('Données projet'!$B$12,Paramètres!$A$1:$I$89,5,0)</f>
        <v>-2.1282176021486519E-13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356.22620301934836</v>
      </c>
      <c r="CE170" s="59">
        <f t="shared" si="148"/>
        <v>342.25495410715513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60.467449967452112</v>
      </c>
      <c r="CL170" s="21">
        <f>EXP(-LN(2)/25)*CL169+(1-EXP(-LN(2)/25))/(LN(2)/25)*Calculateur!CG170*Calculateur!CI170*VLOOKUP('Données projet'!$B$12,Paramètres!$A$1:$I$89,3,0)*0.475*44/12</f>
        <v>15.102943162724445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75.570393130176555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-2.8421709430404007E-14</v>
      </c>
      <c r="CU170" s="17">
        <f>CT170*VLOOKUP('Données projet'!$B$13,Paramètres!$A$1:$I$89,3,0)*VLOOKUP('Données projet'!$B$13,Paramètres!$A$1:$I$89,5,0)</f>
        <v>-3.2366642699344085E-14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473.48875234867705</v>
      </c>
      <c r="CZ170" s="59">
        <f t="shared" si="150"/>
        <v>322.74347070996379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78.224802297541558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78.224802297541558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300.80663531652721</v>
      </c>
      <c r="T171" s="59">
        <f t="shared" si="142"/>
        <v>306.01967513533549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16.290081711119022</v>
      </c>
      <c r="AA171" s="21">
        <f>EXP(-LN(2)/25)*AA170+(1-EXP(-LN(2)/25))/(LN(2)/25)*Calculateur!V171*Calculateur!X171*VLOOKUP('Données projet'!$B$9,Paramètres!$A$1:$I$89,3,0)*0.475*44/12</f>
        <v>4.2904972994890418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20.580579010608062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349.5718186624772</v>
      </c>
      <c r="AO171" s="59">
        <f t="shared" si="144"/>
        <v>258.14152930815959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30.114287007520826</v>
      </c>
      <c r="AV171" s="21">
        <f>EXP(-LN(2)/25)*AV170+(1-EXP(-LN(2)/25))/(LN(2)/25)*Calculateur!AQ171*Calculateur!AS171*VLOOKUP('Données projet'!$B$10,Paramètres!$A$1:$I$89,3,0)*0.475*44/12</f>
        <v>7.0383903041124913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37.152677311633319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349.5718186624772</v>
      </c>
      <c r="BJ171" s="59">
        <f t="shared" si="146"/>
        <v>258.14152930815959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30.114287007520826</v>
      </c>
      <c r="BQ171" s="21">
        <f>EXP(-LN(2)/25)*BQ170+(1-EXP(-LN(2)/25))/(LN(2)/25)*Calculateur!BL171*Calculateur!BN171*VLOOKUP('Données projet'!$B$11,Paramètres!$A$1:$I$89,3,0)*0.475*44/12</f>
        <v>7.0383903041124913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37.152677311633319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-4.5474735088646412E-13</v>
      </c>
      <c r="BZ171" s="13">
        <f>BY171*VLOOKUP('Données projet'!$B$12,Paramètres!$A$1:$I$89,3,0)*VLOOKUP('Données projet'!$B$12,Paramètres!$A$1:$I$89,5,0)</f>
        <v>-2.1282176021486519E-13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356.22620301934836</v>
      </c>
      <c r="CE171" s="59">
        <f t="shared" si="148"/>
        <v>342.25495410715513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59.281720155093112</v>
      </c>
      <c r="CL171" s="21">
        <f>EXP(-LN(2)/25)*CL170+(1-EXP(-LN(2)/25))/(LN(2)/25)*Calculateur!CG171*Calculateur!CI171*VLOOKUP('Données projet'!$B$12,Paramètres!$A$1:$I$89,3,0)*0.475*44/12</f>
        <v>14.689952387710482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73.971672542803589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-2.8421709430404007E-14</v>
      </c>
      <c r="CU171" s="17">
        <f>CT171*VLOOKUP('Données projet'!$B$13,Paramètres!$A$1:$I$89,3,0)*VLOOKUP('Données projet'!$B$13,Paramètres!$A$1:$I$89,5,0)</f>
        <v>-3.2366642699344085E-14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473.48875234867705</v>
      </c>
      <c r="CZ171" s="59">
        <f t="shared" si="150"/>
        <v>322.74347070996379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76.690861636904955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76.690861636904955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300.80663531652721</v>
      </c>
      <c r="T172" s="59">
        <f t="shared" si="142"/>
        <v>306.01967513533549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15.970643144732726</v>
      </c>
      <c r="AA172" s="21">
        <f>EXP(-LN(2)/25)*AA171+(1-EXP(-LN(2)/25))/(LN(2)/25)*Calculateur!V172*Calculateur!X172*VLOOKUP('Données projet'!$B$9,Paramètres!$A$1:$I$89,3,0)*0.475*44/12</f>
        <v>4.1731734252070671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20.143816569939794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349.5718186624772</v>
      </c>
      <c r="AO172" s="59">
        <f t="shared" si="144"/>
        <v>258.14152930815959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29.523764207204739</v>
      </c>
      <c r="AV172" s="21">
        <f>EXP(-LN(2)/25)*AV171+(1-EXP(-LN(2)/25))/(LN(2)/25)*Calculateur!AQ172*Calculateur!AS172*VLOOKUP('Données projet'!$B$10,Paramètres!$A$1:$I$89,3,0)*0.475*44/12</f>
        <v>6.8459251511136756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36.369689358318411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349.5718186624772</v>
      </c>
      <c r="BJ172" s="59">
        <f t="shared" si="146"/>
        <v>258.14152930815959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29.523764207204739</v>
      </c>
      <c r="BQ172" s="21">
        <f>EXP(-LN(2)/25)*BQ171+(1-EXP(-LN(2)/25))/(LN(2)/25)*Calculateur!BL172*Calculateur!BN172*VLOOKUP('Données projet'!$B$11,Paramètres!$A$1:$I$89,3,0)*0.475*44/12</f>
        <v>6.8459251511136756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36.369689358318411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-4.5474735088646412E-13</v>
      </c>
      <c r="BZ172" s="13">
        <f>BY172*VLOOKUP('Données projet'!$B$12,Paramètres!$A$1:$I$89,3,0)*VLOOKUP('Données projet'!$B$12,Paramètres!$A$1:$I$89,5,0)</f>
        <v>-2.1282176021486519E-13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356.22620301934836</v>
      </c>
      <c r="CE172" s="59">
        <f t="shared" si="148"/>
        <v>342.25495410715513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58.119241781130697</v>
      </c>
      <c r="CL172" s="21">
        <f>EXP(-LN(2)/25)*CL171+(1-EXP(-LN(2)/25))/(LN(2)/25)*Calculateur!CG172*Calculateur!CI172*VLOOKUP('Données projet'!$B$12,Paramètres!$A$1:$I$89,3,0)*0.475*44/12</f>
        <v>14.288254867157518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72.407496648288216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-2.8421709430404007E-14</v>
      </c>
      <c r="CU172" s="17">
        <f>CT172*VLOOKUP('Données projet'!$B$13,Paramètres!$A$1:$I$89,3,0)*VLOOKUP('Données projet'!$B$13,Paramètres!$A$1:$I$89,5,0)</f>
        <v>-3.2366642699344085E-14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473.48875234867705</v>
      </c>
      <c r="CZ172" s="59">
        <f t="shared" si="150"/>
        <v>322.74347070996379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75.187000617012018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75.187000617012018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300.80663531652721</v>
      </c>
      <c r="T173" s="59">
        <f t="shared" si="142"/>
        <v>306.01967513533549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15.657468573794979</v>
      </c>
      <c r="AA173" s="21">
        <f>EXP(-LN(2)/25)*AA172+(1-EXP(-LN(2)/25))/(LN(2)/25)*Calculateur!V173*Calculateur!X173*VLOOKUP('Données projet'!$B$9,Paramètres!$A$1:$I$89,3,0)*0.475*44/12</f>
        <v>4.0590577784371273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19.716526352232108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349.5718186624772</v>
      </c>
      <c r="AO173" s="59">
        <f t="shared" si="144"/>
        <v>258.14152930815959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28.944821198819504</v>
      </c>
      <c r="AV173" s="21">
        <f>EXP(-LN(2)/25)*AV172+(1-EXP(-LN(2)/25))/(LN(2)/25)*Calculateur!AQ173*Calculateur!AS173*VLOOKUP('Données projet'!$B$10,Paramètres!$A$1:$I$89,3,0)*0.475*44/12</f>
        <v>6.6587229678449154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35.60354416666442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349.5718186624772</v>
      </c>
      <c r="BJ173" s="59">
        <f t="shared" si="146"/>
        <v>258.14152930815959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28.944821198819504</v>
      </c>
      <c r="BQ173" s="21">
        <f>EXP(-LN(2)/25)*BQ172+(1-EXP(-LN(2)/25))/(LN(2)/25)*Calculateur!BL173*Calculateur!BN173*VLOOKUP('Données projet'!$B$11,Paramètres!$A$1:$I$89,3,0)*0.475*44/12</f>
        <v>6.6587229678449154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35.60354416666442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-4.5474735088646412E-13</v>
      </c>
      <c r="BZ173" s="13">
        <f>BY173*VLOOKUP('Données projet'!$B$12,Paramètres!$A$1:$I$89,3,0)*VLOOKUP('Données projet'!$B$12,Paramètres!$A$1:$I$89,5,0)</f>
        <v>-2.1282176021486519E-13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356.22620301934836</v>
      </c>
      <c r="CE173" s="59">
        <f t="shared" si="148"/>
        <v>342.25495410715513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56.979558899039887</v>
      </c>
      <c r="CL173" s="21">
        <f>EXP(-LN(2)/25)*CL172+(1-EXP(-LN(2)/25))/(LN(2)/25)*Calculateur!CG173*Calculateur!CI173*VLOOKUP('Données projet'!$B$12,Paramètres!$A$1:$I$89,3,0)*0.475*44/12</f>
        <v>13.897541786428429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70.877100685468321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-2.8421709430404007E-14</v>
      </c>
      <c r="CU173" s="17">
        <f>CT173*VLOOKUP('Données projet'!$B$13,Paramètres!$A$1:$I$89,3,0)*VLOOKUP('Données projet'!$B$13,Paramètres!$A$1:$I$89,5,0)</f>
        <v>-3.2366642699344085E-14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473.48875234867705</v>
      </c>
      <c r="CZ173" s="59">
        <f t="shared" si="150"/>
        <v>322.74347070996379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73.712629394454538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73.712629394454538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300.80663531652721</v>
      </c>
      <c r="T174" s="59">
        <f t="shared" si="142"/>
        <v>306.01967513533549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15.350435165175695</v>
      </c>
      <c r="AA174" s="21">
        <f>EXP(-LN(2)/25)*AA173+(1-EXP(-LN(2)/25))/(LN(2)/25)*Calculateur!V174*Calculateur!X174*VLOOKUP('Données projet'!$B$9,Paramètres!$A$1:$I$89,3,0)*0.475*44/12</f>
        <v>3.9480626300291926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19.298497795204888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349.5718186624772</v>
      </c>
      <c r="AO174" s="59">
        <f t="shared" si="144"/>
        <v>258.14152930815959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28.377230909708338</v>
      </c>
      <c r="AV174" s="21">
        <f>EXP(-LN(2)/25)*AV173+(1-EXP(-LN(2)/25))/(LN(2)/25)*Calculateur!AQ174*Calculateur!AS174*VLOOKUP('Données projet'!$B$10,Paramètres!$A$1:$I$89,3,0)*0.475*44/12</f>
        <v>6.4766398381221739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34.853870747830513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349.5718186624772</v>
      </c>
      <c r="BJ174" s="59">
        <f t="shared" si="146"/>
        <v>258.14152930815959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28.377230909708338</v>
      </c>
      <c r="BQ174" s="21">
        <f>EXP(-LN(2)/25)*BQ173+(1-EXP(-LN(2)/25))/(LN(2)/25)*Calculateur!BL174*Calculateur!BN174*VLOOKUP('Données projet'!$B$11,Paramètres!$A$1:$I$89,3,0)*0.475*44/12</f>
        <v>6.4766398381221739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34.853870747830513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-4.5474735088646412E-13</v>
      </c>
      <c r="BZ174" s="13">
        <f>BY174*VLOOKUP('Données projet'!$B$12,Paramètres!$A$1:$I$89,3,0)*VLOOKUP('Données projet'!$B$12,Paramètres!$A$1:$I$89,5,0)</f>
        <v>-2.1282176021486519E-13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356.22620301934836</v>
      </c>
      <c r="CE174" s="59">
        <f t="shared" si="148"/>
        <v>342.25495410715513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55.862224503128964</v>
      </c>
      <c r="CL174" s="21">
        <f>EXP(-LN(2)/25)*CL173+(1-EXP(-LN(2)/25))/(LN(2)/25)*Calculateur!CG174*Calculateur!CI174*VLOOKUP('Données projet'!$B$12,Paramètres!$A$1:$I$89,3,0)*0.475*44/12</f>
        <v>13.517512775438584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69.379737278567546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-2.8421709430404007E-14</v>
      </c>
      <c r="CU174" s="17">
        <f>CT174*VLOOKUP('Données projet'!$B$13,Paramètres!$A$1:$I$89,3,0)*VLOOKUP('Données projet'!$B$13,Paramètres!$A$1:$I$89,5,0)</f>
        <v>-3.2366642699344085E-14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473.48875234867705</v>
      </c>
      <c r="CZ174" s="59">
        <f t="shared" si="150"/>
        <v>322.74347070996379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72.267169692293763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72.267169692293763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300.80663531652721</v>
      </c>
      <c r="T175" s="59">
        <f t="shared" si="142"/>
        <v>306.01967513533549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15.049422494427546</v>
      </c>
      <c r="AA175" s="21">
        <f>EXP(-LN(2)/25)*AA174+(1-EXP(-LN(2)/25))/(LN(2)/25)*Calculateur!V175*Calculateur!X175*VLOOKUP('Données projet'!$B$9,Paramètres!$A$1:$I$89,3,0)*0.475*44/12</f>
        <v>3.8401026497914539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18.889525144219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349.5718186624772</v>
      </c>
      <c r="AO175" s="59">
        <f t="shared" si="144"/>
        <v>258.14152930815959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27.820770719970749</v>
      </c>
      <c r="AV175" s="21">
        <f>EXP(-LN(2)/25)*AV174+(1-EXP(-LN(2)/25))/(LN(2)/25)*Calculateur!AQ175*Calculateur!AS175*VLOOKUP('Données projet'!$B$10,Paramètres!$A$1:$I$89,3,0)*0.475*44/12</f>
        <v>6.2995357811570365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34.120306501127786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349.5718186624772</v>
      </c>
      <c r="BJ175" s="59">
        <f t="shared" si="146"/>
        <v>258.14152930815959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27.820770719970749</v>
      </c>
      <c r="BQ175" s="21">
        <f>EXP(-LN(2)/25)*BQ174+(1-EXP(-LN(2)/25))/(LN(2)/25)*Calculateur!BL175*Calculateur!BN175*VLOOKUP('Données projet'!$B$11,Paramètres!$A$1:$I$89,3,0)*0.475*44/12</f>
        <v>6.2995357811570365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34.120306501127786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-4.5474735088646412E-13</v>
      </c>
      <c r="BZ175" s="13">
        <f>BY175*VLOOKUP('Données projet'!$B$12,Paramètres!$A$1:$I$89,3,0)*VLOOKUP('Données projet'!$B$12,Paramètres!$A$1:$I$89,5,0)</f>
        <v>-2.1282176021486519E-13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356.22620301934836</v>
      </c>
      <c r="CE175" s="59">
        <f t="shared" si="148"/>
        <v>342.25495410715513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54.76680035321516</v>
      </c>
      <c r="CL175" s="21">
        <f>EXP(-LN(2)/25)*CL174+(1-EXP(-LN(2)/25))/(LN(2)/25)*Calculateur!CG175*Calculateur!CI175*VLOOKUP('Données projet'!$B$12,Paramètres!$A$1:$I$89,3,0)*0.475*44/12</f>
        <v>13.147875677739114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67.914676030954269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-2.8421709430404007E-14</v>
      </c>
      <c r="CU175" s="17">
        <f>CT175*VLOOKUP('Données projet'!$B$13,Paramètres!$A$1:$I$89,3,0)*VLOOKUP('Données projet'!$B$13,Paramètres!$A$1:$I$89,5,0)</f>
        <v>-3.2366642699344085E-14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473.48875234867705</v>
      </c>
      <c r="CZ175" s="59">
        <f t="shared" si="150"/>
        <v>322.74347070996379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70.850054573248997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70.850054573248997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300.80663531652721</v>
      </c>
      <c r="T176" s="59">
        <f t="shared" si="142"/>
        <v>306.01967513533549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14.754312498553169</v>
      </c>
      <c r="AA176" s="21">
        <f>EXP(-LN(2)/25)*AA175+(1-EXP(-LN(2)/25))/(LN(2)/25)*Calculateur!V176*Calculateur!X176*VLOOKUP('Données projet'!$B$9,Paramètres!$A$1:$I$89,3,0)*0.475*44/12</f>
        <v>3.7350948408906848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18.489407339443854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349.5718186624772</v>
      </c>
      <c r="AO176" s="59">
        <f t="shared" si="144"/>
        <v>258.14152930815959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27.275222375146711</v>
      </c>
      <c r="AV176" s="21">
        <f>EXP(-LN(2)/25)*AV175+(1-EXP(-LN(2)/25))/(LN(2)/25)*Calculateur!AQ176*Calculateur!AS176*VLOOKUP('Données projet'!$B$10,Paramètres!$A$1:$I$89,3,0)*0.475*44/12</f>
        <v>6.1272746439431085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33.402497019089822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349.5718186624772</v>
      </c>
      <c r="BJ176" s="59">
        <f t="shared" si="146"/>
        <v>258.14152930815959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27.275222375146711</v>
      </c>
      <c r="BQ176" s="21">
        <f>EXP(-LN(2)/25)*BQ175+(1-EXP(-LN(2)/25))/(LN(2)/25)*Calculateur!BL176*Calculateur!BN176*VLOOKUP('Données projet'!$B$11,Paramètres!$A$1:$I$89,3,0)*0.475*44/12</f>
        <v>6.1272746439431085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33.402497019089822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-4.5474735088646412E-13</v>
      </c>
      <c r="BZ176" s="13">
        <f>BY176*VLOOKUP('Données projet'!$B$12,Paramètres!$A$1:$I$89,3,0)*VLOOKUP('Données projet'!$B$12,Paramètres!$A$1:$I$89,5,0)</f>
        <v>-2.1282176021486519E-13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356.22620301934836</v>
      </c>
      <c r="CE176" s="59">
        <f t="shared" si="148"/>
        <v>342.25495410715513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53.692856802738412</v>
      </c>
      <c r="CL176" s="21">
        <f>EXP(-LN(2)/25)*CL175+(1-EXP(-LN(2)/25))/(LN(2)/25)*Calculateur!CG176*Calculateur!CI176*VLOOKUP('Données projet'!$B$12,Paramètres!$A$1:$I$89,3,0)*0.475*44/12</f>
        <v>12.788346325914606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66.481203128653021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-2.8421709430404007E-14</v>
      </c>
      <c r="CU176" s="17">
        <f>CT176*VLOOKUP('Données projet'!$B$13,Paramètres!$A$1:$I$89,3,0)*VLOOKUP('Données projet'!$B$13,Paramètres!$A$1:$I$89,5,0)</f>
        <v>-3.2366642699344085E-14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473.48875234867705</v>
      </c>
      <c r="CZ176" s="59">
        <f t="shared" si="150"/>
        <v>322.74347070996379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69.460728217333823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69.460728217333823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300.80663531652721</v>
      </c>
      <c r="T177" s="59">
        <f t="shared" si="142"/>
        <v>306.01967513533549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14.464989429698564</v>
      </c>
      <c r="AA177" s="21">
        <f>EXP(-LN(2)/25)*AA176+(1-EXP(-LN(2)/25))/(LN(2)/25)*Calculateur!V177*Calculateur!X177*VLOOKUP('Données projet'!$B$9,Paramètres!$A$1:$I$89,3,0)*0.475*44/12</f>
        <v>3.632958476046428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18.097947905744991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349.5718186624772</v>
      </c>
      <c r="AO177" s="59">
        <f t="shared" si="144"/>
        <v>258.14152930815959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26.740371900613042</v>
      </c>
      <c r="AV177" s="21">
        <f>EXP(-LN(2)/25)*AV176+(1-EXP(-LN(2)/25))/(LN(2)/25)*Calculateur!AQ177*Calculateur!AS177*VLOOKUP('Données projet'!$B$10,Paramètres!$A$1:$I$89,3,0)*0.475*44/12</f>
        <v>5.9597239965851143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32.700095897198153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349.5718186624772</v>
      </c>
      <c r="BJ177" s="59">
        <f t="shared" si="146"/>
        <v>258.14152930815959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26.740371900613042</v>
      </c>
      <c r="BQ177" s="21">
        <f>EXP(-LN(2)/25)*BQ176+(1-EXP(-LN(2)/25))/(LN(2)/25)*Calculateur!BL177*Calculateur!BN177*VLOOKUP('Données projet'!$B$11,Paramètres!$A$1:$I$89,3,0)*0.475*44/12</f>
        <v>5.9597239965851143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32.700095897198153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-4.5474735088646412E-13</v>
      </c>
      <c r="BZ177" s="13">
        <f>BY177*VLOOKUP('Données projet'!$B$12,Paramètres!$A$1:$I$89,3,0)*VLOOKUP('Données projet'!$B$12,Paramètres!$A$1:$I$89,5,0)</f>
        <v>-2.1282176021486519E-13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356.22620301934836</v>
      </c>
      <c r="CE177" s="59">
        <f t="shared" si="148"/>
        <v>342.25495410715513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52.639972630245623</v>
      </c>
      <c r="CL177" s="21">
        <f>EXP(-LN(2)/25)*CL176+(1-EXP(-LN(2)/25))/(LN(2)/25)*Calculateur!CG177*Calculateur!CI177*VLOOKUP('Données projet'!$B$12,Paramètres!$A$1:$I$89,3,0)*0.475*44/12</f>
        <v>12.438648323122566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65.078620953368187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-2.8421709430404007E-14</v>
      </c>
      <c r="CU177" s="17">
        <f>CT177*VLOOKUP('Données projet'!$B$13,Paramètres!$A$1:$I$89,3,0)*VLOOKUP('Données projet'!$B$13,Paramètres!$A$1:$I$89,5,0)</f>
        <v>-3.2366642699344085E-14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473.48875234867705</v>
      </c>
      <c r="CZ177" s="59">
        <f t="shared" si="150"/>
        <v>322.74347070996379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68.098645703852739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68.098645703852739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300.80663531652721</v>
      </c>
      <c r="T178" s="59">
        <f t="shared" si="142"/>
        <v>306.01967513533549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14.181339809754551</v>
      </c>
      <c r="AA178" s="21">
        <f>EXP(-LN(2)/25)*AA177+(1-EXP(-LN(2)/25))/(LN(2)/25)*Calculateur!V178*Calculateur!X178*VLOOKUP('Données projet'!$B$9,Paramètres!$A$1:$I$89,3,0)*0.475*44/12</f>
        <v>3.5336150354699556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17.714954845224508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349.5718186624772</v>
      </c>
      <c r="AO178" s="59">
        <f t="shared" si="144"/>
        <v>258.14152930815959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26.216009517658399</v>
      </c>
      <c r="AV178" s="21">
        <f>EXP(-LN(2)/25)*AV177+(1-EXP(-LN(2)/25))/(LN(2)/25)*Calculateur!AQ178*Calculateur!AS178*VLOOKUP('Données projet'!$B$10,Paramètres!$A$1:$I$89,3,0)*0.475*44/12</f>
        <v>5.7967550304902309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32.012764548148631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349.5718186624772</v>
      </c>
      <c r="BJ178" s="59">
        <f t="shared" si="146"/>
        <v>258.14152930815959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26.216009517658399</v>
      </c>
      <c r="BQ178" s="21">
        <f>EXP(-LN(2)/25)*BQ177+(1-EXP(-LN(2)/25))/(LN(2)/25)*Calculateur!BL178*Calculateur!BN178*VLOOKUP('Données projet'!$B$11,Paramètres!$A$1:$I$89,3,0)*0.475*44/12</f>
        <v>5.7967550304902309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32.012764548148631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-4.5474735088646412E-13</v>
      </c>
      <c r="BZ178" s="13">
        <f>BY178*VLOOKUP('Données projet'!$B$12,Paramètres!$A$1:$I$89,3,0)*VLOOKUP('Données projet'!$B$12,Paramètres!$A$1:$I$89,5,0)</f>
        <v>-2.1282176021486519E-13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356.22620301934836</v>
      </c>
      <c r="CE178" s="59">
        <f t="shared" si="148"/>
        <v>342.25495410715513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51.607734874179485</v>
      </c>
      <c r="CL178" s="21">
        <f>EXP(-LN(2)/25)*CL177+(1-EXP(-LN(2)/25))/(LN(2)/25)*Calculateur!CG178*Calculateur!CI178*VLOOKUP('Données projet'!$B$12,Paramètres!$A$1:$I$89,3,0)*0.475*44/12</f>
        <v>12.098512830606692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63.706247704786179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-2.8421709430404007E-14</v>
      </c>
      <c r="CU178" s="17">
        <f>CT178*VLOOKUP('Données projet'!$B$13,Paramètres!$A$1:$I$89,3,0)*VLOOKUP('Données projet'!$B$13,Paramètres!$A$1:$I$89,5,0)</f>
        <v>-3.2366642699344085E-14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473.48875234867705</v>
      </c>
      <c r="CZ178" s="59">
        <f t="shared" si="150"/>
        <v>322.74347070996379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66.763272797672727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66.763272797672727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300.80663531652721</v>
      </c>
      <c r="T179" s="59">
        <f t="shared" si="142"/>
        <v>306.01967513533549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13.903252385848456</v>
      </c>
      <c r="AA179" s="21">
        <f>EXP(-LN(2)/25)*AA178+(1-EXP(-LN(2)/25))/(LN(2)/25)*Calculateur!V179*Calculateur!X179*VLOOKUP('Données projet'!$B$9,Paramètres!$A$1:$I$89,3,0)*0.475*44/12</f>
        <v>3.4369881465002909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17.340240532348748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349.5718186624772</v>
      </c>
      <c r="AO179" s="59">
        <f t="shared" si="144"/>
        <v>258.14152930815959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25.701929561204025</v>
      </c>
      <c r="AV179" s="21">
        <f>EXP(-LN(2)/25)*AV178+(1-EXP(-LN(2)/25))/(LN(2)/25)*Calculateur!AQ179*Calculateur!AS179*VLOOKUP('Données projet'!$B$10,Paramètres!$A$1:$I$89,3,0)*0.475*44/12</f>
        <v>5.6382424593433775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31.340172020547403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349.5718186624772</v>
      </c>
      <c r="BJ179" s="59">
        <f t="shared" si="146"/>
        <v>258.14152930815959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25.701929561204025</v>
      </c>
      <c r="BQ179" s="21">
        <f>EXP(-LN(2)/25)*BQ178+(1-EXP(-LN(2)/25))/(LN(2)/25)*Calculateur!BL179*Calculateur!BN179*VLOOKUP('Données projet'!$B$11,Paramètres!$A$1:$I$89,3,0)*0.475*44/12</f>
        <v>5.6382424593433775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31.340172020547403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-4.5474735088646412E-13</v>
      </c>
      <c r="BZ179" s="13">
        <f>BY179*VLOOKUP('Données projet'!$B$12,Paramètres!$A$1:$I$89,3,0)*VLOOKUP('Données projet'!$B$12,Paramètres!$A$1:$I$89,5,0)</f>
        <v>-2.1282176021486519E-13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356.22620301934836</v>
      </c>
      <c r="CE179" s="59">
        <f t="shared" si="148"/>
        <v>342.25495410715513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50.59573867090694</v>
      </c>
      <c r="CL179" s="21">
        <f>EXP(-LN(2)/25)*CL178+(1-EXP(-LN(2)/25))/(LN(2)/25)*Calculateur!CG179*Calculateur!CI179*VLOOKUP('Données projet'!$B$12,Paramètres!$A$1:$I$89,3,0)*0.475*44/12</f>
        <v>11.767678361020614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62.363417031927554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-2.8421709430404007E-14</v>
      </c>
      <c r="CU179" s="17">
        <f>CT179*VLOOKUP('Données projet'!$B$13,Paramètres!$A$1:$I$89,3,0)*VLOOKUP('Données projet'!$B$13,Paramètres!$A$1:$I$89,5,0)</f>
        <v>-3.2366642699344085E-14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473.48875234867705</v>
      </c>
      <c r="CZ179" s="59">
        <f t="shared" si="150"/>
        <v>322.74347070996379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65.454085739685851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65.454085739685851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300.80663531652721</v>
      </c>
      <c r="T180" s="59">
        <f t="shared" si="142"/>
        <v>306.01967513533549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13.630618086708578</v>
      </c>
      <c r="AA180" s="21">
        <f>EXP(-LN(2)/25)*AA179+(1-EXP(-LN(2)/25))/(LN(2)/25)*Calculateur!V180*Calculateur!X180*VLOOKUP('Données projet'!$B$9,Paramètres!$A$1:$I$89,3,0)*0.475*44/12</f>
        <v>3.3430035248908894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16.973621611599469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349.5718186624772</v>
      </c>
      <c r="AO180" s="59">
        <f t="shared" si="144"/>
        <v>258.14152930815959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25.19793039913791</v>
      </c>
      <c r="AV180" s="21">
        <f>EXP(-LN(2)/25)*AV179+(1-EXP(-LN(2)/25))/(LN(2)/25)*Calculateur!AQ180*Calculateur!AS180*VLOOKUP('Données projet'!$B$10,Paramètres!$A$1:$I$89,3,0)*0.475*44/12</f>
        <v>5.4840644227903486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30.681994821928257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349.5718186624772</v>
      </c>
      <c r="BJ180" s="59">
        <f t="shared" si="146"/>
        <v>258.14152930815959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25.19793039913791</v>
      </c>
      <c r="BQ180" s="21">
        <f>EXP(-LN(2)/25)*BQ179+(1-EXP(-LN(2)/25))/(LN(2)/25)*Calculateur!BL180*Calculateur!BN180*VLOOKUP('Données projet'!$B$11,Paramètres!$A$1:$I$89,3,0)*0.475*44/12</f>
        <v>5.4840644227903486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30.681994821928257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-4.5474735088646412E-13</v>
      </c>
      <c r="BZ180" s="13">
        <f>BY180*VLOOKUP('Données projet'!$B$12,Paramètres!$A$1:$I$89,3,0)*VLOOKUP('Données projet'!$B$12,Paramètres!$A$1:$I$89,5,0)</f>
        <v>-2.1282176021486519E-13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356.22620301934836</v>
      </c>
      <c r="CE180" s="59">
        <f t="shared" si="148"/>
        <v>342.25495410715513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49.603587095923835</v>
      </c>
      <c r="CL180" s="21">
        <f>EXP(-LN(2)/25)*CL179+(1-EXP(-LN(2)/25))/(LN(2)/25)*Calculateur!CG180*Calculateur!CI180*VLOOKUP('Données projet'!$B$12,Paramètres!$A$1:$I$89,3,0)*0.475*44/12</f>
        <v>11.445890577403196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61.049477673327033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-2.8421709430404007E-14</v>
      </c>
      <c r="CU180" s="17">
        <f>CT180*VLOOKUP('Données projet'!$B$13,Paramètres!$A$1:$I$89,3,0)*VLOOKUP('Données projet'!$B$13,Paramètres!$A$1:$I$89,5,0)</f>
        <v>-3.2366642699344085E-14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473.48875234867705</v>
      </c>
      <c r="CZ180" s="59">
        <f t="shared" si="150"/>
        <v>322.74347070996379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64.170571041380839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64.170571041380839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300.80663531652721</v>
      </c>
      <c r="T181" s="59">
        <f t="shared" si="142"/>
        <v>306.01967513533549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13.36332997988433</v>
      </c>
      <c r="AA181" s="21">
        <f>EXP(-LN(2)/25)*AA180+(1-EXP(-LN(2)/25))/(LN(2)/25)*Calculateur!V181*Calculateur!X181*VLOOKUP('Données projet'!$B$9,Paramètres!$A$1:$I$89,3,0)*0.475*44/12</f>
        <v>3.2515889177018331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16.614918897586165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349.5718186624772</v>
      </c>
      <c r="AO181" s="59">
        <f t="shared" si="144"/>
        <v>258.14152930815959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24.703814353230776</v>
      </c>
      <c r="AV181" s="21">
        <f>EXP(-LN(2)/25)*AV180+(1-EXP(-LN(2)/25))/(LN(2)/25)*Calculateur!AQ181*Calculateur!AS181*VLOOKUP('Données projet'!$B$10,Paramètres!$A$1:$I$89,3,0)*0.475*44/12</f>
        <v>5.3341023927547324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30.037916745985509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349.5718186624772</v>
      </c>
      <c r="BJ181" s="59">
        <f t="shared" si="146"/>
        <v>258.14152930815959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24.703814353230776</v>
      </c>
      <c r="BQ181" s="21">
        <f>EXP(-LN(2)/25)*BQ180+(1-EXP(-LN(2)/25))/(LN(2)/25)*Calculateur!BL181*Calculateur!BN181*VLOOKUP('Données projet'!$B$11,Paramètres!$A$1:$I$89,3,0)*0.475*44/12</f>
        <v>5.3341023927547324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30.037916745985509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-4.5474735088646412E-13</v>
      </c>
      <c r="BZ181" s="13">
        <f>BY181*VLOOKUP('Données projet'!$B$12,Paramètres!$A$1:$I$89,3,0)*VLOOKUP('Données projet'!$B$12,Paramètres!$A$1:$I$89,5,0)</f>
        <v>-2.1282176021486519E-13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356.22620301934836</v>
      </c>
      <c r="CE181" s="59">
        <f t="shared" si="148"/>
        <v>342.25495410715513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48.630891008173442</v>
      </c>
      <c r="CL181" s="21">
        <f>EXP(-LN(2)/25)*CL180+(1-EXP(-LN(2)/25))/(LN(2)/25)*Calculateur!CG181*Calculateur!CI181*VLOOKUP('Données projet'!$B$12,Paramètres!$A$1:$I$89,3,0)*0.475*44/12</f>
        <v>11.132902097650881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59.76379310582432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-2.8421709430404007E-14</v>
      </c>
      <c r="CU181" s="17">
        <f>CT181*VLOOKUP('Données projet'!$B$13,Paramètres!$A$1:$I$89,3,0)*VLOOKUP('Données projet'!$B$13,Paramètres!$A$1:$I$89,5,0)</f>
        <v>-3.2366642699344085E-14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473.48875234867705</v>
      </c>
      <c r="CZ181" s="59">
        <f t="shared" si="150"/>
        <v>322.74347070996379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62.912225283442922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62.912225283442922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300.80663531652721</v>
      </c>
      <c r="T182" s="59">
        <f t="shared" si="142"/>
        <v>306.01967513533549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13.10128322980526</v>
      </c>
      <c r="AA182" s="21">
        <f>EXP(-LN(2)/25)*AA181+(1-EXP(-LN(2)/25))/(LN(2)/25)*Calculateur!V182*Calculateur!X182*VLOOKUP('Données projet'!$B$9,Paramètres!$A$1:$I$89,3,0)*0.475*44/12</f>
        <v>3.1626740477536468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16.263957277558905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349.5718186624772</v>
      </c>
      <c r="AO182" s="59">
        <f t="shared" si="144"/>
        <v>258.14152930815959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24.219387621602849</v>
      </c>
      <c r="AV182" s="21">
        <f>EXP(-LN(2)/25)*AV181+(1-EXP(-LN(2)/25))/(LN(2)/25)*Calculateur!AQ182*Calculateur!AS182*VLOOKUP('Données projet'!$B$10,Paramètres!$A$1:$I$89,3,0)*0.475*44/12</f>
        <v>5.1882410823166003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29.40762870391945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349.5718186624772</v>
      </c>
      <c r="BJ182" s="59">
        <f t="shared" si="146"/>
        <v>258.14152930815959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24.219387621602849</v>
      </c>
      <c r="BQ182" s="21">
        <f>EXP(-LN(2)/25)*BQ181+(1-EXP(-LN(2)/25))/(LN(2)/25)*Calculateur!BL182*Calculateur!BN182*VLOOKUP('Données projet'!$B$11,Paramètres!$A$1:$I$89,3,0)*0.475*44/12</f>
        <v>5.1882410823166003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29.40762870391945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-4.5474735088646412E-13</v>
      </c>
      <c r="BZ182" s="13">
        <f>BY182*VLOOKUP('Données projet'!$B$12,Paramètres!$A$1:$I$89,3,0)*VLOOKUP('Données projet'!$B$12,Paramètres!$A$1:$I$89,5,0)</f>
        <v>-2.1282176021486519E-13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356.22620301934836</v>
      </c>
      <c r="CE182" s="59">
        <f t="shared" si="148"/>
        <v>342.25495410715513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47.677268897417804</v>
      </c>
      <c r="CL182" s="21">
        <f>EXP(-LN(2)/25)*CL181+(1-EXP(-LN(2)/25))/(LN(2)/25)*Calculateur!CG182*Calculateur!CI182*VLOOKUP('Données projet'!$B$12,Paramètres!$A$1:$I$89,3,0)*0.475*44/12</f>
        <v>10.82847230433674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58.505741201754546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-2.8421709430404007E-14</v>
      </c>
      <c r="CU182" s="17">
        <f>CT182*VLOOKUP('Données projet'!$B$13,Paramètres!$A$1:$I$89,3,0)*VLOOKUP('Données projet'!$B$13,Paramètres!$A$1:$I$89,5,0)</f>
        <v>-3.2366642699344085E-14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473.48875234867705</v>
      </c>
      <c r="CZ182" s="59">
        <f t="shared" si="150"/>
        <v>322.74347070996379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61.678554918303043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61.678554918303043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300.80663531652721</v>
      </c>
      <c r="T183" s="59">
        <f t="shared" si="142"/>
        <v>306.01967513533549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12.844375056662503</v>
      </c>
      <c r="AA183" s="21">
        <f>EXP(-LN(2)/25)*AA182+(1-EXP(-LN(2)/25))/(LN(2)/25)*Calculateur!V183*Calculateur!X183*VLOOKUP('Données projet'!$B$9,Paramètres!$A$1:$I$89,3,0)*0.475*44/12</f>
        <v>3.0761905596000236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15.920565616262527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349.5718186624772</v>
      </c>
      <c r="AO183" s="59">
        <f t="shared" si="144"/>
        <v>258.14152930815959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23.744460202711014</v>
      </c>
      <c r="AV183" s="21">
        <f>EXP(-LN(2)/25)*AV182+(1-EXP(-LN(2)/25))/(LN(2)/25)*Calculateur!AQ183*Calculateur!AS183*VLOOKUP('Données projet'!$B$10,Paramètres!$A$1:$I$89,3,0)*0.475*44/12</f>
        <v>5.0463683570829119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28.790828559793926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349.5718186624772</v>
      </c>
      <c r="BJ183" s="59">
        <f t="shared" si="146"/>
        <v>258.14152930815959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23.744460202711014</v>
      </c>
      <c r="BQ183" s="21">
        <f>EXP(-LN(2)/25)*BQ182+(1-EXP(-LN(2)/25))/(LN(2)/25)*Calculateur!BL183*Calculateur!BN183*VLOOKUP('Données projet'!$B$11,Paramètres!$A$1:$I$89,3,0)*0.475*44/12</f>
        <v>5.0463683570829119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28.790828559793926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-4.5474735088646412E-13</v>
      </c>
      <c r="BZ183" s="13">
        <f>BY183*VLOOKUP('Données projet'!$B$12,Paramètres!$A$1:$I$89,3,0)*VLOOKUP('Données projet'!$B$12,Paramètres!$A$1:$I$89,5,0)</f>
        <v>-2.1282176021486519E-13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356.22620301934836</v>
      </c>
      <c r="CE183" s="59">
        <f t="shared" si="148"/>
        <v>342.25495410715513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46.74234673460203</v>
      </c>
      <c r="CL183" s="21">
        <f>EXP(-LN(2)/25)*CL182+(1-EXP(-LN(2)/25))/(LN(2)/25)*Calculateur!CG183*Calculateur!CI183*VLOOKUP('Données projet'!$B$12,Paramètres!$A$1:$I$89,3,0)*0.475*44/12</f>
        <v>10.532367159730043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57.274713894332073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-2.8421709430404007E-14</v>
      </c>
      <c r="CU183" s="17">
        <f>CT183*VLOOKUP('Données projet'!$B$13,Paramètres!$A$1:$I$89,3,0)*VLOOKUP('Données projet'!$B$13,Paramètres!$A$1:$I$89,5,0)</f>
        <v>-3.2366642699344085E-14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473.48875234867705</v>
      </c>
      <c r="CZ183" s="59">
        <f t="shared" si="150"/>
        <v>322.74347070996379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60.469076076558935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60.469076076558935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300.80663531652721</v>
      </c>
      <c r="T184" s="59">
        <f t="shared" si="142"/>
        <v>306.01967513533549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12.592504696096563</v>
      </c>
      <c r="AA184" s="21">
        <f>EXP(-LN(2)/25)*AA183+(1-EXP(-LN(2)/25))/(LN(2)/25)*Calculateur!V184*Calculateur!X184*VLOOKUP('Données projet'!$B$9,Paramètres!$A$1:$I$89,3,0)*0.475*44/12</f>
        <v>2.9920719669779303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15.584576663074493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349.5718186624772</v>
      </c>
      <c r="AO184" s="59">
        <f t="shared" si="144"/>
        <v>258.14152930815959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23.278845820826529</v>
      </c>
      <c r="AV184" s="21">
        <f>EXP(-LN(2)/25)*AV183+(1-EXP(-LN(2)/25))/(LN(2)/25)*Calculateur!AQ184*Calculateur!AS184*VLOOKUP('Données projet'!$B$10,Paramètres!$A$1:$I$89,3,0)*0.475*44/12</f>
        <v>4.9083751489815013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28.187220969808031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349.5718186624772</v>
      </c>
      <c r="BJ184" s="59">
        <f t="shared" si="146"/>
        <v>258.14152930815959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23.278845820826529</v>
      </c>
      <c r="BQ184" s="21">
        <f>EXP(-LN(2)/25)*BQ183+(1-EXP(-LN(2)/25))/(LN(2)/25)*Calculateur!BL184*Calculateur!BN184*VLOOKUP('Données projet'!$B$11,Paramètres!$A$1:$I$89,3,0)*0.475*44/12</f>
        <v>4.9083751489815013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28.187220969808031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-4.5474735088646412E-13</v>
      </c>
      <c r="BZ184" s="13">
        <f>BY184*VLOOKUP('Données projet'!$B$12,Paramètres!$A$1:$I$89,3,0)*VLOOKUP('Données projet'!$B$12,Paramètres!$A$1:$I$89,5,0)</f>
        <v>-2.1282176021486519E-13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356.22620301934836</v>
      </c>
      <c r="CE184" s="59">
        <f t="shared" si="148"/>
        <v>342.25495410715513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45.825757825152863</v>
      </c>
      <c r="CL184" s="21">
        <f>EXP(-LN(2)/25)*CL183+(1-EXP(-LN(2)/25))/(LN(2)/25)*Calculateur!CG184*Calculateur!CI184*VLOOKUP('Données projet'!$B$12,Paramètres!$A$1:$I$89,3,0)*0.475*44/12</f>
        <v>10.244359025874108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56.070116851026967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-2.8421709430404007E-14</v>
      </c>
      <c r="CU184" s="17">
        <f>CT184*VLOOKUP('Données projet'!$B$13,Paramètres!$A$1:$I$89,3,0)*VLOOKUP('Données projet'!$B$13,Paramètres!$A$1:$I$89,5,0)</f>
        <v>-3.2366642699344085E-14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473.48875234867705</v>
      </c>
      <c r="CZ184" s="59">
        <f t="shared" si="150"/>
        <v>322.74347070996379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59.283314377192177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59.283314377192177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300.80663531652721</v>
      </c>
      <c r="T185" s="59">
        <f t="shared" si="142"/>
        <v>306.01967513533549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12.345573359675571</v>
      </c>
      <c r="AA185" s="21">
        <f>EXP(-LN(2)/25)*AA184+(1-EXP(-LN(2)/25))/(LN(2)/25)*Calculateur!V185*Calculateur!X185*VLOOKUP('Données projet'!$B$9,Paramètres!$A$1:$I$89,3,0)*0.475*44/12</f>
        <v>2.9102536016946927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15.255826961370264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349.5718186624772</v>
      </c>
      <c r="AO185" s="59">
        <f t="shared" si="144"/>
        <v>258.14152930815959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22.822361852974065</v>
      </c>
      <c r="AV185" s="21">
        <f>EXP(-LN(2)/25)*AV184+(1-EXP(-LN(2)/25))/(LN(2)/25)*Calculateur!AQ185*Calculateur!AS185*VLOOKUP('Données projet'!$B$10,Paramètres!$A$1:$I$89,3,0)*0.475*44/12</f>
        <v>4.7741553724123715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27.596517225386435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349.5718186624772</v>
      </c>
      <c r="BJ185" s="59">
        <f t="shared" si="146"/>
        <v>258.14152930815959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22.822361852974065</v>
      </c>
      <c r="BQ185" s="21">
        <f>EXP(-LN(2)/25)*BQ184+(1-EXP(-LN(2)/25))/(LN(2)/25)*Calculateur!BL185*Calculateur!BN185*VLOOKUP('Données projet'!$B$11,Paramètres!$A$1:$I$89,3,0)*0.475*44/12</f>
        <v>4.7741553724123715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27.596517225386435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-4.5474735088646412E-13</v>
      </c>
      <c r="BZ185" s="13">
        <f>BY185*VLOOKUP('Données projet'!$B$12,Paramètres!$A$1:$I$89,3,0)*VLOOKUP('Données projet'!$B$12,Paramètres!$A$1:$I$89,5,0)</f>
        <v>-2.1282176021486519E-13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356.22620301934836</v>
      </c>
      <c r="CE185" s="59">
        <f t="shared" si="148"/>
        <v>342.25495410715513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44.927142665153958</v>
      </c>
      <c r="CL185" s="21">
        <f>EXP(-LN(2)/25)*CL184+(1-EXP(-LN(2)/25))/(LN(2)/25)*Calculateur!CG185*Calculateur!CI185*VLOOKUP('Données projet'!$B$12,Paramètres!$A$1:$I$89,3,0)*0.475*44/12</f>
        <v>9.9642264895841528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54.891369154738115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-2.8421709430404007E-14</v>
      </c>
      <c r="CU185" s="17">
        <f>CT185*VLOOKUP('Données projet'!$B$13,Paramètres!$A$1:$I$89,3,0)*VLOOKUP('Données projet'!$B$13,Paramètres!$A$1:$I$89,5,0)</f>
        <v>-3.2366642699344085E-14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473.48875234867705</v>
      </c>
      <c r="CZ185" s="59">
        <f t="shared" si="150"/>
        <v>322.74347070996379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58.120804741506781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58.120804741506781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300.80663531652721</v>
      </c>
      <c r="T186" s="59">
        <f t="shared" si="142"/>
        <v>306.01967513533549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12.103484196148552</v>
      </c>
      <c r="AA186" s="21">
        <f>EXP(-LN(2)/25)*AA185+(1-EXP(-LN(2)/25))/(LN(2)/25)*Calculateur!V186*Calculateur!X186*VLOOKUP('Données projet'!$B$9,Paramètres!$A$1:$I$89,3,0)*0.475*44/12</f>
        <v>2.8306725639127661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14.934156760061317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349.5718186624772</v>
      </c>
      <c r="AO186" s="59">
        <f t="shared" si="144"/>
        <v>258.14152930815959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22.374829257303464</v>
      </c>
      <c r="AV186" s="21">
        <f>EXP(-LN(2)/25)*AV185+(1-EXP(-LN(2)/25))/(LN(2)/25)*Calculateur!AQ186*Calculateur!AS186*VLOOKUP('Données projet'!$B$10,Paramètres!$A$1:$I$89,3,0)*0.475*44/12</f>
        <v>4.6436058426918354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27.018435099995301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349.5718186624772</v>
      </c>
      <c r="BJ186" s="59">
        <f t="shared" si="146"/>
        <v>258.14152930815959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22.374829257303464</v>
      </c>
      <c r="BQ186" s="21">
        <f>EXP(-LN(2)/25)*BQ185+(1-EXP(-LN(2)/25))/(LN(2)/25)*Calculateur!BL186*Calculateur!BN186*VLOOKUP('Données projet'!$B$11,Paramètres!$A$1:$I$89,3,0)*0.475*44/12</f>
        <v>4.6436058426918354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27.018435099995301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-4.5474735088646412E-13</v>
      </c>
      <c r="BZ186" s="13">
        <f>BY186*VLOOKUP('Données projet'!$B$12,Paramètres!$A$1:$I$89,3,0)*VLOOKUP('Données projet'!$B$12,Paramètres!$A$1:$I$89,5,0)</f>
        <v>-2.1282176021486519E-13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356.22620301934836</v>
      </c>
      <c r="CE186" s="59">
        <f t="shared" si="148"/>
        <v>342.25495410715513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44.046148800341506</v>
      </c>
      <c r="CL186" s="21">
        <f>EXP(-LN(2)/25)*CL185+(1-EXP(-LN(2)/25))/(LN(2)/25)*Calculateur!CG186*Calculateur!CI186*VLOOKUP('Données projet'!$B$12,Paramètres!$A$1:$I$89,3,0)*0.475*44/12</f>
        <v>9.6917541922305759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53.737902992572081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-2.8421709430404007E-14</v>
      </c>
      <c r="CU186" s="17">
        <f>CT186*VLOOKUP('Données projet'!$B$13,Paramètres!$A$1:$I$89,3,0)*VLOOKUP('Données projet'!$B$13,Paramètres!$A$1:$I$89,5,0)</f>
        <v>-3.2366642699344085E-14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473.48875234867705</v>
      </c>
      <c r="CZ186" s="59">
        <f t="shared" si="150"/>
        <v>322.74347070996379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56.981091210716308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56.981091210716308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300.80663531652721</v>
      </c>
      <c r="T187" s="59">
        <f t="shared" si="142"/>
        <v>306.01967513533549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11.866142253458486</v>
      </c>
      <c r="AA187" s="21">
        <f>EXP(-LN(2)/25)*AA186+(1-EXP(-LN(2)/25))/(LN(2)/25)*Calculateur!V187*Calculateur!X187*VLOOKUP('Données projet'!$B$9,Paramètres!$A$1:$I$89,3,0)*0.475*44/12</f>
        <v>2.753267673793971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14.619409927252457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349.5718186624772</v>
      </c>
      <c r="AO187" s="59">
        <f t="shared" si="144"/>
        <v>258.14152930815959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21.936072502866033</v>
      </c>
      <c r="AV187" s="21">
        <f>EXP(-LN(2)/25)*AV186+(1-EXP(-LN(2)/25))/(LN(2)/25)*Calculateur!AQ187*Calculateur!AS187*VLOOKUP('Données projet'!$B$10,Paramètres!$A$1:$I$89,3,0)*0.475*44/12</f>
        <v>4.5166261967268087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26.45269869959284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349.5718186624772</v>
      </c>
      <c r="BJ187" s="59">
        <f t="shared" si="146"/>
        <v>258.14152930815959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21.936072502866033</v>
      </c>
      <c r="BQ187" s="21">
        <f>EXP(-LN(2)/25)*BQ186+(1-EXP(-LN(2)/25))/(LN(2)/25)*Calculateur!BL187*Calculateur!BN187*VLOOKUP('Données projet'!$B$11,Paramètres!$A$1:$I$89,3,0)*0.475*44/12</f>
        <v>4.5166261967268087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26.45269869959284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-4.5474735088646412E-13</v>
      </c>
      <c r="BZ187" s="13">
        <f>BY187*VLOOKUP('Données projet'!$B$12,Paramètres!$A$1:$I$89,3,0)*VLOOKUP('Données projet'!$B$12,Paramètres!$A$1:$I$89,5,0)</f>
        <v>-2.1282176021486519E-13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356.22620301934836</v>
      </c>
      <c r="CE187" s="59">
        <f t="shared" si="148"/>
        <v>342.25495410715513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43.18243068786483</v>
      </c>
      <c r="CL187" s="21">
        <f>EXP(-LN(2)/25)*CL186+(1-EXP(-LN(2)/25))/(LN(2)/25)*Calculateur!CG187*Calculateur!CI187*VLOOKUP('Données projet'!$B$12,Paramètres!$A$1:$I$89,3,0)*0.475*44/12</f>
        <v>9.4267326641768285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52.609163352041662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-2.8421709430404007E-14</v>
      </c>
      <c r="CU187" s="17">
        <f>CT187*VLOOKUP('Données projet'!$B$13,Paramètres!$A$1:$I$89,3,0)*VLOOKUP('Données projet'!$B$13,Paramètres!$A$1:$I$89,5,0)</f>
        <v>-3.2366642699344085E-14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473.48875234867705</v>
      </c>
      <c r="CZ187" s="59">
        <f t="shared" si="150"/>
        <v>322.74347070996379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55.863726767108027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55.863726767108027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300.80663531652721</v>
      </c>
      <c r="T188" s="59">
        <f t="shared" si="142"/>
        <v>306.01967513533549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11.633454441500284</v>
      </c>
      <c r="AA188" s="21">
        <f>EXP(-LN(2)/25)*AA187+(1-EXP(-LN(2)/25))/(LN(2)/25)*Calculateur!V188*Calculateur!X188*VLOOKUP('Données projet'!$B$9,Paramètres!$A$1:$I$89,3,0)*0.475*44/12</f>
        <v>2.6779794244660207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14.311433865966304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349.5718186624772</v>
      </c>
      <c r="AO188" s="59">
        <f t="shared" si="144"/>
        <v>258.14152930815959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21.505919500767924</v>
      </c>
      <c r="AV188" s="21">
        <f>EXP(-LN(2)/25)*AV187+(1-EXP(-LN(2)/25))/(LN(2)/25)*Calculateur!AQ188*Calculateur!AS188*VLOOKUP('Données projet'!$B$10,Paramètres!$A$1:$I$89,3,0)*0.475*44/12</f>
        <v>4.3931188158582657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25.899038316626189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349.5718186624772</v>
      </c>
      <c r="BJ188" s="59">
        <f t="shared" si="146"/>
        <v>258.14152930815959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21.505919500767924</v>
      </c>
      <c r="BQ188" s="21">
        <f>EXP(-LN(2)/25)*BQ187+(1-EXP(-LN(2)/25))/(LN(2)/25)*Calculateur!BL188*Calculateur!BN188*VLOOKUP('Données projet'!$B$11,Paramètres!$A$1:$I$89,3,0)*0.475*44/12</f>
        <v>4.3931188158582657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25.899038316626189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-4.5474735088646412E-13</v>
      </c>
      <c r="BZ188" s="13">
        <f>BY188*VLOOKUP('Données projet'!$B$12,Paramètres!$A$1:$I$89,3,0)*VLOOKUP('Données projet'!$B$12,Paramètres!$A$1:$I$89,5,0)</f>
        <v>-2.1282176021486519E-13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356.22620301934836</v>
      </c>
      <c r="CE188" s="59">
        <f t="shared" si="148"/>
        <v>342.25495410715513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42.335649560757794</v>
      </c>
      <c r="CL188" s="21">
        <f>EXP(-LN(2)/25)*CL187+(1-EXP(-LN(2)/25))/(LN(2)/25)*Calculateur!CG188*Calculateur!CI188*VLOOKUP('Données projet'!$B$12,Paramètres!$A$1:$I$89,3,0)*0.475*44/12</f>
        <v>9.1689581637445876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51.504607724502378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-2.8421709430404007E-14</v>
      </c>
      <c r="CU188" s="17">
        <f>CT188*VLOOKUP('Données projet'!$B$13,Paramètres!$A$1:$I$89,3,0)*VLOOKUP('Données projet'!$B$13,Paramètres!$A$1:$I$89,5,0)</f>
        <v>-3.2366642699344085E-14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473.48875234867705</v>
      </c>
      <c r="CZ188" s="59">
        <f t="shared" si="150"/>
        <v>322.74347070996379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54.768273158713889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54.768273158713889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300.80663531652721</v>
      </c>
      <c r="T189" s="59">
        <f t="shared" si="142"/>
        <v>306.01967513533549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11.405329495609029</v>
      </c>
      <c r="AA189" s="21">
        <f>EXP(-LN(2)/25)*AA188+(1-EXP(-LN(2)/25))/(LN(2)/25)*Calculateur!V189*Calculateur!X189*VLOOKUP('Données projet'!$B$9,Paramètres!$A$1:$I$89,3,0)*0.475*44/12</f>
        <v>2.60474993627518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14.010079431884209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349.5718186624772</v>
      </c>
      <c r="AO189" s="59">
        <f t="shared" si="144"/>
        <v>258.14152930815959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21.084201536673532</v>
      </c>
      <c r="AV189" s="21">
        <f>EXP(-LN(2)/25)*AV188+(1-EXP(-LN(2)/25))/(LN(2)/25)*Calculateur!AQ189*Calculateur!AS189*VLOOKUP('Données projet'!$B$10,Paramètres!$A$1:$I$89,3,0)*0.475*44/12</f>
        <v>4.2729887508145437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25.357190287488077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349.5718186624772</v>
      </c>
      <c r="BJ189" s="59">
        <f t="shared" si="146"/>
        <v>258.14152930815959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21.084201536673532</v>
      </c>
      <c r="BQ189" s="21">
        <f>EXP(-LN(2)/25)*BQ188+(1-EXP(-LN(2)/25))/(LN(2)/25)*Calculateur!BL189*Calculateur!BN189*VLOOKUP('Données projet'!$B$11,Paramètres!$A$1:$I$89,3,0)*0.475*44/12</f>
        <v>4.2729887508145437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25.357190287488077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-4.5474735088646412E-13</v>
      </c>
      <c r="BZ189" s="13">
        <f>BY189*VLOOKUP('Données projet'!$B$12,Paramètres!$A$1:$I$89,3,0)*VLOOKUP('Données projet'!$B$12,Paramètres!$A$1:$I$89,5,0)</f>
        <v>-2.1282176021486519E-13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356.22620301934836</v>
      </c>
      <c r="CE189" s="59">
        <f t="shared" si="148"/>
        <v>342.25495410715513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41.505473295067837</v>
      </c>
      <c r="CL189" s="21">
        <f>EXP(-LN(2)/25)*CL188+(1-EXP(-LN(2)/25))/(LN(2)/25)*Calculateur!CG189*Calculateur!CI189*VLOOKUP('Données projet'!$B$12,Paramètres!$A$1:$I$89,3,0)*0.475*44/12</f>
        <v>8.9182325205824373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50.423705815650273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-2.8421709430404007E-14</v>
      </c>
      <c r="CU189" s="17">
        <f>CT189*VLOOKUP('Données projet'!$B$13,Paramètres!$A$1:$I$89,3,0)*VLOOKUP('Données projet'!$B$13,Paramètres!$A$1:$I$89,5,0)</f>
        <v>-3.2366642699344085E-14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473.48875234867705</v>
      </c>
      <c r="CZ189" s="59">
        <f t="shared" si="150"/>
        <v>322.74347070996379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53.69430072741963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53.69430072741963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300.80663531652721</v>
      </c>
      <c r="T190" s="59">
        <f t="shared" si="142"/>
        <v>306.01967513533549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11.181677940764224</v>
      </c>
      <c r="AA190" s="21">
        <f>EXP(-LN(2)/25)*AA189+(1-EXP(-LN(2)/25))/(LN(2)/25)*Calculateur!V190*Calculateur!X190*VLOOKUP('Données projet'!$B$9,Paramètres!$A$1:$I$89,3,0)*0.475*44/12</f>
        <v>2.5335229122898895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13.715200853054114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349.5718186624772</v>
      </c>
      <c r="AO190" s="59">
        <f t="shared" si="144"/>
        <v>258.14152930815959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20.670753204632472</v>
      </c>
      <c r="AV190" s="21">
        <f>EXP(-LN(2)/25)*AV189+(1-EXP(-LN(2)/25))/(LN(2)/25)*Calculateur!AQ190*Calculateur!AS190*VLOOKUP('Données projet'!$B$10,Paramètres!$A$1:$I$89,3,0)*0.475*44/12</f>
        <v>4.1561436487168075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24.826896853349279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349.5718186624772</v>
      </c>
      <c r="BJ190" s="59">
        <f t="shared" si="146"/>
        <v>258.14152930815959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20.670753204632472</v>
      </c>
      <c r="BQ190" s="21">
        <f>EXP(-LN(2)/25)*BQ189+(1-EXP(-LN(2)/25))/(LN(2)/25)*Calculateur!BL190*Calculateur!BN190*VLOOKUP('Données projet'!$B$11,Paramètres!$A$1:$I$89,3,0)*0.475*44/12</f>
        <v>4.1561436487168075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24.826896853349279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-4.5474735088646412E-13</v>
      </c>
      <c r="BZ190" s="13">
        <f>BY190*VLOOKUP('Données projet'!$B$12,Paramètres!$A$1:$I$89,3,0)*VLOOKUP('Données projet'!$B$12,Paramètres!$A$1:$I$89,5,0)</f>
        <v>-2.1282176021486519E-13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356.22620301934836</v>
      </c>
      <c r="CE190" s="59">
        <f t="shared" si="148"/>
        <v>342.25495410715513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40.691576279590535</v>
      </c>
      <c r="CL190" s="21">
        <f>EXP(-LN(2)/25)*CL189+(1-EXP(-LN(2)/25))/(LN(2)/25)*Calculateur!CG190*Calculateur!CI190*VLOOKUP('Données projet'!$B$12,Paramètres!$A$1:$I$89,3,0)*0.475*44/12</f>
        <v>8.6743629833176445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49.365939262908178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-2.8421709430404007E-14</v>
      </c>
      <c r="CU190" s="17">
        <f>CT190*VLOOKUP('Données projet'!$B$13,Paramètres!$A$1:$I$89,3,0)*VLOOKUP('Données projet'!$B$13,Paramètres!$A$1:$I$89,5,0)</f>
        <v>-3.2366642699344085E-14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473.48875234867705</v>
      </c>
      <c r="CZ190" s="59">
        <f t="shared" si="150"/>
        <v>322.74347070996379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52.641388240444556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52.641388240444556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300.80663531652721</v>
      </c>
      <c r="T191" s="59">
        <f t="shared" si="142"/>
        <v>306.01967513533549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10.962412056495948</v>
      </c>
      <c r="AA191" s="21">
        <f>EXP(-LN(2)/25)*AA190+(1-EXP(-LN(2)/25))/(LN(2)/25)*Calculateur!V191*Calculateur!X191*VLOOKUP('Données projet'!$B$9,Paramètres!$A$1:$I$89,3,0)*0.475*44/12</f>
        <v>2.4642435950211428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13.426655651517091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349.5718186624772</v>
      </c>
      <c r="AO191" s="59">
        <f t="shared" si="144"/>
        <v>258.14152930815959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20.265412342204158</v>
      </c>
      <c r="AV191" s="21">
        <f>EXP(-LN(2)/25)*AV190+(1-EXP(-LN(2)/25))/(LN(2)/25)*Calculateur!AQ191*Calculateur!AS191*VLOOKUP('Données projet'!$B$10,Paramètres!$A$1:$I$89,3,0)*0.475*44/12</f>
        <v>4.0424936820805506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24.307906024284708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349.5718186624772</v>
      </c>
      <c r="BJ191" s="59">
        <f t="shared" si="146"/>
        <v>258.14152930815959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20.265412342204158</v>
      </c>
      <c r="BQ191" s="21">
        <f>EXP(-LN(2)/25)*BQ190+(1-EXP(-LN(2)/25))/(LN(2)/25)*Calculateur!BL191*Calculateur!BN191*VLOOKUP('Données projet'!$B$11,Paramètres!$A$1:$I$89,3,0)*0.475*44/12</f>
        <v>4.0424936820805506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24.307906024284708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-4.5474735088646412E-13</v>
      </c>
      <c r="BZ191" s="13">
        <f>BY191*VLOOKUP('Données projet'!$B$12,Paramètres!$A$1:$I$89,3,0)*VLOOKUP('Données projet'!$B$12,Paramètres!$A$1:$I$89,5,0)</f>
        <v>-2.1282176021486519E-13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356.22620301934836</v>
      </c>
      <c r="CE191" s="59">
        <f t="shared" si="148"/>
        <v>342.25495410715513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39.893639288158582</v>
      </c>
      <c r="CL191" s="21">
        <f>EXP(-LN(2)/25)*CL190+(1-EXP(-LN(2)/25))/(LN(2)/25)*Calculateur!CG191*Calculateur!CI191*VLOOKUP('Données projet'!$B$12,Paramètres!$A$1:$I$89,3,0)*0.475*44/12</f>
        <v>8.4371620713738995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48.330801359532479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-2.8421709430404007E-14</v>
      </c>
      <c r="CU191" s="17">
        <f>CT191*VLOOKUP('Données projet'!$B$13,Paramètres!$A$1:$I$89,3,0)*VLOOKUP('Données projet'!$B$13,Paramètres!$A$1:$I$89,5,0)</f>
        <v>-3.2366642699344085E-14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473.48875234867705</v>
      </c>
      <c r="CZ191" s="59">
        <f t="shared" si="150"/>
        <v>322.74347070996379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51.609122725125857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51.609122725125857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300.80663531652721</v>
      </c>
      <c r="T192" s="59">
        <f t="shared" si="142"/>
        <v>306.01967513533549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10.747445842479189</v>
      </c>
      <c r="AA192" s="21">
        <f>EXP(-LN(2)/25)*AA191+(1-EXP(-LN(2)/25))/(LN(2)/25)*Calculateur!V192*Calculateur!X192*VLOOKUP('Données projet'!$B$9,Paramètres!$A$1:$I$89,3,0)*0.475*44/12</f>
        <v>2.3968587243263513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13.144304566805541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349.5718186624772</v>
      </c>
      <c r="AO192" s="59">
        <f t="shared" si="144"/>
        <v>258.14152930815959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19.868019966854547</v>
      </c>
      <c r="AV192" s="21">
        <f>EXP(-LN(2)/25)*AV191+(1-EXP(-LN(2)/25))/(LN(2)/25)*Calculateur!AQ192*Calculateur!AS192*VLOOKUP('Données projet'!$B$10,Paramètres!$A$1:$I$89,3,0)*0.475*44/12</f>
        <v>3.9319514797585544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23.7999714466131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349.5718186624772</v>
      </c>
      <c r="BJ192" s="59">
        <f t="shared" si="146"/>
        <v>258.14152930815959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19.868019966854547</v>
      </c>
      <c r="BQ192" s="21">
        <f>EXP(-LN(2)/25)*BQ191+(1-EXP(-LN(2)/25))/(LN(2)/25)*Calculateur!BL192*Calculateur!BN192*VLOOKUP('Données projet'!$B$11,Paramètres!$A$1:$I$89,3,0)*0.475*44/12</f>
        <v>3.9319514797585544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23.7999714466131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-4.5474735088646412E-13</v>
      </c>
      <c r="BZ192" s="13">
        <f>BY192*VLOOKUP('Données projet'!$B$12,Paramètres!$A$1:$I$89,3,0)*VLOOKUP('Données projet'!$B$12,Paramètres!$A$1:$I$89,5,0)</f>
        <v>-2.1282176021486519E-13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356.22620301934836</v>
      </c>
      <c r="CE192" s="59">
        <f t="shared" si="148"/>
        <v>342.25495410715513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39.111349354435099</v>
      </c>
      <c r="CL192" s="21">
        <f>EXP(-LN(2)/25)*CL191+(1-EXP(-LN(2)/25))/(LN(2)/25)*Calculateur!CG192*Calculateur!CI192*VLOOKUP('Données projet'!$B$12,Paramètres!$A$1:$I$89,3,0)*0.475*44/12</f>
        <v>8.2064474308411111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47.317796785276208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-2.8421709430404007E-14</v>
      </c>
      <c r="CU192" s="17">
        <f>CT192*VLOOKUP('Données projet'!$B$13,Paramètres!$A$1:$I$89,3,0)*VLOOKUP('Données projet'!$B$13,Paramètres!$A$1:$I$89,5,0)</f>
        <v>-3.2366642699344085E-14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473.48875234867705</v>
      </c>
      <c r="CZ192" s="59">
        <f t="shared" si="150"/>
        <v>322.74347070996379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50.597099306942759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50.597099306942759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300.80663531652721</v>
      </c>
      <c r="T193" s="59">
        <f t="shared" si="142"/>
        <v>306.01967513533549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10.536694984802855</v>
      </c>
      <c r="AA193" s="21">
        <f>EXP(-LN(2)/25)*AA192+(1-EXP(-LN(2)/25))/(LN(2)/25)*Calculateur!V193*Calculateur!X193*VLOOKUP('Données projet'!$B$9,Paramètres!$A$1:$I$89,3,0)*0.475*44/12</f>
        <v>2.3313164964643249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12.86801148126718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349.5718186624772</v>
      </c>
      <c r="AO193" s="59">
        <f t="shared" si="144"/>
        <v>258.14152930815959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19.478420213600128</v>
      </c>
      <c r="AV193" s="21">
        <f>EXP(-LN(2)/25)*AV192+(1-EXP(-LN(2)/25))/(LN(2)/25)*Calculateur!AQ193*Calculateur!AS193*VLOOKUP('Données projet'!$B$10,Paramètres!$A$1:$I$89,3,0)*0.475*44/12</f>
        <v>3.824432059772215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23.302852273372341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349.5718186624772</v>
      </c>
      <c r="BJ193" s="59">
        <f t="shared" si="146"/>
        <v>258.14152930815959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19.478420213600128</v>
      </c>
      <c r="BQ193" s="21">
        <f>EXP(-LN(2)/25)*BQ192+(1-EXP(-LN(2)/25))/(LN(2)/25)*Calculateur!BL193*Calculateur!BN193*VLOOKUP('Données projet'!$B$11,Paramètres!$A$1:$I$89,3,0)*0.475*44/12</f>
        <v>3.824432059772215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23.302852273372341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-4.5474735088646412E-13</v>
      </c>
      <c r="BZ193" s="13">
        <f>BY193*VLOOKUP('Données projet'!$B$12,Paramètres!$A$1:$I$89,3,0)*VLOOKUP('Données projet'!$B$12,Paramètres!$A$1:$I$89,5,0)</f>
        <v>-2.1282176021486519E-13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356.22620301934836</v>
      </c>
      <c r="CE193" s="59">
        <f t="shared" si="148"/>
        <v>342.25495410715513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38.344399649162192</v>
      </c>
      <c r="CL193" s="21">
        <f>EXP(-LN(2)/25)*CL192+(1-EXP(-LN(2)/25))/(LN(2)/25)*Calculateur!CG193*Calculateur!CI193*VLOOKUP('Données projet'!$B$12,Paramètres!$A$1:$I$89,3,0)*0.475*44/12</f>
        <v>7.9820416942864467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46.326441343448636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-2.8421709430404007E-14</v>
      </c>
      <c r="CU193" s="17">
        <f>CT193*VLOOKUP('Données projet'!$B$13,Paramètres!$A$1:$I$89,3,0)*VLOOKUP('Données projet'!$B$13,Paramètres!$A$1:$I$89,5,0)</f>
        <v>-3.2366642699344085E-14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473.48875234867705</v>
      </c>
      <c r="CZ193" s="59">
        <f t="shared" si="150"/>
        <v>322.74347070996379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49.604921050716904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49.604921050716904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300.80663531652721</v>
      </c>
      <c r="T194" s="59">
        <f t="shared" si="142"/>
        <v>306.01967513533549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10.330076822900223</v>
      </c>
      <c r="AA194" s="21">
        <f>EXP(-LN(2)/25)*AA193+(1-EXP(-LN(2)/25))/(LN(2)/25)*Calculateur!V194*Calculateur!X194*VLOOKUP('Données projet'!$B$9,Paramètres!$A$1:$I$89,3,0)*0.475*44/12</f>
        <v>2.2675665242699017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12.597643347170123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349.5718186624772</v>
      </c>
      <c r="AO194" s="59">
        <f t="shared" si="144"/>
        <v>258.14152930815959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19.096460273874641</v>
      </c>
      <c r="AV194" s="21">
        <f>EXP(-LN(2)/25)*AV193+(1-EXP(-LN(2)/25))/(LN(2)/25)*Calculateur!AQ194*Calculateur!AS194*VLOOKUP('Données projet'!$B$10,Paramètres!$A$1:$I$89,3,0)*0.475*44/12</f>
        <v>3.7198527639796026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22.816313037854243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349.5718186624772</v>
      </c>
      <c r="BJ194" s="59">
        <f t="shared" si="146"/>
        <v>258.14152930815959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19.096460273874641</v>
      </c>
      <c r="BQ194" s="21">
        <f>EXP(-LN(2)/25)*BQ193+(1-EXP(-LN(2)/25))/(LN(2)/25)*Calculateur!BL194*Calculateur!BN194*VLOOKUP('Données projet'!$B$11,Paramètres!$A$1:$I$89,3,0)*0.475*44/12</f>
        <v>3.7198527639796026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22.816313037854243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-4.5474735088646412E-13</v>
      </c>
      <c r="BZ194" s="13">
        <f>BY194*VLOOKUP('Données projet'!$B$12,Paramètres!$A$1:$I$89,3,0)*VLOOKUP('Données projet'!$B$12,Paramètres!$A$1:$I$89,5,0)</f>
        <v>-2.1282176021486519E-13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356.22620301934836</v>
      </c>
      <c r="CE194" s="59">
        <f t="shared" si="148"/>
        <v>342.25495410715513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37.592489359816554</v>
      </c>
      <c r="CL194" s="21">
        <f>EXP(-LN(2)/25)*CL193+(1-EXP(-LN(2)/25))/(LN(2)/25)*Calculateur!CG194*Calculateur!CI194*VLOOKUP('Données projet'!$B$12,Paramètres!$A$1:$I$89,3,0)*0.475*44/12</f>
        <v>7.7637723443988547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45.356261704215406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-2.8421709430404007E-14</v>
      </c>
      <c r="CU194" s="17">
        <f>CT194*VLOOKUP('Données projet'!$B$13,Paramètres!$A$1:$I$89,3,0)*VLOOKUP('Données projet'!$B$13,Paramètres!$A$1:$I$89,5,0)</f>
        <v>-3.2366642699344085E-14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473.48875234867705</v>
      </c>
      <c r="CZ194" s="59">
        <f t="shared" si="150"/>
        <v>322.74347070996379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48.632198804926652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48.632198804926652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300.80663531652721</v>
      </c>
      <c r="T195" s="59">
        <f t="shared" si="142"/>
        <v>306.01967513533549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10.127510317127866</v>
      </c>
      <c r="AA195" s="21">
        <f>EXP(-LN(2)/25)*AA194+(1-EXP(-LN(2)/25))/(LN(2)/25)*Calculateur!V195*Calculateur!X195*VLOOKUP('Données projet'!$B$9,Paramètres!$A$1:$I$89,3,0)*0.475*44/12</f>
        <v>2.2055597984176005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12.333070115545468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349.5718186624772</v>
      </c>
      <c r="AO195" s="59">
        <f t="shared" si="144"/>
        <v>258.14152930815959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18.721990335594612</v>
      </c>
      <c r="AV195" s="21">
        <f>EXP(-LN(2)/25)*AV194+(1-EXP(-LN(2)/25))/(LN(2)/25)*Calculateur!AQ195*Calculateur!AS195*VLOOKUP('Données projet'!$B$10,Paramètres!$A$1:$I$89,3,0)*0.475*44/12</f>
        <v>3.6181331945300252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22.340123530124636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349.5718186624772</v>
      </c>
      <c r="BJ195" s="59">
        <f t="shared" si="146"/>
        <v>258.14152930815959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18.721990335594612</v>
      </c>
      <c r="BQ195" s="21">
        <f>EXP(-LN(2)/25)*BQ194+(1-EXP(-LN(2)/25))/(LN(2)/25)*Calculateur!BL195*Calculateur!BN195*VLOOKUP('Données projet'!$B$11,Paramètres!$A$1:$I$89,3,0)*0.475*44/12</f>
        <v>3.6181331945300252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22.340123530124636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-4.5474735088646412E-13</v>
      </c>
      <c r="BZ195" s="13">
        <f>BY195*VLOOKUP('Données projet'!$B$12,Paramètres!$A$1:$I$89,3,0)*VLOOKUP('Données projet'!$B$12,Paramètres!$A$1:$I$89,5,0)</f>
        <v>-2.1282176021486519E-13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356.22620301934836</v>
      </c>
      <c r="CE195" s="59">
        <f t="shared" si="148"/>
        <v>342.25495410715513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36.855323572624997</v>
      </c>
      <c r="CL195" s="21">
        <f>EXP(-LN(2)/25)*CL194+(1-EXP(-LN(2)/25))/(LN(2)/25)*Calculateur!CG195*Calculateur!CI195*VLOOKUP('Données projet'!$B$12,Paramètres!$A$1:$I$89,3,0)*0.475*44/12</f>
        <v>7.5514715813622244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44.406795153987218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-2.8421709430404007E-14</v>
      </c>
      <c r="CU195" s="17">
        <f>CT195*VLOOKUP('Données projet'!$B$13,Paramètres!$A$1:$I$89,3,0)*VLOOKUP('Données projet'!$B$13,Paramètres!$A$1:$I$89,5,0)</f>
        <v>-3.2366642699344085E-14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473.48875234867705</v>
      </c>
      <c r="CZ195" s="59">
        <f t="shared" si="150"/>
        <v>322.74347070996379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47.678551049074365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47.678551049074365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300.80663531652721</v>
      </c>
      <c r="T196" s="59">
        <f t="shared" si="142"/>
        <v>306.01967513533549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9.9289160169803363</v>
      </c>
      <c r="AA196" s="21">
        <f>EXP(-LN(2)/25)*AA195+(1-EXP(-LN(2)/25))/(LN(2)/25)*Calculateur!V196*Calculateur!X196*VLOOKUP('Données projet'!$B$9,Paramètres!$A$1:$I$89,3,0)*0.475*44/12</f>
        <v>2.1452486497445222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12.074164666724858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349.5718186624772</v>
      </c>
      <c r="AO196" s="59">
        <f t="shared" si="144"/>
        <v>258.14152930815959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18.354863524400145</v>
      </c>
      <c r="AV196" s="21">
        <f>EXP(-LN(2)/25)*AV195+(1-EXP(-LN(2)/25))/(LN(2)/25)*Calculateur!AQ196*Calculateur!AS196*VLOOKUP('Données projet'!$B$10,Paramètres!$A$1:$I$89,3,0)*0.475*44/12</f>
        <v>3.5191951520562466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21.874058676456393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349.5718186624772</v>
      </c>
      <c r="BJ196" s="59">
        <f t="shared" si="146"/>
        <v>258.14152930815959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18.354863524400145</v>
      </c>
      <c r="BQ196" s="21">
        <f>EXP(-LN(2)/25)*BQ195+(1-EXP(-LN(2)/25))/(LN(2)/25)*Calculateur!BL196*Calculateur!BN196*VLOOKUP('Données projet'!$B$11,Paramètres!$A$1:$I$89,3,0)*0.475*44/12</f>
        <v>3.5191951520562466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21.874058676456393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-4.5474735088646412E-13</v>
      </c>
      <c r="BZ196" s="13">
        <f>BY196*VLOOKUP('Données projet'!$B$12,Paramètres!$A$1:$I$89,3,0)*VLOOKUP('Données projet'!$B$12,Paramètres!$A$1:$I$89,5,0)</f>
        <v>-2.1282176021486519E-13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356.22620301934836</v>
      </c>
      <c r="CE196" s="59">
        <f t="shared" si="148"/>
        <v>342.25495410715513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36.132613156893534</v>
      </c>
      <c r="CL196" s="21">
        <f>EXP(-LN(2)/25)*CL195+(1-EXP(-LN(2)/25))/(LN(2)/25)*Calculateur!CG196*Calculateur!CI196*VLOOKUP('Données projet'!$B$12,Paramètres!$A$1:$I$89,3,0)*0.475*44/12</f>
        <v>7.3449761938552429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43.477589350748779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-2.8421709430404007E-14</v>
      </c>
      <c r="CU196" s="17">
        <f>CT196*VLOOKUP('Données projet'!$B$13,Paramètres!$A$1:$I$89,3,0)*VLOOKUP('Données projet'!$B$13,Paramètres!$A$1:$I$89,5,0)</f>
        <v>-3.2366642699344085E-14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473.48875234867705</v>
      </c>
      <c r="CZ196" s="59">
        <f t="shared" si="150"/>
        <v>322.74347070996379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46.743603744046645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46.743603744046645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300.80663531652721</v>
      </c>
      <c r="T197" s="59">
        <f t="shared" ref="T197:T203" si="204">$T$3</f>
        <v>306.01967513533549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9.7342160299281382</v>
      </c>
      <c r="AA197" s="21">
        <f>EXP(-LN(2)/25)*AA196+(1-EXP(-LN(2)/25))/(LN(2)/25)*Calculateur!V197*Calculateur!X197*VLOOKUP('Données projet'!$B$9,Paramètres!$A$1:$I$89,3,0)*0.475*44/12</f>
        <v>2.0865867126035349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11.820802742531672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349.5718186624772</v>
      </c>
      <c r="AO197" s="59">
        <f t="shared" ref="AO197:AO203" si="205">$AO$3</f>
        <v>258.14152930815959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17.994935846047959</v>
      </c>
      <c r="AV197" s="21">
        <f>EXP(-LN(2)/25)*AV196+(1-EXP(-LN(2)/25))/(LN(2)/25)*Calculateur!AQ197*Calculateur!AS197*VLOOKUP('Données projet'!$B$10,Paramètres!$A$1:$I$89,3,0)*0.475*44/12</f>
        <v>3.4229625755568387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21.417898421604797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349.5718186624772</v>
      </c>
      <c r="BJ197" s="59">
        <f t="shared" ref="BJ197:BJ203" si="206">$BJ$3</f>
        <v>258.14152930815959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17.994935846047959</v>
      </c>
      <c r="BQ197" s="21">
        <f>EXP(-LN(2)/25)*BQ196+(1-EXP(-LN(2)/25))/(LN(2)/25)*Calculateur!BL197*Calculateur!BN197*VLOOKUP('Données projet'!$B$11,Paramètres!$A$1:$I$89,3,0)*0.475*44/12</f>
        <v>3.4229625755568387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21.417898421604797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-4.5474735088646412E-13</v>
      </c>
      <c r="BZ197" s="13">
        <f>BY197*VLOOKUP('Données projet'!$B$12,Paramètres!$A$1:$I$89,3,0)*VLOOKUP('Données projet'!$B$12,Paramètres!$A$1:$I$89,5,0)</f>
        <v>-2.1282176021486519E-13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356.22620301934836</v>
      </c>
      <c r="CE197" s="59">
        <f t="shared" ref="CE197:CE203" si="207">$CE$3</f>
        <v>342.25495410715513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35.424074651604734</v>
      </c>
      <c r="CL197" s="21">
        <f>EXP(-LN(2)/25)*CL196+(1-EXP(-LN(2)/25))/(LN(2)/25)*Calculateur!CG197*Calculateur!CI197*VLOOKUP('Données projet'!$B$12,Paramètres!$A$1:$I$89,3,0)*0.475*44/12</f>
        <v>7.1441274335787606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42.568202085183493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-2.8421709430404007E-14</v>
      </c>
      <c r="CU197" s="17">
        <f>CT197*VLOOKUP('Données projet'!$B$13,Paramètres!$A$1:$I$89,3,0)*VLOOKUP('Données projet'!$B$13,Paramètres!$A$1:$I$89,5,0)</f>
        <v>-3.2366642699344085E-14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473.48875234867705</v>
      </c>
      <c r="CZ197" s="59">
        <f t="shared" ref="CZ197:CZ203" si="208">$CZ$3</f>
        <v>322.74347070996379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45.826990185408967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45.826990185408967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300.80663531652721</v>
      </c>
      <c r="T198" s="59">
        <f t="shared" si="204"/>
        <v>306.01967513533549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9.5433339908667669</v>
      </c>
      <c r="AA198" s="21">
        <f>EXP(-LN(2)/25)*AA197+(1-EXP(-LN(2)/25))/(LN(2)/25)*Calculateur!V198*Calculateur!X198*VLOOKUP('Données projet'!$B$9,Paramètres!$A$1:$I$89,3,0)*0.475*44/12</f>
        <v>2.029528889218565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11.572862880085331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349.5718186624772</v>
      </c>
      <c r="AO198" s="59">
        <f t="shared" si="205"/>
        <v>258.14152930815959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17.642066129934051</v>
      </c>
      <c r="AV198" s="21">
        <f>EXP(-LN(2)/25)*AV197+(1-EXP(-LN(2)/25))/(LN(2)/25)*Calculateur!AQ198*Calculateur!AS198*VLOOKUP('Données projet'!$B$10,Paramètres!$A$1:$I$89,3,0)*0.475*44/12</f>
        <v>3.3293614839224586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20.971427613856509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349.5718186624772</v>
      </c>
      <c r="BJ198" s="59">
        <f t="shared" si="206"/>
        <v>258.14152930815959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17.642066129934051</v>
      </c>
      <c r="BQ198" s="21">
        <f>EXP(-LN(2)/25)*BQ197+(1-EXP(-LN(2)/25))/(LN(2)/25)*Calculateur!BL198*Calculateur!BN198*VLOOKUP('Données projet'!$B$11,Paramètres!$A$1:$I$89,3,0)*0.475*44/12</f>
        <v>3.3293614839224586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20.971427613856509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-4.5474735088646412E-13</v>
      </c>
      <c r="BZ198" s="13">
        <f>BY198*VLOOKUP('Données projet'!$B$12,Paramètres!$A$1:$I$89,3,0)*VLOOKUP('Données projet'!$B$12,Paramètres!$A$1:$I$89,5,0)</f>
        <v>-2.1282176021486519E-13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356.22620301934836</v>
      </c>
      <c r="CE198" s="59">
        <f t="shared" si="207"/>
        <v>342.25495410715513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34.729430154238834</v>
      </c>
      <c r="CL198" s="21">
        <f>EXP(-LN(2)/25)*CL197+(1-EXP(-LN(2)/25))/(LN(2)/25)*Calculateur!CG198*Calculateur!CI198*VLOOKUP('Données projet'!$B$12,Paramètres!$A$1:$I$89,3,0)*0.475*44/12</f>
        <v>6.948770893214216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41.678201047453051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-2.8421709430404007E-14</v>
      </c>
      <c r="CU198" s="17">
        <f>CT198*VLOOKUP('Données projet'!$B$13,Paramètres!$A$1:$I$89,3,0)*VLOOKUP('Données projet'!$B$13,Paramètres!$A$1:$I$89,5,0)</f>
        <v>-3.2366642699344085E-14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473.48875234867705</v>
      </c>
      <c r="CZ198" s="59">
        <f t="shared" si="208"/>
        <v>322.74347070996379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44.928350859577108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44.928350859577108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300.80663531652721</v>
      </c>
      <c r="T199" s="59">
        <f t="shared" si="204"/>
        <v>306.01967513533549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9.3561950321648428</v>
      </c>
      <c r="AA199" s="21">
        <f>EXP(-LN(2)/25)*AA198+(1-EXP(-LN(2)/25))/(LN(2)/25)*Calculateur!V199*Calculateur!X199*VLOOKUP('Données projet'!$B$9,Paramètres!$A$1:$I$89,3,0)*0.475*44/12</f>
        <v>1.9740313150145976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11.33022634717944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349.5718186624772</v>
      </c>
      <c r="AO199" s="59">
        <f t="shared" si="205"/>
        <v>258.14152930815959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17.296115973723861</v>
      </c>
      <c r="AV199" s="21">
        <f>EXP(-LN(2)/25)*AV198+(1-EXP(-LN(2)/25))/(LN(2)/25)*Calculateur!AQ199*Calculateur!AS199*VLOOKUP('Données projet'!$B$10,Paramètres!$A$1:$I$89,3,0)*0.475*44/12</f>
        <v>3.2383199190610878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20.534435892784948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349.5718186624772</v>
      </c>
      <c r="BJ199" s="59">
        <f t="shared" si="206"/>
        <v>258.14152930815959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17.296115973723861</v>
      </c>
      <c r="BQ199" s="21">
        <f>EXP(-LN(2)/25)*BQ198+(1-EXP(-LN(2)/25))/(LN(2)/25)*Calculateur!BL199*Calculateur!BN199*VLOOKUP('Données projet'!$B$11,Paramètres!$A$1:$I$89,3,0)*0.475*44/12</f>
        <v>3.2383199190610878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20.534435892784948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-4.5474735088646412E-13</v>
      </c>
      <c r="BZ199" s="13">
        <f>BY199*VLOOKUP('Données projet'!$B$12,Paramètres!$A$1:$I$89,3,0)*VLOOKUP('Données projet'!$B$12,Paramètres!$A$1:$I$89,5,0)</f>
        <v>-2.1282176021486519E-13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356.22620301934836</v>
      </c>
      <c r="CE199" s="59">
        <f t="shared" si="207"/>
        <v>342.25495410715513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34.048407211774972</v>
      </c>
      <c r="CL199" s="21">
        <f>EXP(-LN(2)/25)*CL198+(1-EXP(-LN(2)/25))/(LN(2)/25)*Calculateur!CG199*Calculateur!CI199*VLOOKUP('Données projet'!$B$12,Paramètres!$A$1:$I$89,3,0)*0.475*44/12</f>
        <v>6.758756387719294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40.807163599494267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-2.8421709430404007E-14</v>
      </c>
      <c r="CU199" s="17">
        <f>CT199*VLOOKUP('Données projet'!$B$13,Paramètres!$A$1:$I$89,3,0)*VLOOKUP('Données projet'!$B$13,Paramètres!$A$1:$I$89,5,0)</f>
        <v>-3.2366642699344085E-14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473.48875234867705</v>
      </c>
      <c r="CZ199" s="59">
        <f t="shared" si="208"/>
        <v>322.74347070996379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44.047333302808944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44.047333302808944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300.80663531652721</v>
      </c>
      <c r="T200" s="59">
        <f t="shared" si="204"/>
        <v>306.01967513533549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9.1727257542995684</v>
      </c>
      <c r="AA200" s="21">
        <f>EXP(-LN(2)/25)*AA199+(1-EXP(-LN(2)/25))/(LN(2)/25)*Calculateur!V200*Calculateur!X200*VLOOKUP('Données projet'!$B$9,Paramètres!$A$1:$I$89,3,0)*0.475*44/12</f>
        <v>1.9200513248957283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11.092777079195297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349.5718186624772</v>
      </c>
      <c r="AO200" s="59">
        <f t="shared" si="205"/>
        <v>258.14152930815959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16.956949689068196</v>
      </c>
      <c r="AV200" s="21">
        <f>EXP(-LN(2)/25)*AV199+(1-EXP(-LN(2)/25))/(LN(2)/25)*Calculateur!AQ200*Calculateur!AS200*VLOOKUP('Données projet'!$B$10,Paramètres!$A$1:$I$89,3,0)*0.475*44/12</f>
        <v>3.1497678905785191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20.106717579646716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349.5718186624772</v>
      </c>
      <c r="BJ200" s="59">
        <f t="shared" si="206"/>
        <v>258.14152930815959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16.956949689068196</v>
      </c>
      <c r="BQ200" s="21">
        <f>EXP(-LN(2)/25)*BQ199+(1-EXP(-LN(2)/25))/(LN(2)/25)*Calculateur!BL200*Calculateur!BN200*VLOOKUP('Données projet'!$B$11,Paramètres!$A$1:$I$89,3,0)*0.475*44/12</f>
        <v>3.1497678905785191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20.106717579646716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-4.5474735088646412E-13</v>
      </c>
      <c r="BZ200" s="13">
        <f>BY200*VLOOKUP('Données projet'!$B$12,Paramètres!$A$1:$I$89,3,0)*VLOOKUP('Données projet'!$B$12,Paramètres!$A$1:$I$89,5,0)</f>
        <v>-2.1282176021486519E-13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356.22620301934836</v>
      </c>
      <c r="CE200" s="59">
        <f t="shared" si="207"/>
        <v>342.25495410715513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33.380738713829842</v>
      </c>
      <c r="CL200" s="21">
        <f>EXP(-LN(2)/25)*CL199+(1-EXP(-LN(2)/25))/(LN(2)/25)*Calculateur!CG200*Calculateur!CI200*VLOOKUP('Données projet'!$B$12,Paramètres!$A$1:$I$89,3,0)*0.475*44/12</f>
        <v>6.5739378388695586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39.954676552699404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-2.8421709430404007E-14</v>
      </c>
      <c r="CU200" s="17">
        <f>CT200*VLOOKUP('Données projet'!$B$13,Paramètres!$A$1:$I$89,3,0)*VLOOKUP('Données projet'!$B$13,Paramètres!$A$1:$I$89,5,0)</f>
        <v>-3.2366642699344085E-14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473.48875234867705</v>
      </c>
      <c r="CZ200" s="59">
        <f t="shared" si="208"/>
        <v>322.74347070996379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43.183591962961358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43.183591962961358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300.80663531652721</v>
      </c>
      <c r="T201" s="59">
        <f t="shared" si="204"/>
        <v>306.01967513533549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8.9928541970680218</v>
      </c>
      <c r="AA201" s="21">
        <f>EXP(-LN(2)/25)*AA200+(1-EXP(-LN(2)/25))/(LN(2)/25)*Calculateur!V201*Calculateur!X201*VLOOKUP('Données projet'!$B$9,Paramètres!$A$1:$I$89,3,0)*0.475*44/12</f>
        <v>1.8675474204453437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10.860401617513366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349.5718186624772</v>
      </c>
      <c r="AO201" s="59">
        <f t="shared" si="205"/>
        <v>258.14152930815959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16.624434248383622</v>
      </c>
      <c r="AV201" s="21">
        <f>EXP(-LN(2)/25)*AV200+(1-EXP(-LN(2)/25))/(LN(2)/25)*Calculateur!AQ201*Calculateur!AS201*VLOOKUP('Données projet'!$B$10,Paramètres!$A$1:$I$89,3,0)*0.475*44/12</f>
        <v>3.0636373219715551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19.688071570355177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349.5718186624772</v>
      </c>
      <c r="BJ201" s="59">
        <f t="shared" si="206"/>
        <v>258.14152930815959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16.624434248383622</v>
      </c>
      <c r="BQ201" s="21">
        <f>EXP(-LN(2)/25)*BQ200+(1-EXP(-LN(2)/25))/(LN(2)/25)*Calculateur!BL201*Calculateur!BN201*VLOOKUP('Données projet'!$B$11,Paramètres!$A$1:$I$89,3,0)*0.475*44/12</f>
        <v>3.0636373219715551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19.688071570355177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-4.5474735088646412E-13</v>
      </c>
      <c r="BZ201" s="13">
        <f>BY201*VLOOKUP('Données projet'!$B$12,Paramètres!$A$1:$I$89,3,0)*VLOOKUP('Données projet'!$B$12,Paramètres!$A$1:$I$89,5,0)</f>
        <v>-2.1282176021486519E-13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356.22620301934836</v>
      </c>
      <c r="CE201" s="59">
        <f t="shared" si="207"/>
        <v>342.25495410715513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32.726162787891845</v>
      </c>
      <c r="CL201" s="21">
        <f>EXP(-LN(2)/25)*CL200+(1-EXP(-LN(2)/25))/(LN(2)/25)*Calculateur!CG201*Calculateur!CI201*VLOOKUP('Données projet'!$B$12,Paramètres!$A$1:$I$89,3,0)*0.475*44/12</f>
        <v>6.3941731629573049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39.120335950849153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-2.8421709430404007E-14</v>
      </c>
      <c r="CU201" s="17">
        <f>CT201*VLOOKUP('Données projet'!$B$13,Paramètres!$A$1:$I$89,3,0)*VLOOKUP('Données projet'!$B$13,Paramètres!$A$1:$I$89,5,0)</f>
        <v>-3.2366642699344085E-14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473.48875234867705</v>
      </c>
      <c r="CZ201" s="59">
        <f t="shared" si="208"/>
        <v>322.74347070996379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42.336788063957982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42.336788063957982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300.80663531652721</v>
      </c>
      <c r="T202" s="59">
        <f t="shared" si="204"/>
        <v>306.01967513533549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8.8165098113629696</v>
      </c>
      <c r="AA202" s="21">
        <f>EXP(-LN(2)/25)*AA201+(1-EXP(-LN(2)/25))/(LN(2)/25)*Calculateur!V202*Calculateur!X202*VLOOKUP('Données projet'!$B$9,Paramètres!$A$1:$I$89,3,0)*0.475*44/12</f>
        <v>1.8164792380232153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10.632989049386184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349.5718186624772</v>
      </c>
      <c r="AO202" s="59">
        <f t="shared" si="205"/>
        <v>258.14152930815959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16.298439232676479</v>
      </c>
      <c r="AV202" s="21">
        <f>EXP(-LN(2)/25)*AV201+(1-EXP(-LN(2)/25))/(LN(2)/25)*Calculateur!AQ202*Calculateur!AS202*VLOOKUP('Données projet'!$B$10,Paramètres!$A$1:$I$89,3,0)*0.475*44/12</f>
        <v>2.979861998292558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19.278301230969038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349.5718186624772</v>
      </c>
      <c r="BJ202" s="59">
        <f t="shared" si="206"/>
        <v>258.14152930815959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16.298439232676479</v>
      </c>
      <c r="BQ202" s="21">
        <f>EXP(-LN(2)/25)*BQ201+(1-EXP(-LN(2)/25))/(LN(2)/25)*Calculateur!BL202*Calculateur!BN202*VLOOKUP('Données projet'!$B$11,Paramètres!$A$1:$I$89,3,0)*0.475*44/12</f>
        <v>2.979861998292558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19.278301230969038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-4.5474735088646412E-13</v>
      </c>
      <c r="BZ202" s="13">
        <f>BY202*VLOOKUP('Données projet'!$B$12,Paramètres!$A$1:$I$89,3,0)*VLOOKUP('Données projet'!$B$12,Paramètres!$A$1:$I$89,5,0)</f>
        <v>-2.1282176021486519E-13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356.22620301934836</v>
      </c>
      <c r="CE202" s="59">
        <f t="shared" si="207"/>
        <v>342.25495410715513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32.0844226966096</v>
      </c>
      <c r="CL202" s="21">
        <f>EXP(-LN(2)/25)*CL201+(1-EXP(-LN(2)/25))/(LN(2)/25)*Calculateur!CG202*Calculateur!CI202*VLOOKUP('Données projet'!$B$12,Paramètres!$A$1:$I$89,3,0)*0.475*44/12</f>
        <v>6.2193241615612846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38.303746858170882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-2.8421709430404007E-14</v>
      </c>
      <c r="CU202" s="17">
        <f>CT202*VLOOKUP('Données projet'!$B$13,Paramètres!$A$1:$I$89,3,0)*VLOOKUP('Données projet'!$B$13,Paramètres!$A$1:$I$89,5,0)</f>
        <v>-3.2366642699344085E-14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473.48875234867705</v>
      </c>
      <c r="CZ202" s="59">
        <f t="shared" si="208"/>
        <v>322.74347070996379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41.506589472914683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41.506589472914683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300.80663531652721</v>
      </c>
      <c r="T203" s="59">
        <f t="shared" si="204"/>
        <v>306.01967513533549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8.6436234315021387</v>
      </c>
      <c r="AA203" s="21">
        <f>EXP(-LN(2)/25)*AA202+(1-EXP(-LN(2)/25))/(LN(2)/25)*Calculateur!V203*Calculateur!X203*VLOOKUP('Données projet'!$B$9,Paramètres!$A$1:$I$89,3,0)*0.475*44/12</f>
        <v>1.7668075177349789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10.410430949237117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349.5718186624772</v>
      </c>
      <c r="AO203" s="59">
        <f t="shared" si="205"/>
        <v>258.14152930815959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15.978836780390026</v>
      </c>
      <c r="AV203" s="21">
        <f>EXP(-LN(2)/25)*AV202+(1-EXP(-LN(2)/25))/(LN(2)/25)*Calculateur!AQ203*Calculateur!AS203*VLOOKUP('Données projet'!$B$10,Paramètres!$A$1:$I$89,3,0)*0.475*44/12</f>
        <v>2.8983775152451163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18.877214295635142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349.5718186624772</v>
      </c>
      <c r="BJ203" s="59">
        <f t="shared" si="206"/>
        <v>258.14152930815959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15.978836780390026</v>
      </c>
      <c r="BQ203" s="21">
        <f>EXP(-LN(2)/25)*BQ202+(1-EXP(-LN(2)/25))/(LN(2)/25)*Calculateur!BL203*Calculateur!BN203*VLOOKUP('Données projet'!$B$11,Paramètres!$A$1:$I$89,3,0)*0.475*44/12</f>
        <v>2.8983775152451163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18.877214295635142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-4.5474735088646412E-13</v>
      </c>
      <c r="BZ203" s="13">
        <f>BY203*VLOOKUP('Données projet'!$B$12,Paramètres!$A$1:$I$89,3,0)*VLOOKUP('Données projet'!$B$12,Paramètres!$A$1:$I$89,5,0)</f>
        <v>-2.1282176021486519E-13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356.22620301934836</v>
      </c>
      <c r="CE203" s="59">
        <f t="shared" si="207"/>
        <v>342.25495410715513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31.455266737094597</v>
      </c>
      <c r="CL203" s="21">
        <f>EXP(-LN(2)/25)*CL202+(1-EXP(-LN(2)/25))/(LN(2)/25)*Calculateur!CG203*Calculateur!CI203*VLOOKUP('Données projet'!$B$12,Paramètres!$A$1:$I$89,3,0)*0.475*44/12</f>
        <v>6.0492564153033479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37.504523152397944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-2.8421709430404007E-14</v>
      </c>
      <c r="CU203" s="17">
        <f>CT203*VLOOKUP('Données projet'!$B$13,Paramètres!$A$1:$I$89,3,0)*VLOOKUP('Données projet'!$B$13,Paramètres!$A$1:$I$89,5,0)</f>
        <v>-3.2366642699344085E-14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473.48875234867705</v>
      </c>
      <c r="CZ203" s="59">
        <f t="shared" si="208"/>
        <v>322.74347070996379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40.692670569870607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40.692670569870607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1.3267648858502221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1.2472301622014093</v>
      </c>
      <c r="BA205" s="82">
        <f>EXP(LN('Données projet'!B88)/'Données projet'!A88)</f>
        <v>1.2472301622014093</v>
      </c>
      <c r="BV205" s="82">
        <f>EXP(LN('Données projet'!B114)/'Données projet'!A114)</f>
        <v>1.1544582689993719</v>
      </c>
      <c r="CQ205" s="82">
        <f>EXP(LN('Données projet'!B140)/'Données projet'!A140)</f>
        <v>1.1398946049533631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B25" workbookViewId="0">
      <selection activeCell="D15" sqref="D15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G16" sqref="G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2.0002799999999996</v>
      </c>
      <c r="C6" s="147">
        <f ca="1">IF(OR('Données projet'!B9="",'Données projet'!C9="",'Données projet'!C9=0%),0,Calculateur!S3)</f>
        <v>300.80663531652721</v>
      </c>
      <c r="D6" s="147">
        <f>IF(OR('Données projet'!B9="",'Données projet'!C9="",'Données projet'!C9=0%),0,Calculateur!T3)</f>
        <v>306.01967513533549</v>
      </c>
      <c r="E6" s="147">
        <f ca="1">MIN(C6,D6)</f>
        <v>300.80663531652721</v>
      </c>
      <c r="F6" s="147">
        <f ca="1">E6*B6</f>
        <v>601.69749649094297</v>
      </c>
      <c r="G6" s="147">
        <f ca="1">F6*(100%-'Données projet'!$C$24)*(100%-'Données projet'!$C$25)*(100%-'Données projet'!$C$26)*(100%-'Données projet'!$C$27)</f>
        <v>541.52774684184874</v>
      </c>
      <c r="H6" s="148">
        <f>IF(OR('Données projet'!B9="",'Données projet'!C9="",'Données projet'!C9=0%),0,AVERAGE(Calculateur!$AC$3:$AC$33)*B6)</f>
        <v>21.934493135720807</v>
      </c>
      <c r="I6" s="149">
        <f>H6*(100%-'Données projet'!$C$24)*(100%-'Données projet'!$C$25)*(100%-'Données projet'!$C$26)*(100%-'Données projet'!$C$27)</f>
        <v>19.741043822148725</v>
      </c>
      <c r="J6" s="150">
        <f>IF(OR('Données projet'!B9="",'Données projet'!C9="",'Données projet'!C9=0%),0,SUM(Calculateur!$V$3:$V$33)*VLOOKUP('Données projet'!$B$9,Paramètres!$A$1:$I$89,9,0)*B6)</f>
        <v>180.74230037999993</v>
      </c>
      <c r="K6" s="151">
        <f>J6*(100%-'Données projet'!$C$24)*(100%-'Données projet'!$C$25)*(100%-'Données projet'!$C$26)*(100%-'Données projet'!$C$27)</f>
        <v>162.66807034199994</v>
      </c>
      <c r="L6" s="152">
        <f ca="1">G6+I6+K6</f>
        <v>723.93686100599746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2.8780399999999999</v>
      </c>
      <c r="C7" s="147">
        <f ca="1">IF(OR('Données projet'!B10="",'Données projet'!C10="",'Données projet'!C10=0%),0,Calculateur!AN3)</f>
        <v>349.5718186624772</v>
      </c>
      <c r="D7" s="147">
        <f>IF(OR('Données projet'!B10="",'Données projet'!C10="",'Données projet'!C10=0%),0,Calculateur!AO3)</f>
        <v>258.14152930815959</v>
      </c>
      <c r="E7" s="147">
        <f t="shared" ref="E7:E15" ca="1" si="0">MIN(C7,D7)</f>
        <v>258.14152930815959</v>
      </c>
      <c r="F7" s="147">
        <f t="shared" ref="F7:F15" ca="1" si="1">E7*B7</f>
        <v>742.94164701005559</v>
      </c>
      <c r="G7" s="147">
        <f ca="1">F7*(100%-'Données projet'!$C$24)*(100%-'Données projet'!$C$25)*(100%-'Données projet'!$C$26)*(100%-'Données projet'!$C$27)</f>
        <v>668.64748230905002</v>
      </c>
      <c r="H7" s="155">
        <f>IF(OR('Données projet'!B10="",'Données projet'!C10="",'Données projet'!C10=0%),0,AVERAGE(Calculateur!$AX$3:$AX$33)*B7)</f>
        <v>16.94730584996049</v>
      </c>
      <c r="I7" s="149">
        <f>H7*(100%-'Données projet'!$C$24)*(100%-'Données projet'!$C$25)*(100%-'Données projet'!$C$26)*(100%-'Données projet'!$C$27)</f>
        <v>15.252575264964442</v>
      </c>
      <c r="J7" s="150">
        <f>IF(OR('Données projet'!B10="",'Données projet'!C10="",'Données projet'!C10=0%),0,SUM(Calculateur!$AQ$3:$AQ$33)*VLOOKUP('Données projet'!$B$10,Paramètres!$A$1:$I$89,9,0)*B7)</f>
        <v>111.68953729999998</v>
      </c>
      <c r="K7" s="151">
        <f>J7*(100%-'Données projet'!$C$24)*(100%-'Données projet'!$C$25)*(100%-'Données projet'!$C$26)*(100%-'Données projet'!$C$27)</f>
        <v>100.52058356999999</v>
      </c>
      <c r="L7" s="152">
        <f t="shared" ref="L7:L15" ca="1" si="2">G7+I7+K7</f>
        <v>784.42064114401444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taeda</v>
      </c>
      <c r="B8" s="154">
        <f>'Données projet'!D11</f>
        <v>2.0002799999999996</v>
      </c>
      <c r="C8" s="147">
        <f ca="1">IF(OR('Données projet'!B11="",'Données projet'!C11="",'Données projet'!C11=0%),0,Calculateur!BI3)</f>
        <v>349.5718186624772</v>
      </c>
      <c r="D8" s="147">
        <f>IF(OR('Données projet'!B11="",'Données projet'!C11="",'Données projet'!C11=0%),0,Calculateur!BJ3)</f>
        <v>258.14152930815959</v>
      </c>
      <c r="E8" s="147">
        <f t="shared" ca="1" si="0"/>
        <v>258.14152930815959</v>
      </c>
      <c r="F8" s="147">
        <f t="shared" ca="1" si="1"/>
        <v>516.35533824452534</v>
      </c>
      <c r="G8" s="147">
        <f ca="1">F8*(100%-'Données projet'!$C$24)*(100%-'Données projet'!$C$25)*(100%-'Données projet'!$C$26)*(100%-'Données projet'!$C$27)</f>
        <v>464.71980442007282</v>
      </c>
      <c r="H8" s="155">
        <f>IF(OR('Données projet'!B11="",'Données projet'!C11="",'Données projet'!C11=0%),0,AVERAGE(Calculateur!$BS$3:$BS$33)*B8)</f>
        <v>11.778626059943214</v>
      </c>
      <c r="I8" s="149">
        <f>H8*(100%-'Données projet'!$C$24)*(100%-'Données projet'!$C$25)*(100%-'Données projet'!$C$26)*(100%-'Données projet'!$C$27)</f>
        <v>10.600763453948893</v>
      </c>
      <c r="J8" s="150">
        <f>IF(OR('Données projet'!B11="",'Données projet'!C11="",'Données projet'!C11=0%),0,SUM(Calculateur!$BL$3:$BL$33)*VLOOKUP('Données projet'!$B$11,Paramètres!$A$1:$I$89,9,0)*B8)</f>
        <v>77.625866099999982</v>
      </c>
      <c r="K8" s="151">
        <f>J8*(100%-'Données projet'!$C$24)*(100%-'Données projet'!$C$25)*(100%-'Données projet'!$C$26)*(100%-'Données projet'!$C$27)</f>
        <v>69.863279489999982</v>
      </c>
      <c r="L8" s="152">
        <f t="shared" ca="1" si="2"/>
        <v>545.18384736402174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Cèdre de l'Atlas</v>
      </c>
      <c r="B9" s="154">
        <f>'Données projet'!D12</f>
        <v>0.87775999999999987</v>
      </c>
      <c r="C9" s="147">
        <f ca="1">IF(OR('Données projet'!B12="",'Données projet'!C12="",'Données projet'!C12=0%),0,Calculateur!CD3)</f>
        <v>356.22620301934836</v>
      </c>
      <c r="D9" s="147">
        <f>IF(OR('Données projet'!B12="",'Données projet'!C12="",'Données projet'!C12=0%),0,Calculateur!CE3)</f>
        <v>342.25495410715513</v>
      </c>
      <c r="E9" s="147">
        <f t="shared" ca="1" si="0"/>
        <v>342.25495410715513</v>
      </c>
      <c r="F9" s="147">
        <f t="shared" ca="1" si="1"/>
        <v>300.41770851709646</v>
      </c>
      <c r="G9" s="147">
        <f ca="1">F9*(100%-'Données projet'!$C$24)*(100%-'Données projet'!$C$25)*(100%-'Données projet'!$C$26)*(100%-'Données projet'!$C$27)</f>
        <v>270.3759376653868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270.3759376653868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vert</v>
      </c>
      <c r="B10" s="154">
        <f>'Données projet'!D13</f>
        <v>0.43887999999999994</v>
      </c>
      <c r="C10" s="147">
        <f ca="1">IF(OR('Données projet'!B13="",'Données projet'!C13="",'Données projet'!C13=0%),0,Calculateur!CY3)</f>
        <v>473.48875234867705</v>
      </c>
      <c r="D10" s="147">
        <f>IF(OR('Données projet'!B13="",'Données projet'!C13="",'Données projet'!C13=0%),0,Calculateur!CZ3)</f>
        <v>322.74347070996379</v>
      </c>
      <c r="E10" s="147">
        <f t="shared" ca="1" si="0"/>
        <v>322.74347070996379</v>
      </c>
      <c r="F10" s="147">
        <f t="shared" ca="1" si="1"/>
        <v>141.64565442518889</v>
      </c>
      <c r="G10" s="147">
        <f ca="1">F10*(100%-'Données projet'!$C$24)*(100%-'Données projet'!$C$25)*(100%-'Données projet'!$C$26)*(100%-'Données projet'!$C$27)</f>
        <v>127.48108898267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127.48108898267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2303.0578446878089</v>
      </c>
      <c r="G16" s="166">
        <f t="shared" ca="1" si="3"/>
        <v>2072.7520602190284</v>
      </c>
      <c r="H16" s="167">
        <f t="shared" si="3"/>
        <v>50.660425045624514</v>
      </c>
      <c r="I16" s="167">
        <f t="shared" si="3"/>
        <v>45.59438254106206</v>
      </c>
      <c r="J16" s="168">
        <f t="shared" si="3"/>
        <v>370.05770377999994</v>
      </c>
      <c r="K16" s="168">
        <f t="shared" si="3"/>
        <v>333.05193340199992</v>
      </c>
      <c r="L16" s="169">
        <f t="shared" ca="1" si="3"/>
        <v>2451.3983761620907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taeda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85" zoomScaleNormal="85" workbookViewId="0">
      <selection activeCell="S29" sqref="S2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398.26569056038159</v>
      </c>
      <c r="U10" s="178">
        <f>'Données projet'!D9</f>
        <v>2.0002799999999996</v>
      </c>
      <c r="V10" s="177">
        <f>U10*T10</f>
        <v>796.64289551411991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-162.16258015101783</v>
      </c>
      <c r="U11" s="178">
        <f>'Données projet'!D10</f>
        <v>2.8780399999999999</v>
      </c>
      <c r="V11" s="177">
        <f t="shared" ref="V11" si="0">U11*T11</f>
        <v>-466.71039217783533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 s="1" t="s">
        <v>325</v>
      </c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taeda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8.6293606154389408</v>
      </c>
      <c r="U12" s="178">
        <f>'Données projet'!D11</f>
        <v>2.0002799999999996</v>
      </c>
      <c r="V12" s="177">
        <f t="shared" ref="V12:V19" si="1">U12*T12</f>
        <v>17.2611374518502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-722.9265478676964</v>
      </c>
      <c r="U13" s="178">
        <f>'Données projet'!D12</f>
        <v>0.87775999999999987</v>
      </c>
      <c r="V13" s="177">
        <f t="shared" si="1"/>
        <v>-634.55600665634915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-3414.6345599108381</v>
      </c>
      <c r="U14" s="178">
        <f>'Données projet'!D13</f>
        <v>0.43887999999999994</v>
      </c>
      <c r="V14" s="177">
        <f t="shared" si="1"/>
        <v>-1498.6148156536683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1600*(0.43+0.43)</f>
        <v>1376</v>
      </c>
      <c r="F17" s="230"/>
      <c r="G17" s="289"/>
      <c r="I17" s="1" t="s">
        <v>327</v>
      </c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0.15*E17</f>
        <v>206.4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((800+0.08*21521.5)/'Données projet'!C5)+60+320+780+1600*0.17</f>
        <v>1730.7819905213271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20+440+320+1600*0.3</f>
        <v>1260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20+320+1600*0.3</f>
        <v>820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40.76</v>
      </c>
      <c r="C23" s="193">
        <v>5</v>
      </c>
      <c r="D23" s="182">
        <f>B23*C23</f>
        <v>203.79999999999998</v>
      </c>
      <c r="E23" s="193"/>
      <c r="F23" s="230"/>
      <c r="H23" s="190">
        <v>4</v>
      </c>
      <c r="I23" s="191">
        <v>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-34446.61405130515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23</v>
      </c>
      <c r="B24" s="181">
        <f>'Données projet'!D37</f>
        <v>57.75</v>
      </c>
      <c r="C24" s="193">
        <v>8.5</v>
      </c>
      <c r="D24" s="182">
        <f t="shared" ref="D24:D42" si="2">B24*C24</f>
        <v>490.875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29</v>
      </c>
      <c r="B25" s="181">
        <f>'Données projet'!D38</f>
        <v>54.64</v>
      </c>
      <c r="C25" s="193">
        <v>8.5</v>
      </c>
      <c r="D25" s="182">
        <f t="shared" si="2"/>
        <v>464.44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-34446.61405130515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36</v>
      </c>
      <c r="B26" s="181">
        <f>'Données projet'!D39</f>
        <v>76.069999999999993</v>
      </c>
      <c r="C26" s="193">
        <v>15.5</v>
      </c>
      <c r="D26" s="182">
        <f t="shared" si="2"/>
        <v>1179.0849999999998</v>
      </c>
      <c r="E26" s="193"/>
      <c r="F26" s="233"/>
      <c r="G26" s="229"/>
      <c r="H26" s="190">
        <v>7</v>
      </c>
      <c r="I26" s="191">
        <v>20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44</v>
      </c>
      <c r="B27" s="181">
        <f>'Données projet'!D40</f>
        <v>77.91</v>
      </c>
      <c r="C27" s="193">
        <v>15.5</v>
      </c>
      <c r="D27" s="182">
        <f t="shared" si="2"/>
        <v>1207.605</v>
      </c>
      <c r="E27" s="193"/>
      <c r="F27" s="233"/>
      <c r="G27" s="229"/>
      <c r="H27" s="190">
        <v>8</v>
      </c>
      <c r="I27" s="191">
        <v>20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52</v>
      </c>
      <c r="B28" s="181">
        <f>'Données projet'!D41</f>
        <v>75.37</v>
      </c>
      <c r="C28" s="193">
        <v>29.5</v>
      </c>
      <c r="D28" s="182">
        <f t="shared" si="2"/>
        <v>2223.415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60</v>
      </c>
      <c r="B29" s="181">
        <f>'Données projet'!D42</f>
        <v>436.34</v>
      </c>
      <c r="C29" s="193">
        <v>29.5</v>
      </c>
      <c r="D29" s="182">
        <f t="shared" si="2"/>
        <v>12872.029999999999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1600*(0.43+0.46)</f>
        <v>1424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0.15*E48</f>
        <v>213.6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22</v>
      </c>
      <c r="B54" s="181">
        <f>'Données projet'!D62</f>
        <v>52.41</v>
      </c>
      <c r="C54" s="191">
        <v>8.5</v>
      </c>
      <c r="D54" s="179">
        <f>B54*C54</f>
        <v>445.48499999999996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27</v>
      </c>
      <c r="B55" s="181">
        <f>'Données projet'!D63</f>
        <v>37.840000000000003</v>
      </c>
      <c r="C55" s="191">
        <v>8.5</v>
      </c>
      <c r="D55" s="179">
        <f t="shared" ref="D55:D73" si="4">B55*C55</f>
        <v>321.64000000000004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33</v>
      </c>
      <c r="B56" s="181">
        <f>'Données projet'!D64</f>
        <v>50.41</v>
      </c>
      <c r="C56" s="191">
        <v>15.5</v>
      </c>
      <c r="D56" s="179">
        <f t="shared" si="4"/>
        <v>781.3549999999999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41</v>
      </c>
      <c r="B57" s="181">
        <f>'Données projet'!D65</f>
        <v>72.13</v>
      </c>
      <c r="C57" s="191">
        <v>15.5</v>
      </c>
      <c r="D57" s="179">
        <f t="shared" si="4"/>
        <v>1118.0149999999999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50</v>
      </c>
      <c r="B58" s="181">
        <f>'Données projet'!D66</f>
        <v>70.2</v>
      </c>
      <c r="C58" s="191">
        <v>29.5</v>
      </c>
      <c r="D58" s="179">
        <f t="shared" si="4"/>
        <v>2070.9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69.849999999999994</v>
      </c>
      <c r="C59" s="191">
        <v>29.5</v>
      </c>
      <c r="D59" s="179">
        <f t="shared" si="4"/>
        <v>2060.5749999999998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70</v>
      </c>
      <c r="B60" s="181">
        <f>'Données projet'!D68</f>
        <v>67.88</v>
      </c>
      <c r="C60" s="191">
        <v>29.5</v>
      </c>
      <c r="D60" s="179">
        <f t="shared" si="4"/>
        <v>2002.4599999999998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520</v>
      </c>
      <c r="C61" s="191">
        <v>29.5</v>
      </c>
      <c r="D61" s="179">
        <f t="shared" si="4"/>
        <v>15340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taeda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1600*(0.43+0.42)</f>
        <v>1360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61</v>
      </c>
      <c r="I80" s="191">
        <v>20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0.15*E79</f>
        <v>204</v>
      </c>
      <c r="F81" s="231"/>
      <c r="G81" s="23"/>
      <c r="H81" s="190">
        <v>62</v>
      </c>
      <c r="I81" s="191">
        <v>20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63</v>
      </c>
      <c r="I82" s="191">
        <v>20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64</v>
      </c>
      <c r="I83" s="191">
        <v>20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65</v>
      </c>
      <c r="I84" s="191">
        <v>20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22</v>
      </c>
      <c r="B85" s="181">
        <f>'Données projet'!D88</f>
        <v>52.41</v>
      </c>
      <c r="C85" s="191">
        <v>8.5</v>
      </c>
      <c r="D85" s="179">
        <f>B85*C85</f>
        <v>445.48499999999996</v>
      </c>
      <c r="E85" s="193"/>
      <c r="F85" s="232"/>
      <c r="G85" s="205"/>
      <c r="H85" s="190">
        <v>66</v>
      </c>
      <c r="I85" s="191">
        <v>20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27</v>
      </c>
      <c r="B86" s="181">
        <f>'Données projet'!D89</f>
        <v>37.840000000000003</v>
      </c>
      <c r="C86" s="191">
        <v>8.5</v>
      </c>
      <c r="D86" s="179">
        <f t="shared" ref="D86:D104" si="6">B86*C86</f>
        <v>321.64000000000004</v>
      </c>
      <c r="E86" s="193"/>
      <c r="F86" s="232"/>
      <c r="G86" s="205"/>
      <c r="H86" s="190">
        <v>67</v>
      </c>
      <c r="I86" s="191">
        <v>20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33</v>
      </c>
      <c r="B87" s="181">
        <f>'Données projet'!D90</f>
        <v>50.41</v>
      </c>
      <c r="C87" s="191">
        <v>15.5</v>
      </c>
      <c r="D87" s="179">
        <f t="shared" si="6"/>
        <v>781.3549999999999</v>
      </c>
      <c r="E87" s="193"/>
      <c r="F87" s="232"/>
      <c r="G87" s="205"/>
      <c r="H87" s="190">
        <v>68</v>
      </c>
      <c r="I87" s="191">
        <v>20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41</v>
      </c>
      <c r="B88" s="181">
        <f>'Données projet'!D91</f>
        <v>72.13</v>
      </c>
      <c r="C88" s="191">
        <v>15.5</v>
      </c>
      <c r="D88" s="179">
        <f t="shared" si="6"/>
        <v>1118.0149999999999</v>
      </c>
      <c r="E88" s="193"/>
      <c r="F88" s="232"/>
      <c r="G88" s="205"/>
      <c r="H88" s="190">
        <v>69</v>
      </c>
      <c r="I88" s="191">
        <v>20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70.2</v>
      </c>
      <c r="C89" s="191">
        <v>29.5</v>
      </c>
      <c r="D89" s="179">
        <f t="shared" si="6"/>
        <v>2070.9</v>
      </c>
      <c r="E89" s="193"/>
      <c r="F89" s="232"/>
      <c r="G89" s="205"/>
      <c r="H89" s="190">
        <v>70</v>
      </c>
      <c r="I89" s="191">
        <v>20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69.849999999999994</v>
      </c>
      <c r="C90" s="191">
        <v>29.5</v>
      </c>
      <c r="D90" s="179">
        <f t="shared" si="6"/>
        <v>2060.5749999999998</v>
      </c>
      <c r="E90" s="193"/>
      <c r="F90" s="232"/>
      <c r="G90" s="205"/>
      <c r="H90" s="190">
        <v>71</v>
      </c>
      <c r="I90" s="191">
        <v>20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67.88</v>
      </c>
      <c r="C91" s="191">
        <v>29.5</v>
      </c>
      <c r="D91" s="179">
        <f t="shared" si="6"/>
        <v>2002.4599999999998</v>
      </c>
      <c r="E91" s="193"/>
      <c r="F91" s="232"/>
      <c r="G91" s="206"/>
      <c r="H91" s="190">
        <v>72</v>
      </c>
      <c r="I91" s="191">
        <v>20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520</v>
      </c>
      <c r="C92" s="191">
        <v>29.5</v>
      </c>
      <c r="D92" s="179">
        <f t="shared" si="6"/>
        <v>15340</v>
      </c>
      <c r="E92" s="193"/>
      <c r="F92" s="232"/>
      <c r="G92" s="206"/>
      <c r="H92" s="190">
        <v>73</v>
      </c>
      <c r="I92" s="191">
        <v>20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74</v>
      </c>
      <c r="I93" s="191">
        <v>20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75</v>
      </c>
      <c r="I94" s="191">
        <v>20</v>
      </c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76</v>
      </c>
      <c r="I95" s="191">
        <v>20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77</v>
      </c>
      <c r="I96" s="191">
        <v>20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78</v>
      </c>
      <c r="I97" s="191">
        <v>20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79</v>
      </c>
      <c r="I98" s="191">
        <v>20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80</v>
      </c>
      <c r="I99" s="191">
        <v>20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81</v>
      </c>
      <c r="I100" s="191">
        <v>20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82</v>
      </c>
      <c r="I101" s="191">
        <v>20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83</v>
      </c>
      <c r="I102" s="191">
        <v>20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84</v>
      </c>
      <c r="I103" s="191">
        <v>20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85</v>
      </c>
      <c r="I104" s="191">
        <v>20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>
        <v>86</v>
      </c>
      <c r="I105" s="191">
        <v>20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>
        <v>87</v>
      </c>
      <c r="I106" s="191">
        <v>20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>
        <v>88</v>
      </c>
      <c r="I107" s="191">
        <v>20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>
        <v>89</v>
      </c>
      <c r="I108" s="191">
        <v>20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90</v>
      </c>
      <c r="I109" s="191">
        <v>20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1600*(0.43+1.6)</f>
        <v>3248.0000000000005</v>
      </c>
      <c r="F110" s="231"/>
      <c r="G110" s="206"/>
      <c r="H110" s="190">
        <v>91</v>
      </c>
      <c r="I110" s="191">
        <v>20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92</v>
      </c>
      <c r="I111" s="191">
        <v>20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0.15*E110</f>
        <v>487.20000000000005</v>
      </c>
      <c r="F112" s="231"/>
      <c r="G112" s="23"/>
      <c r="H112" s="190">
        <v>93</v>
      </c>
      <c r="I112" s="191">
        <v>20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94</v>
      </c>
      <c r="I113" s="191">
        <v>20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95</v>
      </c>
      <c r="I114" s="191">
        <v>20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96</v>
      </c>
      <c r="I115" s="191">
        <v>20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182.39</v>
      </c>
      <c r="C116" s="191">
        <v>32.5</v>
      </c>
      <c r="D116" s="179">
        <f>B116*C116</f>
        <v>5927.6749999999993</v>
      </c>
      <c r="E116" s="193"/>
      <c r="F116" s="232"/>
      <c r="G116" s="205"/>
      <c r="H116" s="190">
        <v>97</v>
      </c>
      <c r="I116" s="191">
        <v>20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49</v>
      </c>
      <c r="B117" s="181">
        <f>'Données projet'!D115</f>
        <v>100.16</v>
      </c>
      <c r="C117" s="191">
        <v>32.5</v>
      </c>
      <c r="D117" s="179">
        <f t="shared" ref="D117:D135" si="8">B117*C117</f>
        <v>3255.2</v>
      </c>
      <c r="E117" s="193"/>
      <c r="F117" s="232"/>
      <c r="G117" s="205"/>
      <c r="H117" s="190">
        <v>98</v>
      </c>
      <c r="I117" s="191">
        <v>20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56</v>
      </c>
      <c r="B118" s="181">
        <f>'Données projet'!D116</f>
        <v>79.39</v>
      </c>
      <c r="C118" s="191">
        <v>43.5</v>
      </c>
      <c r="D118" s="179">
        <f t="shared" si="8"/>
        <v>3453.4650000000001</v>
      </c>
      <c r="E118" s="193"/>
      <c r="F118" s="232"/>
      <c r="G118" s="205"/>
      <c r="H118" s="190">
        <v>99</v>
      </c>
      <c r="I118" s="191">
        <v>20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63</v>
      </c>
      <c r="B119" s="181">
        <f>'Données projet'!D117</f>
        <v>79.099999999999994</v>
      </c>
      <c r="C119" s="191">
        <v>43.5</v>
      </c>
      <c r="D119" s="179">
        <f t="shared" si="8"/>
        <v>3440.85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71</v>
      </c>
      <c r="B120" s="181">
        <f>'Données projet'!D118</f>
        <v>90.8</v>
      </c>
      <c r="C120" s="191">
        <v>43.5</v>
      </c>
      <c r="D120" s="179">
        <f t="shared" si="8"/>
        <v>3949.7999999999997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79</v>
      </c>
      <c r="B121" s="181">
        <f>'Données projet'!D119</f>
        <v>87.99</v>
      </c>
      <c r="C121" s="191">
        <v>43.5</v>
      </c>
      <c r="D121" s="179">
        <f t="shared" si="8"/>
        <v>3827.5649999999996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87</v>
      </c>
      <c r="B122" s="181">
        <f>'Données projet'!D120</f>
        <v>88.62</v>
      </c>
      <c r="C122" s="191">
        <v>43.5</v>
      </c>
      <c r="D122" s="179">
        <f t="shared" si="8"/>
        <v>3854.9700000000003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95</v>
      </c>
      <c r="B123" s="181">
        <f>'Données projet'!D121</f>
        <v>268.81</v>
      </c>
      <c r="C123" s="191">
        <v>43.5</v>
      </c>
      <c r="D123" s="179">
        <f t="shared" si="8"/>
        <v>11693.235000000001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105</v>
      </c>
      <c r="B124" s="181">
        <f>'Données projet'!D122</f>
        <v>356.68</v>
      </c>
      <c r="C124" s="191">
        <v>43.5</v>
      </c>
      <c r="D124" s="179">
        <f t="shared" si="8"/>
        <v>15515.58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1600*(0.43+2.05)</f>
        <v>3968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0.15*E141</f>
        <v>595.19999999999993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38</v>
      </c>
      <c r="B147" s="175">
        <f>'Données projet'!D140</f>
        <v>69.08</v>
      </c>
      <c r="C147" s="191">
        <v>5</v>
      </c>
      <c r="D147" s="182">
        <f>B147*C147</f>
        <v>345.4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45</v>
      </c>
      <c r="B148" s="175">
        <f>'Données projet'!D141</f>
        <v>39.119999999999997</v>
      </c>
      <c r="C148" s="191">
        <v>18.5</v>
      </c>
      <c r="D148" s="182">
        <f t="shared" ref="D148:D166" si="10">B148*C148</f>
        <v>723.71999999999991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52</v>
      </c>
      <c r="B149" s="175">
        <f>'Données projet'!D142</f>
        <v>40.9</v>
      </c>
      <c r="C149" s="191">
        <v>18.5</v>
      </c>
      <c r="D149" s="182">
        <f t="shared" si="10"/>
        <v>756.65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59</v>
      </c>
      <c r="B150" s="175">
        <f>'Données projet'!D143</f>
        <v>38.119999999999997</v>
      </c>
      <c r="C150" s="191">
        <v>18.5</v>
      </c>
      <c r="D150" s="182">
        <f t="shared" si="10"/>
        <v>705.21999999999991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67</v>
      </c>
      <c r="B151" s="175">
        <f>'Données projet'!D144</f>
        <v>38.229999999999997</v>
      </c>
      <c r="C151" s="191">
        <v>32</v>
      </c>
      <c r="D151" s="182">
        <f t="shared" si="10"/>
        <v>1223.3599999999999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75</v>
      </c>
      <c r="B152" s="175">
        <f>'Données projet'!D145</f>
        <v>38.909999999999997</v>
      </c>
      <c r="C152" s="191">
        <v>32</v>
      </c>
      <c r="D152" s="182">
        <f t="shared" si="10"/>
        <v>1245.1199999999999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83</v>
      </c>
      <c r="B153" s="175">
        <f>'Données projet'!D146</f>
        <v>44.22</v>
      </c>
      <c r="C153" s="191">
        <v>32</v>
      </c>
      <c r="D153" s="182">
        <f t="shared" si="10"/>
        <v>1415.04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93</v>
      </c>
      <c r="B154" s="175">
        <f>'Données projet'!D147</f>
        <v>59.26</v>
      </c>
      <c r="C154" s="191">
        <v>32</v>
      </c>
      <c r="D154" s="182">
        <f t="shared" si="10"/>
        <v>1896.32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103</v>
      </c>
      <c r="B155" s="175">
        <f>'Données projet'!D148</f>
        <v>58.98</v>
      </c>
      <c r="C155" s="191">
        <v>32</v>
      </c>
      <c r="D155" s="182">
        <f t="shared" si="10"/>
        <v>1887.36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113</v>
      </c>
      <c r="B156" s="175">
        <f>'Données projet'!D149</f>
        <v>59.52</v>
      </c>
      <c r="C156" s="191">
        <v>32</v>
      </c>
      <c r="D156" s="182">
        <f t="shared" si="10"/>
        <v>1904.64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123</v>
      </c>
      <c r="B157" s="175">
        <f>'Données projet'!D150</f>
        <v>175.3</v>
      </c>
      <c r="C157" s="191">
        <v>32</v>
      </c>
      <c r="D157" s="182">
        <f t="shared" si="10"/>
        <v>5609.6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125</v>
      </c>
      <c r="B158" s="175">
        <f>'Données projet'!D151</f>
        <v>60.7</v>
      </c>
      <c r="C158" s="191">
        <v>32</v>
      </c>
      <c r="D158" s="182">
        <f t="shared" si="10"/>
        <v>1942.4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127</v>
      </c>
      <c r="B159" s="175">
        <f>'Données projet'!D152</f>
        <v>39.56</v>
      </c>
      <c r="C159" s="191">
        <v>32</v>
      </c>
      <c r="D159" s="182">
        <f t="shared" si="10"/>
        <v>1265.92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130</v>
      </c>
      <c r="B160" s="175">
        <f>'Données projet'!D153</f>
        <v>96.57</v>
      </c>
      <c r="C160" s="191">
        <v>32</v>
      </c>
      <c r="D160" s="182">
        <f t="shared" si="10"/>
        <v>3090.24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CCC49B-B304-48C2-B6A9-8547D0633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Augustin Le Corre</cp:lastModifiedBy>
  <dcterms:created xsi:type="dcterms:W3CDTF">2021-02-01T08:22:39Z</dcterms:created>
  <dcterms:modified xsi:type="dcterms:W3CDTF">2024-02-02T08:31:04Z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